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ml.chartshapes+xml"/>
  <Override PartName="/xl/drawings/drawing5.xml" ContentType="application/vnd.openxmlformats-officedocument.drawing+xml"/>
  <Override PartName="/xl/ctrlProps/ctrlProp3.xml" ContentType="application/vnd.ms-excel.controlproperti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6.xml" ContentType="application/vnd.openxmlformats-officedocument.drawingml.chartshape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ctrlProps/ctrlProp4.xml" ContentType="application/vnd.ms-excel.controlpropertie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9.xml" ContentType="application/vnd.openxmlformats-officedocument.drawingml.chartshape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0.xml" ContentType="application/vnd.openxmlformats-officedocument.drawingml.chartshapes+xml"/>
  <Override PartName="/xl/drawings/drawing11.xml" ContentType="application/vnd.openxmlformats-officedocument.drawing+xml"/>
  <Override PartName="/xl/ctrlProps/ctrlProp5.xml" ContentType="application/vnd.ms-excel.controlproperties+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12.xml" ContentType="application/vnd.openxmlformats-officedocument.drawingml.chartshapes+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3.xml" ContentType="application/vnd.openxmlformats-officedocument.drawingml.chartshapes+xml"/>
  <Override PartName="/xl/drawings/drawing14.xml" ContentType="application/vnd.openxmlformats-officedocument.drawing+xml"/>
  <Override PartName="/xl/ctrlProps/ctrlProp6.xml" ContentType="application/vnd.ms-excel.controlproperties+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5.xml" ContentType="application/vnd.openxmlformats-officedocument.drawingml.chartshapes+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6.xml" ContentType="application/vnd.openxmlformats-officedocument.drawingml.chartshapes+xml"/>
  <Override PartName="/xl/drawings/drawing17.xml" ContentType="application/vnd.openxmlformats-officedocument.drawing+xml"/>
  <Override PartName="/xl/ctrlProps/ctrlProp7.xml" ContentType="application/vnd.ms-excel.controlproperties+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8.xml" ContentType="application/vnd.openxmlformats-officedocument.drawingml.chartshapes+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19.xml" ContentType="application/vnd.openxmlformats-officedocument.drawingml.chartshapes+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20.xml" ContentType="application/vnd.openxmlformats-officedocument.drawingml.chartshapes+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21.xml" ContentType="application/vnd.openxmlformats-officedocument.drawingml.chartshapes+xml"/>
  <Override PartName="/xl/drawings/drawing22.xml" ContentType="application/vnd.openxmlformats-officedocument.drawing+xml"/>
  <Override PartName="/xl/ctrlProps/ctrlProp8.xml" ContentType="application/vnd.ms-excel.controlproperties+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23.xml" ContentType="application/vnd.openxmlformats-officedocument.drawingml.chartshapes+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24.xml" ContentType="application/vnd.openxmlformats-officedocument.drawingml.chartshapes+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25.xml" ContentType="application/vnd.openxmlformats-officedocument.drawingml.chartshapes+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26.xml" ContentType="application/vnd.openxmlformats-officedocument.drawingml.chartshapes+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27.xml" ContentType="application/vnd.openxmlformats-officedocument.drawingml.chartshapes+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28.xml" ContentType="application/vnd.openxmlformats-officedocument.drawingml.chartshapes+xml"/>
  <Override PartName="/xl/drawings/drawing29.xml" ContentType="application/vnd.openxmlformats-officedocument.drawing+xml"/>
  <Override PartName="/xl/ctrlProps/ctrlProp9.xml" ContentType="application/vnd.ms-excel.controlproperties+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drawings/drawing30.xml" ContentType="application/vnd.openxmlformats-officedocument.drawingml.chartshapes+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31.xml" ContentType="application/vnd.openxmlformats-officedocument.drawingml.chartshapes+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32.xml" ContentType="application/vnd.openxmlformats-officedocument.drawingml.chartshapes+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drawings/drawing33.xml" ContentType="application/vnd.openxmlformats-officedocument.drawingml.chartshapes+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34.xml" ContentType="application/vnd.openxmlformats-officedocument.drawingml.chartshapes+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35.xml" ContentType="application/vnd.openxmlformats-officedocument.drawingml.chartshapes+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drawings/drawing36.xml" ContentType="application/vnd.openxmlformats-officedocument.drawingml.chartshapes+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drawings/drawing37.xml" ContentType="application/vnd.openxmlformats-officedocument.drawingml.chartshapes+xml"/>
  <Override PartName="/xl/drawings/drawing38.xml" ContentType="application/vnd.openxmlformats-officedocument.drawing+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39.xml" ContentType="application/vnd.openxmlformats-officedocument.drawing+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stats\SubstanceMisuse2\Topics\Prevalence\Publications\Prevalence\20250318\Output\Final\"/>
    </mc:Choice>
  </mc:AlternateContent>
  <xr:revisionPtr revIDLastSave="0" documentId="13_ncr:1_{C7BCE94A-C20B-4C3E-B297-C4A23C9A1974}" xr6:coauthVersionLast="47" xr6:coauthVersionMax="47" xr10:uidLastSave="{00000000-0000-0000-0000-000000000000}"/>
  <bookViews>
    <workbookView xWindow="-27660" yWindow="-1665" windowWidth="21600" windowHeight="11265" tabRatio="873" xr2:uid="{AD5D916B-9990-4F81-80D1-73B8AEB1F80D}"/>
  </bookViews>
  <sheets>
    <sheet name="Contents" sheetId="6" r:id="rId1"/>
    <sheet name="Table 1" sheetId="22" r:id="rId2"/>
    <sheet name="Table 2" sheetId="10" r:id="rId3"/>
    <sheet name="Table 3" sheetId="11" r:id="rId4"/>
    <sheet name="Table 4" sheetId="9" r:id="rId5"/>
    <sheet name="Table 5" sheetId="23" r:id="rId6"/>
    <sheet name="Table 6" sheetId="15" r:id="rId7"/>
    <sheet name="Table 7" sheetId="16" r:id="rId8"/>
    <sheet name="Table 8" sheetId="18" r:id="rId9"/>
    <sheet name="Table 9" sheetId="20" r:id="rId10"/>
    <sheet name="Table 10" sheetId="21" r:id="rId11"/>
    <sheet name="Age" sheetId="7" state="hidden" r:id="rId12"/>
    <sheet name="Sex" sheetId="25" state="hidden" r:id="rId13"/>
    <sheet name="SexAge" sheetId="1" state="hidden" r:id="rId14"/>
  </sheets>
  <definedNames>
    <definedName name="_xlnm._FilterDatabase" localSheetId="11" hidden="1">Age!$A$1:$S$217</definedName>
    <definedName name="_xlnm._FilterDatabase" localSheetId="13" hidden="1">SexAge!$A$1:$S$433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3" i="11" l="1"/>
  <c r="J14" i="11"/>
  <c r="J15" i="11"/>
  <c r="J16" i="11"/>
  <c r="J17" i="11"/>
  <c r="J18" i="11"/>
  <c r="J19" i="11"/>
  <c r="J20" i="11"/>
  <c r="J12" i="11"/>
  <c r="W15" i="15" l="1"/>
  <c r="W16" i="15"/>
  <c r="AB9" i="15" s="1"/>
  <c r="X2" i="15" s="1"/>
  <c r="W14" i="15"/>
  <c r="W13" i="15"/>
  <c r="W12" i="15"/>
  <c r="W11" i="15"/>
  <c r="W10" i="15"/>
  <c r="L16" i="23"/>
  <c r="L15" i="23"/>
  <c r="L14" i="23"/>
  <c r="L13" i="23"/>
  <c r="L12" i="23"/>
  <c r="L11" i="23"/>
  <c r="L10" i="23"/>
  <c r="A217" i="25"/>
  <c r="A216" i="25"/>
  <c r="A215" i="25"/>
  <c r="A214" i="25"/>
  <c r="A213" i="25"/>
  <c r="A212" i="25"/>
  <c r="A211" i="25"/>
  <c r="A210" i="25"/>
  <c r="A209" i="25"/>
  <c r="A208" i="25"/>
  <c r="A207" i="25"/>
  <c r="A206" i="25"/>
  <c r="A205" i="25"/>
  <c r="A204" i="25"/>
  <c r="A203" i="25"/>
  <c r="A202" i="25"/>
  <c r="A201" i="25"/>
  <c r="A200" i="25"/>
  <c r="A199" i="25"/>
  <c r="A198" i="25"/>
  <c r="A197" i="25"/>
  <c r="A196" i="25"/>
  <c r="A195" i="25"/>
  <c r="A194" i="25"/>
  <c r="A193" i="25"/>
  <c r="A192" i="25"/>
  <c r="A191" i="25"/>
  <c r="A190" i="25"/>
  <c r="A189" i="25"/>
  <c r="A188" i="25"/>
  <c r="A187" i="25"/>
  <c r="A186" i="25"/>
  <c r="A185" i="25"/>
  <c r="A184" i="25"/>
  <c r="A183" i="25"/>
  <c r="A182" i="25"/>
  <c r="A181" i="25"/>
  <c r="A180" i="25"/>
  <c r="A179" i="25"/>
  <c r="A178" i="25"/>
  <c r="A177" i="25"/>
  <c r="A176" i="25"/>
  <c r="A175" i="25"/>
  <c r="A174" i="25"/>
  <c r="A173" i="25"/>
  <c r="A172" i="25"/>
  <c r="A171" i="25"/>
  <c r="A170" i="25"/>
  <c r="A169" i="25"/>
  <c r="A168" i="25"/>
  <c r="A167" i="25"/>
  <c r="A166" i="25"/>
  <c r="A165" i="25"/>
  <c r="A164" i="25"/>
  <c r="A163" i="25"/>
  <c r="A162" i="25"/>
  <c r="A161" i="25"/>
  <c r="A160" i="25"/>
  <c r="A159" i="25"/>
  <c r="A158" i="25"/>
  <c r="A157" i="25"/>
  <c r="A156" i="25"/>
  <c r="A155" i="25"/>
  <c r="A154" i="25"/>
  <c r="A153" i="25"/>
  <c r="A152" i="25"/>
  <c r="A151" i="25"/>
  <c r="A150" i="25"/>
  <c r="A149" i="25"/>
  <c r="A148" i="25"/>
  <c r="A147" i="25"/>
  <c r="A146" i="25"/>
  <c r="A145" i="25"/>
  <c r="A144" i="25"/>
  <c r="A143" i="25"/>
  <c r="A142" i="25"/>
  <c r="A141" i="25"/>
  <c r="A140" i="25"/>
  <c r="A139" i="25"/>
  <c r="A138" i="25"/>
  <c r="A137" i="25"/>
  <c r="A136" i="25"/>
  <c r="A135" i="25"/>
  <c r="A134" i="25"/>
  <c r="A133" i="25"/>
  <c r="A132" i="25"/>
  <c r="A131" i="25"/>
  <c r="A130" i="25"/>
  <c r="A129" i="25"/>
  <c r="A128" i="25"/>
  <c r="A127" i="25"/>
  <c r="A126" i="25"/>
  <c r="A125" i="25"/>
  <c r="A124" i="25"/>
  <c r="A123" i="25"/>
  <c r="A122" i="25"/>
  <c r="A121" i="25"/>
  <c r="A120" i="25"/>
  <c r="A119" i="25"/>
  <c r="A118" i="25"/>
  <c r="A117" i="25"/>
  <c r="A116" i="25"/>
  <c r="A115" i="25"/>
  <c r="A114" i="25"/>
  <c r="A113" i="25"/>
  <c r="A112" i="25"/>
  <c r="A111" i="25"/>
  <c r="A110" i="25"/>
  <c r="A109" i="25"/>
  <c r="A108" i="25"/>
  <c r="A107" i="25"/>
  <c r="A106" i="25"/>
  <c r="A105" i="25"/>
  <c r="A104" i="25"/>
  <c r="A103" i="25"/>
  <c r="A102" i="25"/>
  <c r="A101" i="25"/>
  <c r="A100" i="25"/>
  <c r="A99" i="25"/>
  <c r="A98" i="25"/>
  <c r="A97" i="25"/>
  <c r="A96" i="25"/>
  <c r="A95" i="25"/>
  <c r="A94" i="25"/>
  <c r="A93" i="25"/>
  <c r="A92" i="25"/>
  <c r="A91" i="25"/>
  <c r="A90" i="25"/>
  <c r="A89" i="25"/>
  <c r="A88" i="25"/>
  <c r="A87" i="25"/>
  <c r="A86" i="25"/>
  <c r="A85" i="25"/>
  <c r="A84" i="25"/>
  <c r="A83" i="25"/>
  <c r="A82" i="25"/>
  <c r="A81" i="25"/>
  <c r="A80" i="25"/>
  <c r="A79" i="25"/>
  <c r="A78" i="25"/>
  <c r="A77" i="25"/>
  <c r="A76" i="25"/>
  <c r="A75" i="25"/>
  <c r="A74" i="25"/>
  <c r="A73" i="25"/>
  <c r="A72" i="25"/>
  <c r="A71" i="25"/>
  <c r="A70" i="25"/>
  <c r="A69" i="25"/>
  <c r="A68" i="25"/>
  <c r="A67" i="25"/>
  <c r="A66" i="25"/>
  <c r="A65" i="25"/>
  <c r="A64" i="25"/>
  <c r="A63" i="25"/>
  <c r="A62" i="25"/>
  <c r="A61" i="25"/>
  <c r="A60" i="25"/>
  <c r="A59" i="25"/>
  <c r="A58" i="25"/>
  <c r="A57" i="25"/>
  <c r="A56" i="25"/>
  <c r="A55" i="25"/>
  <c r="A54" i="25"/>
  <c r="A53" i="25"/>
  <c r="A52" i="25"/>
  <c r="A51" i="25"/>
  <c r="A50" i="25"/>
  <c r="A49" i="25"/>
  <c r="A48" i="25"/>
  <c r="A47" i="25"/>
  <c r="A46" i="25"/>
  <c r="A45" i="25"/>
  <c r="A44" i="25"/>
  <c r="A43" i="25"/>
  <c r="A42" i="25"/>
  <c r="A41" i="25"/>
  <c r="A40" i="25"/>
  <c r="A39" i="25"/>
  <c r="A38" i="25"/>
  <c r="A37" i="25"/>
  <c r="A36" i="25"/>
  <c r="A35" i="25"/>
  <c r="A34" i="25"/>
  <c r="A33" i="25"/>
  <c r="A32" i="25"/>
  <c r="A31" i="25"/>
  <c r="A30" i="25"/>
  <c r="A29" i="25"/>
  <c r="A28" i="25"/>
  <c r="A27" i="25"/>
  <c r="A26" i="25"/>
  <c r="A25" i="25"/>
  <c r="A24" i="25"/>
  <c r="A23" i="25"/>
  <c r="A22" i="25"/>
  <c r="A21" i="25"/>
  <c r="A20" i="25"/>
  <c r="A19" i="25"/>
  <c r="A18" i="25"/>
  <c r="A17" i="25"/>
  <c r="A16" i="25"/>
  <c r="A15" i="25"/>
  <c r="A14" i="25"/>
  <c r="A13" i="25"/>
  <c r="A12" i="25"/>
  <c r="A11" i="25"/>
  <c r="A10" i="25"/>
  <c r="A9" i="25"/>
  <c r="A8" i="25"/>
  <c r="A7" i="25"/>
  <c r="A6" i="25"/>
  <c r="A5" i="25"/>
  <c r="A4" i="25"/>
  <c r="A3" i="25"/>
  <c r="A2" i="25"/>
  <c r="AM16" i="10"/>
  <c r="AM15" i="10"/>
  <c r="AM14" i="10"/>
  <c r="AM13" i="10"/>
  <c r="AM12" i="10"/>
  <c r="AM11" i="10"/>
  <c r="AM10" i="10"/>
  <c r="AW16" i="18"/>
  <c r="AW15" i="18"/>
  <c r="AW14" i="18"/>
  <c r="AW13" i="18"/>
  <c r="AW12" i="18"/>
  <c r="AW11" i="18"/>
  <c r="AW10" i="18"/>
  <c r="AH12" i="22" l="1"/>
  <c r="AH13" i="22"/>
  <c r="AH14" i="22"/>
  <c r="AH15" i="22"/>
  <c r="AH16" i="22"/>
  <c r="AR11" i="16"/>
  <c r="AR12" i="16"/>
  <c r="AR13" i="16"/>
  <c r="AR14" i="16"/>
  <c r="AR15" i="16"/>
  <c r="AR16" i="16"/>
  <c r="Z10" i="9"/>
  <c r="Z11" i="9"/>
  <c r="Z12" i="9"/>
  <c r="Z13" i="9"/>
  <c r="Z14" i="9"/>
  <c r="Z15" i="9"/>
  <c r="Z11" i="11"/>
  <c r="Z12" i="11"/>
  <c r="Z13" i="11"/>
  <c r="Z14" i="11"/>
  <c r="Z15" i="11"/>
  <c r="Z16" i="11"/>
  <c r="Z10" i="11"/>
  <c r="A217" i="7"/>
  <c r="A216" i="7"/>
  <c r="A215" i="7"/>
  <c r="A214" i="7"/>
  <c r="A213" i="7"/>
  <c r="A212" i="7"/>
  <c r="A211" i="7"/>
  <c r="A210" i="7"/>
  <c r="A209" i="7"/>
  <c r="A208" i="7"/>
  <c r="A207" i="7"/>
  <c r="A206" i="7"/>
  <c r="A205" i="7"/>
  <c r="A204" i="7"/>
  <c r="A203" i="7"/>
  <c r="A202" i="7"/>
  <c r="A201" i="7"/>
  <c r="A200" i="7"/>
  <c r="A199" i="7"/>
  <c r="A198" i="7"/>
  <c r="A197" i="7"/>
  <c r="A196" i="7"/>
  <c r="A195" i="7"/>
  <c r="A194" i="7"/>
  <c r="A193" i="7"/>
  <c r="A192" i="7"/>
  <c r="A191" i="7"/>
  <c r="A190" i="7"/>
  <c r="A189" i="7"/>
  <c r="A188" i="7"/>
  <c r="A187" i="7"/>
  <c r="A186" i="7"/>
  <c r="A185" i="7"/>
  <c r="A184" i="7"/>
  <c r="A183" i="7"/>
  <c r="A182" i="7"/>
  <c r="A181" i="7"/>
  <c r="A180" i="7"/>
  <c r="A179" i="7"/>
  <c r="A178" i="7"/>
  <c r="A177" i="7"/>
  <c r="A176" i="7"/>
  <c r="A175" i="7"/>
  <c r="A174" i="7"/>
  <c r="A173" i="7"/>
  <c r="A172" i="7"/>
  <c r="A171" i="7"/>
  <c r="A170" i="7"/>
  <c r="A169" i="7"/>
  <c r="A168" i="7"/>
  <c r="A167" i="7"/>
  <c r="A166" i="7"/>
  <c r="A165" i="7"/>
  <c r="A164" i="7"/>
  <c r="A163" i="7"/>
  <c r="A162" i="7"/>
  <c r="A161" i="7"/>
  <c r="A160" i="7"/>
  <c r="A159" i="7"/>
  <c r="A158" i="7"/>
  <c r="A157" i="7"/>
  <c r="A156" i="7"/>
  <c r="A155" i="7"/>
  <c r="A154" i="7"/>
  <c r="A153" i="7"/>
  <c r="A152" i="7"/>
  <c r="A151" i="7"/>
  <c r="A150" i="7"/>
  <c r="A149" i="7"/>
  <c r="A148" i="7"/>
  <c r="A147" i="7"/>
  <c r="A146" i="7"/>
  <c r="A145" i="7"/>
  <c r="A144" i="7"/>
  <c r="A143" i="7"/>
  <c r="A142" i="7"/>
  <c r="A141" i="7"/>
  <c r="A140" i="7"/>
  <c r="A139" i="7"/>
  <c r="A138" i="7"/>
  <c r="A137" i="7"/>
  <c r="A136" i="7"/>
  <c r="A135" i="7"/>
  <c r="A134" i="7"/>
  <c r="A133" i="7"/>
  <c r="A132" i="7"/>
  <c r="A131" i="7"/>
  <c r="A130" i="7"/>
  <c r="A129" i="7"/>
  <c r="A128" i="7"/>
  <c r="A127" i="7"/>
  <c r="A126" i="7"/>
  <c r="A125" i="7"/>
  <c r="A124" i="7"/>
  <c r="A123" i="7"/>
  <c r="A122" i="7"/>
  <c r="A121" i="7"/>
  <c r="A120" i="7"/>
  <c r="A119" i="7"/>
  <c r="A118" i="7"/>
  <c r="A117" i="7"/>
  <c r="A116" i="7"/>
  <c r="A115" i="7"/>
  <c r="A114" i="7"/>
  <c r="A113" i="7"/>
  <c r="A112" i="7"/>
  <c r="A111" i="7"/>
  <c r="A110" i="7"/>
  <c r="A109" i="7"/>
  <c r="A108" i="7"/>
  <c r="A107" i="7"/>
  <c r="A106" i="7"/>
  <c r="A105" i="7"/>
  <c r="A104" i="7"/>
  <c r="A103" i="7"/>
  <c r="A102" i="7"/>
  <c r="A101" i="7"/>
  <c r="A100" i="7"/>
  <c r="A99" i="7"/>
  <c r="A98" i="7"/>
  <c r="A97" i="7"/>
  <c r="A96" i="7"/>
  <c r="A95" i="7"/>
  <c r="A94" i="7"/>
  <c r="A93" i="7"/>
  <c r="A92" i="7"/>
  <c r="A91" i="7"/>
  <c r="A90" i="7"/>
  <c r="A89" i="7"/>
  <c r="A88" i="7"/>
  <c r="A87" i="7"/>
  <c r="A86" i="7"/>
  <c r="A85" i="7"/>
  <c r="A84" i="7"/>
  <c r="A83" i="7"/>
  <c r="A82" i="7"/>
  <c r="A81" i="7"/>
  <c r="A80" i="7"/>
  <c r="A79" i="7"/>
  <c r="A78" i="7"/>
  <c r="A77" i="7"/>
  <c r="A76" i="7"/>
  <c r="A75" i="7"/>
  <c r="A74" i="7"/>
  <c r="A73" i="7"/>
  <c r="A72" i="7"/>
  <c r="A71" i="7"/>
  <c r="A70" i="7"/>
  <c r="A69" i="7"/>
  <c r="A68" i="7"/>
  <c r="A67" i="7"/>
  <c r="A66" i="7"/>
  <c r="A65" i="7"/>
  <c r="A64" i="7"/>
  <c r="A63" i="7"/>
  <c r="A62" i="7"/>
  <c r="A61" i="7"/>
  <c r="A60" i="7"/>
  <c r="A59" i="7"/>
  <c r="A58" i="7"/>
  <c r="A57" i="7"/>
  <c r="A56" i="7"/>
  <c r="A55" i="7"/>
  <c r="A54" i="7"/>
  <c r="A53" i="7"/>
  <c r="A52" i="7"/>
  <c r="A51" i="7"/>
  <c r="A50" i="7"/>
  <c r="A49" i="7"/>
  <c r="A48" i="7"/>
  <c r="A47" i="7"/>
  <c r="A46" i="7"/>
  <c r="A45" i="7"/>
  <c r="A44" i="7"/>
  <c r="A43" i="7"/>
  <c r="A42" i="7"/>
  <c r="A41" i="7"/>
  <c r="A40" i="7"/>
  <c r="A39" i="7"/>
  <c r="A38" i="7"/>
  <c r="A37" i="7"/>
  <c r="A36" i="7"/>
  <c r="A35" i="7"/>
  <c r="A34" i="7"/>
  <c r="A33" i="7"/>
  <c r="A32" i="7"/>
  <c r="A31" i="7"/>
  <c r="A30" i="7"/>
  <c r="A29" i="7"/>
  <c r="A28" i="7"/>
  <c r="A27" i="7"/>
  <c r="A26" i="7"/>
  <c r="A25" i="7"/>
  <c r="A24" i="7"/>
  <c r="A23" i="7"/>
  <c r="A22" i="7"/>
  <c r="A21" i="7"/>
  <c r="A20" i="7"/>
  <c r="A19" i="7"/>
  <c r="A18" i="7"/>
  <c r="A17" i="7"/>
  <c r="A16" i="7"/>
  <c r="A15" i="7"/>
  <c r="A14" i="7"/>
  <c r="A13" i="7"/>
  <c r="A12" i="7"/>
  <c r="A11" i="7"/>
  <c r="A10" i="7"/>
  <c r="A9" i="7"/>
  <c r="A8" i="7"/>
  <c r="A7" i="7"/>
  <c r="A6" i="7"/>
  <c r="A5" i="7"/>
  <c r="A4" i="7"/>
  <c r="A3" i="7"/>
  <c r="A2" i="7"/>
  <c r="E16" i="20"/>
  <c r="R9" i="23"/>
  <c r="B13" i="23" s="1"/>
  <c r="AH11" i="22"/>
  <c r="AH10" i="22"/>
  <c r="AN9" i="22"/>
  <c r="B11" i="22" s="1"/>
  <c r="N2" i="23" l="1"/>
  <c r="B29" i="23"/>
  <c r="D31" i="23"/>
  <c r="C34" i="23"/>
  <c r="D28" i="23"/>
  <c r="F16" i="23"/>
  <c r="F20" i="23"/>
  <c r="B16" i="23"/>
  <c r="G19" i="23"/>
  <c r="C29" i="23"/>
  <c r="G29" i="23" s="1"/>
  <c r="B32" i="23"/>
  <c r="D34" i="23"/>
  <c r="F34" i="23" s="1"/>
  <c r="C28" i="23"/>
  <c r="G16" i="23"/>
  <c r="G20" i="23"/>
  <c r="B21" i="23"/>
  <c r="G15" i="23"/>
  <c r="B20" i="23"/>
  <c r="D29" i="23"/>
  <c r="C32" i="23"/>
  <c r="B35" i="23"/>
  <c r="B28" i="23"/>
  <c r="F17" i="23"/>
  <c r="F21" i="23"/>
  <c r="B17" i="23"/>
  <c r="D36" i="23"/>
  <c r="B30" i="23"/>
  <c r="D32" i="23"/>
  <c r="F32" i="23" s="1"/>
  <c r="C35" i="23"/>
  <c r="G35" i="23" s="1"/>
  <c r="G17" i="23"/>
  <c r="G21" i="23"/>
  <c r="B18" i="23"/>
  <c r="F13" i="23"/>
  <c r="B34" i="23"/>
  <c r="C30" i="23"/>
  <c r="G30" i="23" s="1"/>
  <c r="B33" i="23"/>
  <c r="D35" i="23"/>
  <c r="F35" i="23" s="1"/>
  <c r="F14" i="23"/>
  <c r="F18" i="23"/>
  <c r="G13" i="23"/>
  <c r="C31" i="23"/>
  <c r="D30" i="23"/>
  <c r="C33" i="23"/>
  <c r="B36" i="23"/>
  <c r="G14" i="23"/>
  <c r="G18" i="23"/>
  <c r="B14" i="23"/>
  <c r="B19" i="23"/>
  <c r="B31" i="23"/>
  <c r="D33" i="23"/>
  <c r="C36" i="23"/>
  <c r="F15" i="23"/>
  <c r="F19" i="23"/>
  <c r="B15" i="23"/>
  <c r="B25" i="22"/>
  <c r="D27" i="22"/>
  <c r="C30" i="22"/>
  <c r="D24" i="22"/>
  <c r="D13" i="22"/>
  <c r="C16" i="22"/>
  <c r="B19" i="22"/>
  <c r="C25" i="22"/>
  <c r="B28" i="22"/>
  <c r="D30" i="22"/>
  <c r="C24" i="22"/>
  <c r="B14" i="22"/>
  <c r="D16" i="22"/>
  <c r="C19" i="22"/>
  <c r="D25" i="22"/>
  <c r="C28" i="22"/>
  <c r="B31" i="22"/>
  <c r="B24" i="22"/>
  <c r="C14" i="22"/>
  <c r="B17" i="22"/>
  <c r="D19" i="22"/>
  <c r="B26" i="22"/>
  <c r="D28" i="22"/>
  <c r="C31" i="22"/>
  <c r="B12" i="22"/>
  <c r="D14" i="22"/>
  <c r="C17" i="22"/>
  <c r="D11" i="22"/>
  <c r="C26" i="22"/>
  <c r="B29" i="22"/>
  <c r="D31" i="22"/>
  <c r="C12" i="22"/>
  <c r="B15" i="22"/>
  <c r="D17" i="22"/>
  <c r="D26" i="22"/>
  <c r="C29" i="22"/>
  <c r="B32" i="22"/>
  <c r="D12" i="22"/>
  <c r="C15" i="22"/>
  <c r="B18" i="22"/>
  <c r="C11" i="22"/>
  <c r="B27" i="22"/>
  <c r="D29" i="22"/>
  <c r="C32" i="22"/>
  <c r="B13" i="22"/>
  <c r="D15" i="22"/>
  <c r="C18" i="22"/>
  <c r="C27" i="22"/>
  <c r="B30" i="22"/>
  <c r="D32" i="22"/>
  <c r="C13" i="22"/>
  <c r="B16" i="22"/>
  <c r="D18" i="22"/>
  <c r="H2" i="23"/>
  <c r="AI4" i="22"/>
  <c r="AI5" i="22"/>
  <c r="D20" i="23" l="1"/>
  <c r="D16" i="23"/>
  <c r="C14" i="23"/>
  <c r="D14" i="23"/>
  <c r="C18" i="23"/>
  <c r="G36" i="23"/>
  <c r="G33" i="23"/>
  <c r="C16" i="23"/>
  <c r="D17" i="23"/>
  <c r="G32" i="23"/>
  <c r="F30" i="23"/>
  <c r="C20" i="23"/>
  <c r="F33" i="23"/>
  <c r="T20" i="22"/>
  <c r="U19" i="22"/>
  <c r="U31" i="22"/>
  <c r="U28" i="22"/>
  <c r="T18" i="22"/>
  <c r="T15" i="22"/>
  <c r="U34" i="22"/>
  <c r="U32" i="22"/>
  <c r="T13" i="22"/>
  <c r="T33" i="22"/>
  <c r="T30" i="22"/>
  <c r="T19" i="22"/>
  <c r="T16" i="22"/>
  <c r="C13" i="23"/>
  <c r="C19" i="23"/>
  <c r="C21" i="23"/>
  <c r="D21" i="23"/>
  <c r="F29" i="23"/>
  <c r="D18" i="23"/>
  <c r="C15" i="23"/>
  <c r="G34" i="23"/>
  <c r="F31" i="23"/>
  <c r="G31" i="23"/>
  <c r="F36" i="23"/>
  <c r="C17" i="23"/>
  <c r="D15" i="23"/>
  <c r="D19" i="23"/>
  <c r="U15" i="22"/>
  <c r="T27" i="22"/>
  <c r="U18" i="22"/>
  <c r="T17" i="22"/>
  <c r="T29" i="22"/>
  <c r="U16" i="22"/>
  <c r="U13" i="22"/>
  <c r="U33" i="22"/>
  <c r="U30" i="22"/>
  <c r="U27" i="22"/>
  <c r="T34" i="22"/>
  <c r="T31" i="22"/>
  <c r="T28" i="22"/>
  <c r="U20" i="22"/>
  <c r="U17" i="22"/>
  <c r="U14" i="22"/>
  <c r="T14" i="22"/>
  <c r="T32" i="22"/>
  <c r="U29" i="22"/>
  <c r="D16" i="21"/>
  <c r="C16" i="21"/>
  <c r="B16" i="21"/>
  <c r="C16" i="20"/>
  <c r="D16" i="20"/>
  <c r="B16" i="20"/>
  <c r="E16" i="21" l="1"/>
  <c r="AX22" i="18"/>
  <c r="AX21" i="18"/>
  <c r="AX20" i="18"/>
  <c r="AX19" i="18"/>
  <c r="BC9" i="18"/>
  <c r="AS2" i="18"/>
  <c r="AR10" i="16"/>
  <c r="AX9" i="16"/>
  <c r="AS9" i="10"/>
  <c r="B12" i="10" s="1"/>
  <c r="AE8" i="9"/>
  <c r="H26" i="18" l="1"/>
  <c r="H25" i="18"/>
  <c r="H31" i="18"/>
  <c r="H27" i="18"/>
  <c r="H33" i="18"/>
  <c r="H28" i="18"/>
  <c r="H32" i="18"/>
  <c r="H29" i="18"/>
  <c r="H30" i="18"/>
  <c r="J25" i="9"/>
  <c r="J24" i="9"/>
  <c r="H32" i="9"/>
  <c r="G31" i="9"/>
  <c r="E30" i="9"/>
  <c r="D29" i="9"/>
  <c r="B28" i="9"/>
  <c r="D15" i="9"/>
  <c r="B14" i="9"/>
  <c r="G13" i="9"/>
  <c r="G12" i="9"/>
  <c r="E20" i="9"/>
  <c r="J19" i="9"/>
  <c r="H18" i="9"/>
  <c r="H28" i="9"/>
  <c r="D25" i="9"/>
  <c r="B18" i="9"/>
  <c r="H14" i="9"/>
  <c r="G28" i="9"/>
  <c r="D20" i="9"/>
  <c r="H15" i="9"/>
  <c r="J26" i="9"/>
  <c r="H25" i="9"/>
  <c r="H24" i="9"/>
  <c r="G32" i="9"/>
  <c r="E31" i="9"/>
  <c r="D30" i="9"/>
  <c r="B29" i="9"/>
  <c r="D16" i="9"/>
  <c r="B15" i="9"/>
  <c r="G14" i="9"/>
  <c r="E13" i="9"/>
  <c r="E12" i="9"/>
  <c r="J20" i="9"/>
  <c r="H19" i="9"/>
  <c r="H12" i="9"/>
  <c r="E26" i="9"/>
  <c r="B32" i="9"/>
  <c r="E16" i="9"/>
  <c r="J30" i="9"/>
  <c r="D26" i="9"/>
  <c r="B19" i="9"/>
  <c r="G20" i="9"/>
  <c r="J27" i="9"/>
  <c r="H26" i="9"/>
  <c r="G25" i="9"/>
  <c r="G24" i="9"/>
  <c r="E32" i="9"/>
  <c r="D31" i="9"/>
  <c r="B30" i="9"/>
  <c r="D17" i="9"/>
  <c r="B16" i="9"/>
  <c r="G15" i="9"/>
  <c r="E14" i="9"/>
  <c r="J13" i="9"/>
  <c r="J12" i="9"/>
  <c r="H20" i="9"/>
  <c r="J29" i="9"/>
  <c r="D24" i="9"/>
  <c r="G17" i="9"/>
  <c r="H29" i="9"/>
  <c r="B25" i="9"/>
  <c r="G18" i="9"/>
  <c r="J16" i="9"/>
  <c r="J18" i="9"/>
  <c r="J28" i="9"/>
  <c r="H27" i="9"/>
  <c r="G26" i="9"/>
  <c r="E25" i="9"/>
  <c r="E24" i="9"/>
  <c r="D32" i="9"/>
  <c r="B31" i="9"/>
  <c r="D18" i="9"/>
  <c r="B17" i="9"/>
  <c r="G16" i="9"/>
  <c r="E15" i="9"/>
  <c r="J14" i="9"/>
  <c r="H13" i="9"/>
  <c r="G27" i="9"/>
  <c r="D19" i="9"/>
  <c r="J15" i="9"/>
  <c r="E27" i="9"/>
  <c r="B24" i="9"/>
  <c r="E17" i="9"/>
  <c r="E19" i="9"/>
  <c r="J31" i="9"/>
  <c r="H30" i="9"/>
  <c r="G29" i="9"/>
  <c r="E28" i="9"/>
  <c r="D27" i="9"/>
  <c r="B26" i="9"/>
  <c r="D13" i="9"/>
  <c r="D12" i="9"/>
  <c r="B20" i="9"/>
  <c r="G19" i="9"/>
  <c r="E18" i="9"/>
  <c r="J17" i="9"/>
  <c r="H16" i="9"/>
  <c r="J32" i="9"/>
  <c r="H31" i="9"/>
  <c r="G30" i="9"/>
  <c r="E29" i="9"/>
  <c r="D28" i="9"/>
  <c r="B27" i="9"/>
  <c r="D14" i="9"/>
  <c r="B13" i="9"/>
  <c r="B12" i="9"/>
  <c r="H17" i="9"/>
  <c r="G29" i="15"/>
  <c r="F32" i="15"/>
  <c r="E35" i="15"/>
  <c r="E28" i="15"/>
  <c r="C31" i="15"/>
  <c r="B34" i="15"/>
  <c r="D36" i="15"/>
  <c r="J13" i="15"/>
  <c r="J15" i="15"/>
  <c r="J17" i="15"/>
  <c r="J19" i="15"/>
  <c r="L12" i="15"/>
  <c r="E18" i="15"/>
  <c r="B14" i="15"/>
  <c r="E29" i="15"/>
  <c r="F34" i="15"/>
  <c r="D30" i="15"/>
  <c r="B36" i="15"/>
  <c r="L20" i="15"/>
  <c r="I12" i="15"/>
  <c r="G34" i="15"/>
  <c r="B31" i="15"/>
  <c r="C36" i="15"/>
  <c r="I13" i="15"/>
  <c r="I17" i="15"/>
  <c r="J12" i="15"/>
  <c r="E30" i="15"/>
  <c r="G32" i="15"/>
  <c r="F35" i="15"/>
  <c r="B29" i="15"/>
  <c r="D31" i="15"/>
  <c r="C34" i="15"/>
  <c r="D28" i="15"/>
  <c r="K13" i="15"/>
  <c r="K15" i="15"/>
  <c r="K17" i="15"/>
  <c r="K19" i="15"/>
  <c r="K12" i="15"/>
  <c r="B15" i="15"/>
  <c r="G31" i="15"/>
  <c r="F29" i="15"/>
  <c r="B13" i="15"/>
  <c r="F30" i="15"/>
  <c r="L30" i="15" s="1"/>
  <c r="E33" i="15"/>
  <c r="G35" i="15"/>
  <c r="K35" i="15" s="1"/>
  <c r="C29" i="15"/>
  <c r="J29" i="15" s="1"/>
  <c r="B32" i="15"/>
  <c r="D34" i="15"/>
  <c r="I34" i="15" s="1"/>
  <c r="C28" i="15"/>
  <c r="L13" i="15"/>
  <c r="L15" i="15"/>
  <c r="G15" i="15" s="1"/>
  <c r="L17" i="15"/>
  <c r="G17" i="15" s="1"/>
  <c r="L19" i="15"/>
  <c r="E13" i="15"/>
  <c r="E19" i="15"/>
  <c r="B16" i="15"/>
  <c r="E32" i="15"/>
  <c r="G30" i="15"/>
  <c r="F33" i="15"/>
  <c r="E36" i="15"/>
  <c r="D29" i="15"/>
  <c r="C32" i="15"/>
  <c r="B35" i="15"/>
  <c r="B28" i="15"/>
  <c r="I14" i="15"/>
  <c r="I16" i="15"/>
  <c r="I18" i="15"/>
  <c r="I20" i="15"/>
  <c r="B17" i="15"/>
  <c r="E31" i="15"/>
  <c r="G33" i="15"/>
  <c r="F36" i="15"/>
  <c r="B30" i="15"/>
  <c r="D32" i="15"/>
  <c r="C35" i="15"/>
  <c r="B12" i="15"/>
  <c r="J14" i="15"/>
  <c r="J16" i="15"/>
  <c r="J18" i="15"/>
  <c r="J20" i="15"/>
  <c r="E14" i="15"/>
  <c r="E20" i="15"/>
  <c r="B18" i="15"/>
  <c r="G28" i="15"/>
  <c r="C33" i="15"/>
  <c r="L14" i="15"/>
  <c r="L16" i="15"/>
  <c r="L18" i="15"/>
  <c r="E16" i="15"/>
  <c r="B20" i="15"/>
  <c r="F28" i="15"/>
  <c r="D33" i="15"/>
  <c r="I15" i="15"/>
  <c r="I19" i="15"/>
  <c r="F31" i="15"/>
  <c r="E34" i="15"/>
  <c r="G36" i="15"/>
  <c r="C30" i="15"/>
  <c r="B33" i="15"/>
  <c r="D35" i="15"/>
  <c r="K14" i="15"/>
  <c r="K16" i="15"/>
  <c r="K18" i="15"/>
  <c r="K20" i="15"/>
  <c r="E15" i="15"/>
  <c r="E12" i="15"/>
  <c r="B19" i="15"/>
  <c r="E17" i="15"/>
  <c r="F17" i="15" s="1"/>
  <c r="E27" i="10"/>
  <c r="G29" i="10"/>
  <c r="F32" i="10"/>
  <c r="G26" i="10"/>
  <c r="B28" i="10"/>
  <c r="D30" i="10"/>
  <c r="C33" i="10"/>
  <c r="G13" i="10"/>
  <c r="F16" i="10"/>
  <c r="E19" i="10"/>
  <c r="E12" i="10"/>
  <c r="B33" i="10"/>
  <c r="F27" i="10"/>
  <c r="E30" i="10"/>
  <c r="G32" i="10"/>
  <c r="F26" i="10"/>
  <c r="C28" i="10"/>
  <c r="B31" i="10"/>
  <c r="D33" i="10"/>
  <c r="E14" i="10"/>
  <c r="G16" i="10"/>
  <c r="F19" i="10"/>
  <c r="G27" i="10"/>
  <c r="F30" i="10"/>
  <c r="E33" i="10"/>
  <c r="E26" i="10"/>
  <c r="D28" i="10"/>
  <c r="C31" i="10"/>
  <c r="B34" i="10"/>
  <c r="F14" i="10"/>
  <c r="E17" i="10"/>
  <c r="G19" i="10"/>
  <c r="C30" i="10"/>
  <c r="E28" i="10"/>
  <c r="G30" i="10"/>
  <c r="F33" i="10"/>
  <c r="B26" i="10"/>
  <c r="B29" i="10"/>
  <c r="D31" i="10"/>
  <c r="C34" i="10"/>
  <c r="G14" i="10"/>
  <c r="F17" i="10"/>
  <c r="E20" i="10"/>
  <c r="E32" i="10"/>
  <c r="F13" i="10"/>
  <c r="G18" i="10"/>
  <c r="F28" i="10"/>
  <c r="E31" i="10"/>
  <c r="G33" i="10"/>
  <c r="C26" i="10"/>
  <c r="C29" i="10"/>
  <c r="B32" i="10"/>
  <c r="D34" i="10"/>
  <c r="E15" i="10"/>
  <c r="G17" i="10"/>
  <c r="F20" i="10"/>
  <c r="G34" i="10"/>
  <c r="G28" i="10"/>
  <c r="F31" i="10"/>
  <c r="E34" i="10"/>
  <c r="B27" i="10"/>
  <c r="D29" i="10"/>
  <c r="C32" i="10"/>
  <c r="D26" i="10"/>
  <c r="F15" i="10"/>
  <c r="E18" i="10"/>
  <c r="G20" i="10"/>
  <c r="Z20" i="10" s="1"/>
  <c r="D27" i="10"/>
  <c r="E29" i="10"/>
  <c r="G31" i="10"/>
  <c r="F34" i="10"/>
  <c r="C27" i="10"/>
  <c r="B30" i="10"/>
  <c r="D32" i="10"/>
  <c r="E13" i="10"/>
  <c r="G15" i="10"/>
  <c r="F18" i="10"/>
  <c r="G12" i="10"/>
  <c r="F29" i="10"/>
  <c r="E16" i="10"/>
  <c r="F12" i="10"/>
  <c r="D15" i="10"/>
  <c r="D19" i="10"/>
  <c r="D16" i="10"/>
  <c r="D20" i="10"/>
  <c r="B18" i="10"/>
  <c r="C13" i="10"/>
  <c r="C17" i="10"/>
  <c r="D12" i="10"/>
  <c r="B19" i="10"/>
  <c r="D13" i="10"/>
  <c r="D17" i="10"/>
  <c r="C12" i="10"/>
  <c r="B20" i="10"/>
  <c r="B17" i="10"/>
  <c r="C14" i="10"/>
  <c r="C18" i="10"/>
  <c r="B13" i="10"/>
  <c r="C20" i="10"/>
  <c r="D14" i="10"/>
  <c r="D18" i="10"/>
  <c r="B14" i="10"/>
  <c r="C15" i="10"/>
  <c r="C19" i="10"/>
  <c r="B15" i="10"/>
  <c r="B16" i="10"/>
  <c r="C16" i="10"/>
  <c r="C53" i="18"/>
  <c r="B54" i="18"/>
  <c r="J54" i="18"/>
  <c r="I55" i="18"/>
  <c r="H56" i="18"/>
  <c r="G57" i="18"/>
  <c r="F58" i="18"/>
  <c r="E59" i="18"/>
  <c r="D60" i="18"/>
  <c r="I52" i="18"/>
  <c r="E41" i="18"/>
  <c r="G42" i="18"/>
  <c r="I43" i="18"/>
  <c r="E45" i="18"/>
  <c r="G46" i="18"/>
  <c r="I47" i="18"/>
  <c r="J40" i="18"/>
  <c r="C42" i="18"/>
  <c r="C46" i="18"/>
  <c r="B43" i="18"/>
  <c r="B40" i="18"/>
  <c r="B27" i="18"/>
  <c r="H19" i="18"/>
  <c r="E21" i="18"/>
  <c r="M26" i="18"/>
  <c r="O27" i="18"/>
  <c r="Q28" i="18"/>
  <c r="M30" i="18"/>
  <c r="O31" i="18"/>
  <c r="Q32" i="18"/>
  <c r="P25" i="18"/>
  <c r="I25" i="18" s="1"/>
  <c r="O14" i="18"/>
  <c r="Q15" i="18"/>
  <c r="M17" i="18"/>
  <c r="O18" i="18"/>
  <c r="Q19" i="18"/>
  <c r="M21" i="18"/>
  <c r="N13" i="18"/>
  <c r="B18" i="18"/>
  <c r="G56" i="18"/>
  <c r="D59" i="18"/>
  <c r="J52" i="18"/>
  <c r="F42" i="18"/>
  <c r="J44" i="18"/>
  <c r="H47" i="18"/>
  <c r="C40" i="18"/>
  <c r="L26" i="18"/>
  <c r="N31" i="18"/>
  <c r="L17" i="18"/>
  <c r="L21" i="18"/>
  <c r="D53" i="18"/>
  <c r="C54" i="18"/>
  <c r="B55" i="18"/>
  <c r="J55" i="18"/>
  <c r="I56" i="18"/>
  <c r="H57" i="18"/>
  <c r="G58" i="18"/>
  <c r="N58" i="18" s="1"/>
  <c r="F59" i="18"/>
  <c r="O59" i="18" s="1"/>
  <c r="E60" i="18"/>
  <c r="H52" i="18"/>
  <c r="F41" i="18"/>
  <c r="H42" i="18"/>
  <c r="J43" i="18"/>
  <c r="F45" i="18"/>
  <c r="H46" i="18"/>
  <c r="J47" i="18"/>
  <c r="P47" i="18" s="1"/>
  <c r="I40" i="18"/>
  <c r="D42" i="18"/>
  <c r="D46" i="18"/>
  <c r="B44" i="18"/>
  <c r="E28" i="18"/>
  <c r="E31" i="18"/>
  <c r="B28" i="18"/>
  <c r="H16" i="18"/>
  <c r="E18" i="18"/>
  <c r="N26" i="18"/>
  <c r="P27" i="18"/>
  <c r="I27" i="18" s="1"/>
  <c r="L29" i="18"/>
  <c r="N30" i="18"/>
  <c r="P31" i="18"/>
  <c r="I31" i="18" s="1"/>
  <c r="L33" i="18"/>
  <c r="O25" i="18"/>
  <c r="P14" i="18"/>
  <c r="L16" i="18"/>
  <c r="N17" i="18"/>
  <c r="P18" i="18"/>
  <c r="L20" i="18"/>
  <c r="N21" i="18"/>
  <c r="F21" i="18" s="1"/>
  <c r="M13" i="18"/>
  <c r="B19" i="18"/>
  <c r="E58" i="18"/>
  <c r="E53" i="18"/>
  <c r="D54" i="18"/>
  <c r="C55" i="18"/>
  <c r="B56" i="18"/>
  <c r="J56" i="18"/>
  <c r="I57" i="18"/>
  <c r="H58" i="18"/>
  <c r="G59" i="18"/>
  <c r="F60" i="18"/>
  <c r="G52" i="18"/>
  <c r="G41" i="18"/>
  <c r="I42" i="18"/>
  <c r="E44" i="18"/>
  <c r="G45" i="18"/>
  <c r="I46" i="18"/>
  <c r="E48" i="18"/>
  <c r="H40" i="18"/>
  <c r="C43" i="18"/>
  <c r="C47" i="18"/>
  <c r="B45" i="18"/>
  <c r="B29" i="18"/>
  <c r="C29" i="18" s="1"/>
  <c r="E15" i="18"/>
  <c r="E20" i="18"/>
  <c r="O26" i="18"/>
  <c r="Q27" i="18"/>
  <c r="J27" i="18" s="1"/>
  <c r="M29" i="18"/>
  <c r="D29" i="18" s="1"/>
  <c r="O30" i="18"/>
  <c r="G30" i="18" s="1"/>
  <c r="Q31" i="18"/>
  <c r="J31" i="18" s="1"/>
  <c r="M33" i="18"/>
  <c r="N25" i="18"/>
  <c r="Q14" i="18"/>
  <c r="J14" i="18" s="1"/>
  <c r="M16" i="18"/>
  <c r="O17" i="18"/>
  <c r="G17" i="18" s="1"/>
  <c r="Q18" i="18"/>
  <c r="J18" i="18" s="1"/>
  <c r="M20" i="18"/>
  <c r="D20" i="18" s="1"/>
  <c r="O21" i="18"/>
  <c r="L13" i="18"/>
  <c r="B20" i="18"/>
  <c r="F57" i="18"/>
  <c r="F53" i="18"/>
  <c r="E54" i="18"/>
  <c r="D55" i="18"/>
  <c r="C56" i="18"/>
  <c r="B57" i="18"/>
  <c r="J57" i="18"/>
  <c r="I58" i="18"/>
  <c r="H59" i="18"/>
  <c r="G60" i="18"/>
  <c r="F52" i="18"/>
  <c r="H41" i="18"/>
  <c r="J42" i="18"/>
  <c r="F44" i="18"/>
  <c r="H45" i="18"/>
  <c r="J46" i="18"/>
  <c r="F48" i="18"/>
  <c r="O48" i="18" s="1"/>
  <c r="G40" i="18"/>
  <c r="D43" i="18"/>
  <c r="D47" i="18"/>
  <c r="L47" i="18" s="1"/>
  <c r="B46" i="18"/>
  <c r="E32" i="18"/>
  <c r="B30" i="18"/>
  <c r="E25" i="18"/>
  <c r="H18" i="18"/>
  <c r="H21" i="18"/>
  <c r="P26" i="18"/>
  <c r="I26" i="18" s="1"/>
  <c r="L28" i="18"/>
  <c r="N29" i="18"/>
  <c r="P30" i="18"/>
  <c r="I30" i="18" s="1"/>
  <c r="L32" i="18"/>
  <c r="N33" i="18"/>
  <c r="M25" i="18"/>
  <c r="L15" i="18"/>
  <c r="N16" i="18"/>
  <c r="P17" i="18"/>
  <c r="L19" i="18"/>
  <c r="N20" i="18"/>
  <c r="P21" i="18"/>
  <c r="B21" i="18"/>
  <c r="I54" i="18"/>
  <c r="C60" i="18"/>
  <c r="B52" i="18"/>
  <c r="H43" i="18"/>
  <c r="F46" i="18"/>
  <c r="J48" i="18"/>
  <c r="B42" i="18"/>
  <c r="B26" i="18"/>
  <c r="L30" i="18"/>
  <c r="P15" i="18"/>
  <c r="B17" i="18"/>
  <c r="G53" i="18"/>
  <c r="F54" i="18"/>
  <c r="E55" i="18"/>
  <c r="D56" i="18"/>
  <c r="C57" i="18"/>
  <c r="B58" i="18"/>
  <c r="J58" i="18"/>
  <c r="P58" i="18" s="1"/>
  <c r="I59" i="18"/>
  <c r="Q59" i="18" s="1"/>
  <c r="H60" i="18"/>
  <c r="E52" i="18"/>
  <c r="I41" i="18"/>
  <c r="E43" i="18"/>
  <c r="G44" i="18"/>
  <c r="I45" i="18"/>
  <c r="E47" i="18"/>
  <c r="G48" i="18"/>
  <c r="N48" i="18" s="1"/>
  <c r="F40" i="18"/>
  <c r="C44" i="18"/>
  <c r="C48" i="18"/>
  <c r="B47" i="18"/>
  <c r="E26" i="18"/>
  <c r="E29" i="18"/>
  <c r="B31" i="18"/>
  <c r="B25" i="18"/>
  <c r="H15" i="18"/>
  <c r="E17" i="18"/>
  <c r="Q26" i="18"/>
  <c r="M28" i="18"/>
  <c r="O29" i="18"/>
  <c r="Q30" i="18"/>
  <c r="J30" i="18" s="1"/>
  <c r="M32" i="18"/>
  <c r="D32" i="18" s="1"/>
  <c r="O33" i="18"/>
  <c r="G33" i="18" s="1"/>
  <c r="L25" i="18"/>
  <c r="M15" i="18"/>
  <c r="O16" i="18"/>
  <c r="Q17" i="18"/>
  <c r="M19" i="18"/>
  <c r="O20" i="18"/>
  <c r="G20" i="18" s="1"/>
  <c r="Q21" i="18"/>
  <c r="J21" i="18" s="1"/>
  <c r="B14" i="18"/>
  <c r="B13" i="18"/>
  <c r="B53" i="18"/>
  <c r="H17" i="18"/>
  <c r="P32" i="18"/>
  <c r="I32" i="18" s="1"/>
  <c r="O13" i="18"/>
  <c r="H53" i="18"/>
  <c r="G54" i="18"/>
  <c r="F55" i="18"/>
  <c r="E56" i="18"/>
  <c r="D57" i="18"/>
  <c r="C58" i="18"/>
  <c r="B59" i="18"/>
  <c r="J59" i="18"/>
  <c r="I60" i="18"/>
  <c r="D52" i="18"/>
  <c r="J41" i="18"/>
  <c r="F43" i="18"/>
  <c r="H44" i="18"/>
  <c r="J45" i="18"/>
  <c r="F47" i="18"/>
  <c r="H48" i="18"/>
  <c r="E40" i="18"/>
  <c r="D44" i="18"/>
  <c r="D48" i="18"/>
  <c r="B48" i="18"/>
  <c r="E33" i="18"/>
  <c r="F33" i="18" s="1"/>
  <c r="B32" i="18"/>
  <c r="E14" i="18"/>
  <c r="H20" i="18"/>
  <c r="H13" i="18"/>
  <c r="L27" i="18"/>
  <c r="C27" i="18" s="1"/>
  <c r="N28" i="18"/>
  <c r="F28" i="18" s="1"/>
  <c r="P29" i="18"/>
  <c r="L31" i="18"/>
  <c r="N32" i="18"/>
  <c r="P33" i="18"/>
  <c r="I33" i="18" s="1"/>
  <c r="L14" i="18"/>
  <c r="N15" i="18"/>
  <c r="P16" i="18"/>
  <c r="L18" i="18"/>
  <c r="C18" i="18" s="1"/>
  <c r="N19" i="18"/>
  <c r="P20" i="18"/>
  <c r="Q13" i="18"/>
  <c r="B15" i="18"/>
  <c r="H55" i="18"/>
  <c r="D45" i="18"/>
  <c r="N27" i="18"/>
  <c r="Q25" i="18"/>
  <c r="J25" i="18" s="1"/>
  <c r="N18" i="18"/>
  <c r="I53" i="18"/>
  <c r="H54" i="18"/>
  <c r="G55" i="18"/>
  <c r="F56" i="18"/>
  <c r="E57" i="18"/>
  <c r="D58" i="18"/>
  <c r="C59" i="18"/>
  <c r="B60" i="18"/>
  <c r="M60" i="18" s="1"/>
  <c r="J60" i="18"/>
  <c r="C52" i="18"/>
  <c r="E42" i="18"/>
  <c r="G43" i="18"/>
  <c r="I44" i="18"/>
  <c r="E46" i="18"/>
  <c r="G47" i="18"/>
  <c r="I48" i="18"/>
  <c r="C41" i="18"/>
  <c r="C45" i="18"/>
  <c r="B41" i="18"/>
  <c r="D40" i="18"/>
  <c r="E30" i="18"/>
  <c r="B33" i="18"/>
  <c r="E16" i="18"/>
  <c r="E19" i="18"/>
  <c r="F19" i="18" s="1"/>
  <c r="E13" i="18"/>
  <c r="M27" i="18"/>
  <c r="O28" i="18"/>
  <c r="Q29" i="18"/>
  <c r="M31" i="18"/>
  <c r="O32" i="18"/>
  <c r="Q33" i="18"/>
  <c r="J33" i="18" s="1"/>
  <c r="M14" i="18"/>
  <c r="O15" i="18"/>
  <c r="Q16" i="18"/>
  <c r="M18" i="18"/>
  <c r="O19" i="18"/>
  <c r="Q20" i="18"/>
  <c r="P13" i="18"/>
  <c r="B16" i="18"/>
  <c r="J53" i="18"/>
  <c r="D41" i="18"/>
  <c r="E27" i="18"/>
  <c r="H14" i="18"/>
  <c r="P28" i="18"/>
  <c r="N14" i="18"/>
  <c r="P19" i="18"/>
  <c r="AY2" i="18"/>
  <c r="F52" i="9"/>
  <c r="E53" i="9"/>
  <c r="D54" i="9"/>
  <c r="C55" i="9"/>
  <c r="B56" i="9"/>
  <c r="J56" i="9"/>
  <c r="I57" i="9"/>
  <c r="H58" i="9"/>
  <c r="G59" i="9"/>
  <c r="F51" i="9"/>
  <c r="E40" i="9"/>
  <c r="D41" i="9"/>
  <c r="C42" i="9"/>
  <c r="B43" i="9"/>
  <c r="J43" i="9"/>
  <c r="I44" i="9"/>
  <c r="H45" i="9"/>
  <c r="G46" i="9"/>
  <c r="F47" i="9"/>
  <c r="G39" i="9"/>
  <c r="C26" i="9"/>
  <c r="I28" i="9"/>
  <c r="F31" i="9"/>
  <c r="I13" i="9"/>
  <c r="I12" i="9"/>
  <c r="F16" i="9"/>
  <c r="F20" i="9"/>
  <c r="C16" i="9"/>
  <c r="E59" i="9"/>
  <c r="H43" i="9"/>
  <c r="F19" i="9"/>
  <c r="D53" i="9"/>
  <c r="H57" i="9"/>
  <c r="J42" i="9"/>
  <c r="C30" i="9"/>
  <c r="G52" i="9"/>
  <c r="F53" i="9"/>
  <c r="E54" i="9"/>
  <c r="D55" i="9"/>
  <c r="C56" i="9"/>
  <c r="B57" i="9"/>
  <c r="J57" i="9"/>
  <c r="I58" i="9"/>
  <c r="H59" i="9"/>
  <c r="E51" i="9"/>
  <c r="F40" i="9"/>
  <c r="E41" i="9"/>
  <c r="D42" i="9"/>
  <c r="C43" i="9"/>
  <c r="B44" i="9"/>
  <c r="J44" i="9"/>
  <c r="I45" i="9"/>
  <c r="H46" i="9"/>
  <c r="G47" i="9"/>
  <c r="F39" i="9"/>
  <c r="C25" i="9"/>
  <c r="F26" i="9"/>
  <c r="I27" i="9"/>
  <c r="C29" i="9"/>
  <c r="F30" i="9"/>
  <c r="I31" i="9"/>
  <c r="I24" i="9"/>
  <c r="I18" i="9"/>
  <c r="F13" i="9"/>
  <c r="F17" i="9"/>
  <c r="C20" i="9"/>
  <c r="E46" i="9"/>
  <c r="F15" i="9"/>
  <c r="C41" i="9"/>
  <c r="H39" i="9"/>
  <c r="I17" i="9"/>
  <c r="H52" i="9"/>
  <c r="G53" i="9"/>
  <c r="F54" i="9"/>
  <c r="E55" i="9"/>
  <c r="D56" i="9"/>
  <c r="C57" i="9"/>
  <c r="B58" i="9"/>
  <c r="J58" i="9"/>
  <c r="I59" i="9"/>
  <c r="D51" i="9"/>
  <c r="G40" i="9"/>
  <c r="F41" i="9"/>
  <c r="E42" i="9"/>
  <c r="D43" i="9"/>
  <c r="C44" i="9"/>
  <c r="B45" i="9"/>
  <c r="J45" i="9"/>
  <c r="I46" i="9"/>
  <c r="H47" i="9"/>
  <c r="E39" i="9"/>
  <c r="F25" i="9"/>
  <c r="I26" i="9"/>
  <c r="C28" i="9"/>
  <c r="F29" i="9"/>
  <c r="I30" i="9"/>
  <c r="C32" i="9"/>
  <c r="I14" i="9"/>
  <c r="F12" i="9"/>
  <c r="C17" i="9"/>
  <c r="C40" i="9"/>
  <c r="I39" i="9"/>
  <c r="I16" i="9"/>
  <c r="C15" i="9"/>
  <c r="E52" i="9"/>
  <c r="F59" i="9"/>
  <c r="I43" i="9"/>
  <c r="F46" i="9"/>
  <c r="I32" i="9"/>
  <c r="I52" i="9"/>
  <c r="H53" i="9"/>
  <c r="G54" i="9"/>
  <c r="F55" i="9"/>
  <c r="E56" i="9"/>
  <c r="D57" i="9"/>
  <c r="C58" i="9"/>
  <c r="B59" i="9"/>
  <c r="J59" i="9"/>
  <c r="C51" i="9"/>
  <c r="H40" i="9"/>
  <c r="G41" i="9"/>
  <c r="F42" i="9"/>
  <c r="E43" i="9"/>
  <c r="D44" i="9"/>
  <c r="C45" i="9"/>
  <c r="B46" i="9"/>
  <c r="J46" i="9"/>
  <c r="I47" i="9"/>
  <c r="D39" i="9"/>
  <c r="F24" i="9"/>
  <c r="F14" i="9"/>
  <c r="F18" i="9"/>
  <c r="D47" i="9"/>
  <c r="D40" i="9"/>
  <c r="L40" i="9" s="1"/>
  <c r="B52" i="9"/>
  <c r="J52" i="9"/>
  <c r="I53" i="9"/>
  <c r="H54" i="9"/>
  <c r="G55" i="9"/>
  <c r="F56" i="9"/>
  <c r="E57" i="9"/>
  <c r="D58" i="9"/>
  <c r="C59" i="9"/>
  <c r="J51" i="9"/>
  <c r="B51" i="9"/>
  <c r="I40" i="9"/>
  <c r="H41" i="9"/>
  <c r="G42" i="9"/>
  <c r="F43" i="9"/>
  <c r="E44" i="9"/>
  <c r="D45" i="9"/>
  <c r="C46" i="9"/>
  <c r="B47" i="9"/>
  <c r="J47" i="9"/>
  <c r="C39" i="9"/>
  <c r="C27" i="9"/>
  <c r="I29" i="9"/>
  <c r="F32" i="9"/>
  <c r="I19" i="9"/>
  <c r="C13" i="9"/>
  <c r="C18" i="9"/>
  <c r="D52" i="9"/>
  <c r="B54" i="9"/>
  <c r="I55" i="9"/>
  <c r="G57" i="9"/>
  <c r="H51" i="9"/>
  <c r="J41" i="9"/>
  <c r="G44" i="9"/>
  <c r="B55" i="9"/>
  <c r="I56" i="9"/>
  <c r="G58" i="9"/>
  <c r="B42" i="9"/>
  <c r="H44" i="9"/>
  <c r="E47" i="9"/>
  <c r="F27" i="9"/>
  <c r="C52" i="9"/>
  <c r="B53" i="9"/>
  <c r="J53" i="9"/>
  <c r="I54" i="9"/>
  <c r="H55" i="9"/>
  <c r="G56" i="9"/>
  <c r="F57" i="9"/>
  <c r="M57" i="9" s="1"/>
  <c r="E58" i="9"/>
  <c r="D59" i="9"/>
  <c r="I51" i="9"/>
  <c r="B40" i="9"/>
  <c r="J40" i="9"/>
  <c r="I41" i="9"/>
  <c r="H42" i="9"/>
  <c r="G43" i="9"/>
  <c r="N43" i="9" s="1"/>
  <c r="F44" i="9"/>
  <c r="E45" i="9"/>
  <c r="D46" i="9"/>
  <c r="C47" i="9"/>
  <c r="J39" i="9"/>
  <c r="B39" i="9"/>
  <c r="I25" i="9"/>
  <c r="F28" i="9"/>
  <c r="C31" i="9"/>
  <c r="C24" i="9"/>
  <c r="I15" i="9"/>
  <c r="C14" i="9"/>
  <c r="C12" i="9"/>
  <c r="C53" i="9"/>
  <c r="J54" i="9"/>
  <c r="H56" i="9"/>
  <c r="F58" i="9"/>
  <c r="M58" i="9" s="1"/>
  <c r="B41" i="9"/>
  <c r="I42" i="9"/>
  <c r="F45" i="9"/>
  <c r="I20" i="9"/>
  <c r="C19" i="9"/>
  <c r="C54" i="9"/>
  <c r="J55" i="9"/>
  <c r="G51" i="9"/>
  <c r="G45" i="9"/>
  <c r="N19" i="16"/>
  <c r="P20" i="16"/>
  <c r="I34" i="16"/>
  <c r="H35" i="16"/>
  <c r="G36" i="16"/>
  <c r="H19" i="16"/>
  <c r="I19" i="16" s="1"/>
  <c r="H20" i="16"/>
  <c r="I20" i="16" s="1"/>
  <c r="M19" i="16"/>
  <c r="O19" i="16"/>
  <c r="Q20" i="16"/>
  <c r="J20" i="16" s="1"/>
  <c r="B34" i="16"/>
  <c r="J34" i="16"/>
  <c r="I35" i="16"/>
  <c r="H36" i="16"/>
  <c r="G35" i="16"/>
  <c r="P19" i="16"/>
  <c r="L21" i="16"/>
  <c r="C34" i="16"/>
  <c r="B35" i="16"/>
  <c r="J35" i="16"/>
  <c r="I36" i="16"/>
  <c r="B20" i="16"/>
  <c r="B21" i="16"/>
  <c r="O20" i="16"/>
  <c r="H34" i="16"/>
  <c r="Q19" i="16"/>
  <c r="M21" i="16"/>
  <c r="D34" i="16"/>
  <c r="C35" i="16"/>
  <c r="B36" i="16"/>
  <c r="J36" i="16"/>
  <c r="E21" i="16"/>
  <c r="L20" i="16"/>
  <c r="N21" i="16"/>
  <c r="E34" i="16"/>
  <c r="D35" i="16"/>
  <c r="C36" i="16"/>
  <c r="B19" i="16"/>
  <c r="M20" i="16"/>
  <c r="O21" i="16"/>
  <c r="F34" i="16"/>
  <c r="E35" i="16"/>
  <c r="D36" i="16"/>
  <c r="E20" i="16"/>
  <c r="H21" i="16"/>
  <c r="I21" i="16" s="1"/>
  <c r="F36" i="16"/>
  <c r="L19" i="16"/>
  <c r="N20" i="16"/>
  <c r="P21" i="16"/>
  <c r="G34" i="16"/>
  <c r="F35" i="16"/>
  <c r="E36" i="16"/>
  <c r="E19" i="16"/>
  <c r="Q21" i="16"/>
  <c r="X3" i="15"/>
  <c r="X4" i="15"/>
  <c r="AN5" i="10"/>
  <c r="AN4" i="10"/>
  <c r="AA4" i="9"/>
  <c r="AA5" i="9"/>
  <c r="X5" i="15"/>
  <c r="AN2" i="16"/>
  <c r="AN4" i="16"/>
  <c r="AN3" i="16"/>
  <c r="AT3" i="16"/>
  <c r="AT4" i="16"/>
  <c r="AT2" i="16"/>
  <c r="AS23" i="18"/>
  <c r="AZ23" i="18"/>
  <c r="AZ22" i="18"/>
  <c r="AZ21" i="18"/>
  <c r="AZ20" i="18"/>
  <c r="AS22" i="18"/>
  <c r="AS20" i="18"/>
  <c r="AS21" i="18"/>
  <c r="AY3" i="18"/>
  <c r="AY4" i="18"/>
  <c r="AY5" i="18"/>
  <c r="L58" i="18" l="1"/>
  <c r="G19" i="18"/>
  <c r="J29" i="18"/>
  <c r="F20" i="16"/>
  <c r="Q35" i="16"/>
  <c r="N60" i="18"/>
  <c r="D16" i="18"/>
  <c r="J28" i="18"/>
  <c r="I28" i="18"/>
  <c r="J26" i="18"/>
  <c r="F20" i="18"/>
  <c r="C19" i="18"/>
  <c r="J32" i="18"/>
  <c r="I29" i="18"/>
  <c r="F27" i="18"/>
  <c r="J16" i="18"/>
  <c r="D27" i="18"/>
  <c r="J17" i="18"/>
  <c r="D28" i="18"/>
  <c r="I17" i="18"/>
  <c r="D33" i="18"/>
  <c r="N59" i="18"/>
  <c r="I16" i="18"/>
  <c r="G28" i="18"/>
  <c r="F29" i="18"/>
  <c r="D18" i="18"/>
  <c r="D19" i="18"/>
  <c r="G29" i="18"/>
  <c r="G15" i="18"/>
  <c r="P60" i="18"/>
  <c r="Q58" i="18"/>
  <c r="D14" i="18"/>
  <c r="L42" i="9"/>
  <c r="K56" i="9"/>
  <c r="M59" i="9"/>
  <c r="O46" i="9"/>
  <c r="N53" i="9"/>
  <c r="K44" i="9"/>
  <c r="M53" i="9"/>
  <c r="N41" i="9"/>
  <c r="M55" i="9"/>
  <c r="C15" i="15"/>
  <c r="L33" i="15"/>
  <c r="D12" i="15"/>
  <c r="M42" i="9"/>
  <c r="O42" i="9"/>
  <c r="L59" i="9"/>
  <c r="K52" i="9"/>
  <c r="P45" i="9"/>
  <c r="O59" i="9"/>
  <c r="L55" i="9"/>
  <c r="P55" i="9"/>
  <c r="L58" i="9"/>
  <c r="N56" i="9"/>
  <c r="W20" i="10"/>
  <c r="Y20" i="10"/>
  <c r="Y18" i="10"/>
  <c r="F15" i="15"/>
  <c r="D20" i="15"/>
  <c r="L36" i="15"/>
  <c r="J32" i="15"/>
  <c r="J30" i="15"/>
  <c r="K30" i="15"/>
  <c r="I32" i="15"/>
  <c r="I31" i="15"/>
  <c r="L35" i="15"/>
  <c r="L29" i="15"/>
  <c r="I35" i="15"/>
  <c r="K33" i="15"/>
  <c r="J35" i="15"/>
  <c r="K31" i="15"/>
  <c r="J34" i="15"/>
  <c r="C13" i="15"/>
  <c r="L31" i="15"/>
  <c r="J36" i="15"/>
  <c r="I29" i="15"/>
  <c r="K32" i="15"/>
  <c r="D13" i="15"/>
  <c r="G16" i="15"/>
  <c r="F16" i="15"/>
  <c r="I36" i="15"/>
  <c r="L34" i="15"/>
  <c r="C19" i="15"/>
  <c r="G14" i="15"/>
  <c r="F14" i="15"/>
  <c r="J33" i="15"/>
  <c r="G19" i="15"/>
  <c r="F19" i="15"/>
  <c r="K34" i="15"/>
  <c r="J31" i="15"/>
  <c r="I33" i="15"/>
  <c r="C20" i="15"/>
  <c r="G12" i="15"/>
  <c r="F12" i="15"/>
  <c r="F18" i="15"/>
  <c r="G18" i="15"/>
  <c r="D18" i="15"/>
  <c r="C18" i="15"/>
  <c r="F20" i="15"/>
  <c r="G20" i="15"/>
  <c r="D19" i="15"/>
  <c r="D16" i="15"/>
  <c r="C16" i="15"/>
  <c r="F13" i="15"/>
  <c r="G13" i="15"/>
  <c r="D17" i="15"/>
  <c r="L32" i="15"/>
  <c r="K36" i="15"/>
  <c r="D14" i="15"/>
  <c r="C14" i="15"/>
  <c r="C17" i="15"/>
  <c r="I30" i="15"/>
  <c r="D15" i="15"/>
  <c r="K29" i="15"/>
  <c r="Y19" i="10"/>
  <c r="Z19" i="10"/>
  <c r="W17" i="10"/>
  <c r="Z18" i="10"/>
  <c r="W19" i="10"/>
  <c r="W13" i="10"/>
  <c r="X16" i="10"/>
  <c r="Z32" i="10"/>
  <c r="X14" i="10"/>
  <c r="W32" i="10"/>
  <c r="Y33" i="10"/>
  <c r="Z34" i="10"/>
  <c r="X18" i="10"/>
  <c r="X32" i="10"/>
  <c r="W33" i="10"/>
  <c r="W34" i="10"/>
  <c r="X34" i="10"/>
  <c r="X33" i="10"/>
  <c r="W16" i="10"/>
  <c r="Z33" i="10"/>
  <c r="Y34" i="10"/>
  <c r="Y32" i="10"/>
  <c r="X19" i="10"/>
  <c r="W14" i="10"/>
  <c r="X17" i="10"/>
  <c r="W15" i="10"/>
  <c r="W18" i="10"/>
  <c r="X15" i="10"/>
  <c r="X20" i="10"/>
  <c r="X13" i="10"/>
  <c r="I20" i="18"/>
  <c r="C31" i="18"/>
  <c r="D15" i="18"/>
  <c r="I15" i="18"/>
  <c r="G21" i="18"/>
  <c r="L48" i="18"/>
  <c r="M58" i="18"/>
  <c r="Q48" i="18"/>
  <c r="G26" i="18"/>
  <c r="G16" i="18"/>
  <c r="M48" i="18"/>
  <c r="P48" i="18"/>
  <c r="F32" i="18"/>
  <c r="F15" i="18"/>
  <c r="C16" i="18"/>
  <c r="F26" i="18"/>
  <c r="Q47" i="18"/>
  <c r="G32" i="18"/>
  <c r="M59" i="18"/>
  <c r="O46" i="18"/>
  <c r="C13" i="18"/>
  <c r="I14" i="18"/>
  <c r="F18" i="18"/>
  <c r="D21" i="18"/>
  <c r="G31" i="18"/>
  <c r="N46" i="18"/>
  <c r="O58" i="18"/>
  <c r="J20" i="18"/>
  <c r="D31" i="18"/>
  <c r="Q60" i="18"/>
  <c r="P46" i="18"/>
  <c r="Q46" i="18"/>
  <c r="O60" i="18"/>
  <c r="J19" i="18"/>
  <c r="D30" i="18"/>
  <c r="F16" i="18"/>
  <c r="C33" i="18"/>
  <c r="C28" i="18"/>
  <c r="C21" i="18"/>
  <c r="G18" i="18"/>
  <c r="C14" i="18"/>
  <c r="C15" i="18"/>
  <c r="I21" i="18"/>
  <c r="F31" i="18"/>
  <c r="C17" i="18"/>
  <c r="D17" i="18"/>
  <c r="G27" i="18"/>
  <c r="F14" i="18"/>
  <c r="C20" i="18"/>
  <c r="F30" i="18"/>
  <c r="L59" i="18"/>
  <c r="J15" i="18"/>
  <c r="L46" i="18"/>
  <c r="M46" i="18"/>
  <c r="P59" i="18"/>
  <c r="M47" i="18"/>
  <c r="I18" i="18"/>
  <c r="G14" i="18"/>
  <c r="N47" i="18"/>
  <c r="O47" i="18"/>
  <c r="C32" i="18"/>
  <c r="C30" i="18"/>
  <c r="F17" i="18"/>
  <c r="I19" i="18"/>
  <c r="L60" i="18"/>
  <c r="P58" i="9"/>
  <c r="N47" i="9"/>
  <c r="M40" i="9"/>
  <c r="K54" i="9"/>
  <c r="P54" i="9"/>
  <c r="M43" i="9"/>
  <c r="L43" i="9"/>
  <c r="K57" i="9"/>
  <c r="O41" i="9"/>
  <c r="M46" i="9"/>
  <c r="L45" i="9"/>
  <c r="K59" i="9"/>
  <c r="P46" i="9"/>
  <c r="K53" i="9"/>
  <c r="O45" i="9"/>
  <c r="N52" i="9"/>
  <c r="N55" i="9"/>
  <c r="L57" i="9"/>
  <c r="K47" i="9"/>
  <c r="P53" i="9"/>
  <c r="N45" i="9"/>
  <c r="O47" i="9"/>
  <c r="N54" i="9"/>
  <c r="N42" i="9"/>
  <c r="M56" i="9"/>
  <c r="P40" i="9"/>
  <c r="O54" i="9"/>
  <c r="N44" i="9"/>
  <c r="K46" i="9"/>
  <c r="P52" i="9"/>
  <c r="L53" i="9"/>
  <c r="O44" i="9"/>
  <c r="M44" i="9"/>
  <c r="P41" i="9"/>
  <c r="O57" i="9"/>
  <c r="L44" i="9"/>
  <c r="K58" i="9"/>
  <c r="O43" i="9"/>
  <c r="N40" i="9"/>
  <c r="M54" i="9"/>
  <c r="K43" i="9"/>
  <c r="O19" i="9"/>
  <c r="P19" i="9"/>
  <c r="O18" i="9"/>
  <c r="P18" i="9"/>
  <c r="M19" i="9"/>
  <c r="N19" i="9"/>
  <c r="N31" i="9"/>
  <c r="M31" i="9"/>
  <c r="P43" i="9"/>
  <c r="M32" i="9"/>
  <c r="N32" i="9"/>
  <c r="P59" i="9"/>
  <c r="O52" i="9"/>
  <c r="P56" i="9"/>
  <c r="L31" i="9"/>
  <c r="K31" i="9"/>
  <c r="N57" i="9"/>
  <c r="L47" i="9"/>
  <c r="K45" i="9"/>
  <c r="P32" i="9"/>
  <c r="O32" i="9"/>
  <c r="K40" i="9"/>
  <c r="K41" i="9"/>
  <c r="O31" i="9"/>
  <c r="P31" i="9"/>
  <c r="K42" i="9"/>
  <c r="L19" i="9"/>
  <c r="K19" i="9"/>
  <c r="O55" i="9"/>
  <c r="M18" i="9"/>
  <c r="N18" i="9"/>
  <c r="L56" i="9"/>
  <c r="N30" i="9"/>
  <c r="M30" i="9"/>
  <c r="L41" i="9"/>
  <c r="K55" i="9"/>
  <c r="O20" i="9"/>
  <c r="P20" i="9"/>
  <c r="N58" i="9"/>
  <c r="M41" i="9"/>
  <c r="P44" i="9"/>
  <c r="O58" i="9"/>
  <c r="L30" i="9"/>
  <c r="K30" i="9"/>
  <c r="M20" i="9"/>
  <c r="N20" i="9"/>
  <c r="M47" i="9"/>
  <c r="L54" i="9"/>
  <c r="M45" i="9"/>
  <c r="O56" i="9"/>
  <c r="L52" i="9"/>
  <c r="P47" i="9"/>
  <c r="O40" i="9"/>
  <c r="K20" i="9"/>
  <c r="L20" i="9"/>
  <c r="P57" i="9"/>
  <c r="P42" i="9"/>
  <c r="N46" i="9"/>
  <c r="O30" i="9"/>
  <c r="P30" i="9"/>
  <c r="L46" i="9"/>
  <c r="L18" i="9"/>
  <c r="K18" i="9"/>
  <c r="O53" i="9"/>
  <c r="L32" i="9"/>
  <c r="K32" i="9"/>
  <c r="N59" i="9"/>
  <c r="M52" i="9"/>
  <c r="D20" i="16"/>
  <c r="D21" i="16"/>
  <c r="N34" i="16"/>
  <c r="J21" i="16"/>
  <c r="D19" i="16"/>
  <c r="O36" i="16"/>
  <c r="M35" i="16"/>
  <c r="P34" i="16"/>
  <c r="J19" i="16"/>
  <c r="M34" i="16"/>
  <c r="O34" i="16"/>
  <c r="G21" i="16"/>
  <c r="F21" i="16"/>
  <c r="G20" i="16"/>
  <c r="C19" i="16"/>
  <c r="P36" i="16"/>
  <c r="N35" i="16"/>
  <c r="M36" i="16"/>
  <c r="Q36" i="16"/>
  <c r="N36" i="16"/>
  <c r="L35" i="16"/>
  <c r="L34" i="16"/>
  <c r="P35" i="16"/>
  <c r="O35" i="16"/>
  <c r="L36" i="16"/>
  <c r="Q34" i="16"/>
  <c r="C20" i="16"/>
  <c r="C21" i="16"/>
  <c r="G19" i="16"/>
  <c r="F19" i="16"/>
  <c r="AE9" i="11"/>
  <c r="Z9" i="9"/>
  <c r="H20" i="11" l="1"/>
  <c r="H13" i="11"/>
  <c r="H12" i="11"/>
  <c r="H14" i="11"/>
  <c r="H16" i="11"/>
  <c r="H15" i="11"/>
  <c r="H17" i="11"/>
  <c r="H18" i="11"/>
  <c r="H19" i="11"/>
  <c r="B13" i="11"/>
  <c r="B12" i="11"/>
  <c r="BM20" i="9"/>
  <c r="BL20" i="9"/>
  <c r="BP32" i="9"/>
  <c r="BQ32" i="9"/>
  <c r="BP19" i="9"/>
  <c r="BQ19" i="9"/>
  <c r="BP30" i="9"/>
  <c r="BQ30" i="9"/>
  <c r="BN31" i="9"/>
  <c r="BO31" i="9"/>
  <c r="BN19" i="9"/>
  <c r="BO19" i="9"/>
  <c r="BM31" i="9"/>
  <c r="BL31" i="9"/>
  <c r="BL32" i="9"/>
  <c r="BM32" i="9"/>
  <c r="BP20" i="9"/>
  <c r="BQ20" i="9"/>
  <c r="BL30" i="9"/>
  <c r="BM30" i="9"/>
  <c r="BN18" i="9"/>
  <c r="BO18" i="9"/>
  <c r="BN20" i="9"/>
  <c r="BO20" i="9"/>
  <c r="BO32" i="9"/>
  <c r="BN32" i="9"/>
  <c r="BL18" i="9"/>
  <c r="BM18" i="9"/>
  <c r="BN30" i="9"/>
  <c r="BO30" i="9"/>
  <c r="BL19" i="9"/>
  <c r="BM19" i="9"/>
  <c r="BP31" i="9"/>
  <c r="BQ31" i="9"/>
  <c r="BP18" i="9"/>
  <c r="BQ18" i="9"/>
  <c r="H34" i="11"/>
  <c r="G35" i="11"/>
  <c r="F36" i="11"/>
  <c r="E18" i="11"/>
  <c r="F19" i="11"/>
  <c r="F20" i="11"/>
  <c r="E20" i="11"/>
  <c r="I34" i="11"/>
  <c r="H35" i="11"/>
  <c r="G36" i="11"/>
  <c r="F18" i="11"/>
  <c r="G19" i="11"/>
  <c r="G20" i="11"/>
  <c r="B34" i="11"/>
  <c r="J34" i="11"/>
  <c r="I35" i="11"/>
  <c r="H36" i="11"/>
  <c r="G18" i="11"/>
  <c r="I19" i="11"/>
  <c r="I20" i="11"/>
  <c r="D18" i="11"/>
  <c r="C34" i="11"/>
  <c r="B35" i="11"/>
  <c r="J35" i="11"/>
  <c r="I36" i="11"/>
  <c r="I18" i="11"/>
  <c r="E19" i="11"/>
  <c r="D34" i="11"/>
  <c r="C35" i="11"/>
  <c r="B36" i="11"/>
  <c r="J36" i="11"/>
  <c r="B19" i="11"/>
  <c r="B20" i="11"/>
  <c r="E36" i="11"/>
  <c r="E34" i="11"/>
  <c r="D35" i="11"/>
  <c r="C36" i="11"/>
  <c r="B18" i="11"/>
  <c r="C19" i="11"/>
  <c r="C20" i="11"/>
  <c r="G34" i="11"/>
  <c r="F34" i="11"/>
  <c r="E35" i="11"/>
  <c r="D36" i="11"/>
  <c r="C18" i="11"/>
  <c r="D19" i="11"/>
  <c r="D20" i="11"/>
  <c r="F35" i="11"/>
  <c r="I13" i="11"/>
  <c r="I14" i="11"/>
  <c r="I12" i="11"/>
  <c r="I15" i="11"/>
  <c r="I16" i="11"/>
  <c r="I17" i="11"/>
  <c r="AA5" i="11"/>
  <c r="AA4" i="11"/>
  <c r="E29" i="11"/>
  <c r="I30" i="11"/>
  <c r="J29" i="11"/>
  <c r="D17" i="11"/>
  <c r="J33" i="11"/>
  <c r="F14" i="11"/>
  <c r="I33" i="11"/>
  <c r="D15" i="11"/>
  <c r="F13" i="11"/>
  <c r="H33" i="11"/>
  <c r="D12" i="11"/>
  <c r="B16" i="11"/>
  <c r="C15" i="11"/>
  <c r="D14" i="11"/>
  <c r="E13" i="11"/>
  <c r="F28" i="11"/>
  <c r="G33" i="11"/>
  <c r="G32" i="11"/>
  <c r="G31" i="11"/>
  <c r="G30" i="11"/>
  <c r="G29" i="11"/>
  <c r="G14" i="11"/>
  <c r="N14" i="11" s="1"/>
  <c r="J32" i="11"/>
  <c r="I32" i="11"/>
  <c r="H32" i="11"/>
  <c r="E12" i="11"/>
  <c r="B15" i="11"/>
  <c r="C14" i="11"/>
  <c r="D13" i="11"/>
  <c r="G28" i="11"/>
  <c r="E33" i="11"/>
  <c r="E32" i="11"/>
  <c r="E31" i="11"/>
  <c r="E30" i="11"/>
  <c r="F15" i="11"/>
  <c r="J30" i="11"/>
  <c r="D16" i="11"/>
  <c r="I31" i="11"/>
  <c r="F29" i="11"/>
  <c r="I29" i="16"/>
  <c r="H30" i="16"/>
  <c r="G31" i="16"/>
  <c r="F32" i="16"/>
  <c r="E33" i="16"/>
  <c r="H28" i="16"/>
  <c r="B29" i="16"/>
  <c r="J29" i="16"/>
  <c r="I30" i="16"/>
  <c r="H31" i="16"/>
  <c r="G28" i="16"/>
  <c r="H33" i="16"/>
  <c r="E29" i="16"/>
  <c r="D28" i="16"/>
  <c r="F30" i="11"/>
  <c r="F31" i="11"/>
  <c r="C29" i="16"/>
  <c r="B30" i="16"/>
  <c r="J30" i="16"/>
  <c r="I31" i="16"/>
  <c r="H32" i="16"/>
  <c r="G33" i="16"/>
  <c r="F28" i="16"/>
  <c r="F32" i="11"/>
  <c r="D29" i="16"/>
  <c r="C30" i="16"/>
  <c r="M30" i="16" s="1"/>
  <c r="B31" i="16"/>
  <c r="I32" i="16"/>
  <c r="F33" i="11"/>
  <c r="J32" i="16"/>
  <c r="F29" i="16"/>
  <c r="E30" i="16"/>
  <c r="D31" i="16"/>
  <c r="C32" i="16"/>
  <c r="B33" i="16"/>
  <c r="J33" i="16"/>
  <c r="C28" i="16"/>
  <c r="H29" i="16"/>
  <c r="E32" i="16"/>
  <c r="I28" i="16"/>
  <c r="F33" i="16"/>
  <c r="O33" i="16" s="1"/>
  <c r="J31" i="16"/>
  <c r="D30" i="16"/>
  <c r="B32" i="16"/>
  <c r="G29" i="16"/>
  <c r="F30" i="16"/>
  <c r="E31" i="16"/>
  <c r="D32" i="16"/>
  <c r="C33" i="16"/>
  <c r="J28" i="16"/>
  <c r="B28" i="16"/>
  <c r="G30" i="16"/>
  <c r="F31" i="16"/>
  <c r="D33" i="16"/>
  <c r="G32" i="16"/>
  <c r="E28" i="16"/>
  <c r="C31" i="16"/>
  <c r="I33" i="16"/>
  <c r="N14" i="16"/>
  <c r="H14" i="16"/>
  <c r="I14" i="16" s="1"/>
  <c r="Q18" i="16"/>
  <c r="O17" i="16"/>
  <c r="B13" i="16"/>
  <c r="H16" i="16"/>
  <c r="I16" i="16" s="1"/>
  <c r="Q17" i="16"/>
  <c r="B14" i="16"/>
  <c r="E14" i="16"/>
  <c r="E13" i="16"/>
  <c r="L13" i="16"/>
  <c r="L18" i="16"/>
  <c r="E15" i="16"/>
  <c r="M18" i="16"/>
  <c r="M15" i="16"/>
  <c r="Q16" i="16"/>
  <c r="M14" i="16"/>
  <c r="N17" i="16"/>
  <c r="H13" i="16"/>
  <c r="I13" i="16" s="1"/>
  <c r="P17" i="16"/>
  <c r="M17" i="16"/>
  <c r="H17" i="16"/>
  <c r="I17" i="16" s="1"/>
  <c r="O15" i="16"/>
  <c r="L17" i="16"/>
  <c r="O14" i="16"/>
  <c r="N16" i="16"/>
  <c r="B18" i="16"/>
  <c r="E16" i="16"/>
  <c r="O16" i="16"/>
  <c r="Q14" i="16"/>
  <c r="M13" i="16"/>
  <c r="O13" i="16"/>
  <c r="H15" i="16"/>
  <c r="I15" i="16" s="1"/>
  <c r="B16" i="16"/>
  <c r="N13" i="16"/>
  <c r="M16" i="16"/>
  <c r="L16" i="16"/>
  <c r="P13" i="16"/>
  <c r="Q15" i="16"/>
  <c r="P18" i="16"/>
  <c r="P16" i="16"/>
  <c r="Q13" i="16"/>
  <c r="H18" i="16"/>
  <c r="I18" i="16" s="1"/>
  <c r="E18" i="16"/>
  <c r="P14" i="16"/>
  <c r="P15" i="16"/>
  <c r="B17" i="16"/>
  <c r="O18" i="16"/>
  <c r="L14" i="16"/>
  <c r="N18" i="16"/>
  <c r="B15" i="16"/>
  <c r="E17" i="16"/>
  <c r="L15" i="16"/>
  <c r="N15" i="16"/>
  <c r="H30" i="11"/>
  <c r="F12" i="11"/>
  <c r="G17" i="11"/>
  <c r="B14" i="11"/>
  <c r="C13" i="11"/>
  <c r="H28" i="11"/>
  <c r="D33" i="11"/>
  <c r="D32" i="11"/>
  <c r="D31" i="11"/>
  <c r="D30" i="11"/>
  <c r="D29" i="11"/>
  <c r="J31" i="11"/>
  <c r="E15" i="11"/>
  <c r="D28" i="11"/>
  <c r="I29" i="11"/>
  <c r="B17" i="11"/>
  <c r="E14" i="11"/>
  <c r="E28" i="11"/>
  <c r="H29" i="11"/>
  <c r="G12" i="11"/>
  <c r="F17" i="11"/>
  <c r="G16" i="11"/>
  <c r="I28" i="11"/>
  <c r="C33" i="11"/>
  <c r="C32" i="11"/>
  <c r="C31" i="11"/>
  <c r="C30" i="11"/>
  <c r="C29" i="11"/>
  <c r="E16" i="11"/>
  <c r="C28" i="11"/>
  <c r="C17" i="11"/>
  <c r="G13" i="11"/>
  <c r="C12" i="11"/>
  <c r="C16" i="11"/>
  <c r="H31" i="11"/>
  <c r="E17" i="11"/>
  <c r="F16" i="11"/>
  <c r="G15" i="11"/>
  <c r="B28" i="11"/>
  <c r="J28" i="11"/>
  <c r="B33" i="11"/>
  <c r="B32" i="11"/>
  <c r="B31" i="11"/>
  <c r="B30" i="11"/>
  <c r="B29" i="11"/>
  <c r="K34" i="11" l="1"/>
  <c r="O36" i="11"/>
  <c r="M30" i="11"/>
  <c r="K17" i="11"/>
  <c r="Y29" i="10"/>
  <c r="Z27" i="10"/>
  <c r="Y14" i="10"/>
  <c r="X30" i="10"/>
  <c r="W31" i="10"/>
  <c r="Z28" i="10"/>
  <c r="Z13" i="10"/>
  <c r="W28" i="10"/>
  <c r="Y16" i="10"/>
  <c r="Z30" i="10"/>
  <c r="Y15" i="10"/>
  <c r="Z17" i="10"/>
  <c r="Y31" i="10"/>
  <c r="W29" i="10"/>
  <c r="W27" i="10"/>
  <c r="Z29" i="10"/>
  <c r="Z15" i="10"/>
  <c r="Z31" i="10"/>
  <c r="X29" i="10"/>
  <c r="Z16" i="10"/>
  <c r="Z14" i="10"/>
  <c r="Y13" i="10"/>
  <c r="Y30" i="10"/>
  <c r="X27" i="10"/>
  <c r="X28" i="10"/>
  <c r="Y17" i="10"/>
  <c r="Y28" i="10"/>
  <c r="W30" i="10"/>
  <c r="Y27" i="10"/>
  <c r="X31" i="10"/>
  <c r="M39" i="9"/>
  <c r="N13" i="11"/>
  <c r="O16" i="9"/>
  <c r="P16" i="9"/>
  <c r="M29" i="9"/>
  <c r="N29" i="9"/>
  <c r="M24" i="9"/>
  <c r="N24" i="9"/>
  <c r="K16" i="9"/>
  <c r="L16" i="9"/>
  <c r="K25" i="9"/>
  <c r="L25" i="9"/>
  <c r="K27" i="9"/>
  <c r="L27" i="9"/>
  <c r="P29" i="9"/>
  <c r="O29" i="9"/>
  <c r="L14" i="9"/>
  <c r="K14" i="9"/>
  <c r="N28" i="9"/>
  <c r="M28" i="9"/>
  <c r="P28" i="9"/>
  <c r="O28" i="9"/>
  <c r="K15" i="9"/>
  <c r="L15" i="9"/>
  <c r="P27" i="9"/>
  <c r="O27" i="9"/>
  <c r="K29" i="9"/>
  <c r="L29" i="9"/>
  <c r="N26" i="9"/>
  <c r="M26" i="9"/>
  <c r="K28" i="9"/>
  <c r="L28" i="9"/>
  <c r="O15" i="9"/>
  <c r="P15" i="9"/>
  <c r="M15" i="9"/>
  <c r="N15" i="9"/>
  <c r="N14" i="9"/>
  <c r="M14" i="9"/>
  <c r="M27" i="9"/>
  <c r="N27" i="9"/>
  <c r="O17" i="9"/>
  <c r="P17" i="9"/>
  <c r="O25" i="9"/>
  <c r="P25" i="9"/>
  <c r="K17" i="9"/>
  <c r="L17" i="9"/>
  <c r="M16" i="9"/>
  <c r="N16" i="9"/>
  <c r="M13" i="9"/>
  <c r="N13" i="9"/>
  <c r="L13" i="9"/>
  <c r="K13" i="9"/>
  <c r="L26" i="9"/>
  <c r="K26" i="9"/>
  <c r="O24" i="9"/>
  <c r="P24" i="9"/>
  <c r="O26" i="9"/>
  <c r="P26" i="9"/>
  <c r="P14" i="9"/>
  <c r="O14" i="9"/>
  <c r="N12" i="9"/>
  <c r="M12" i="9"/>
  <c r="K24" i="9"/>
  <c r="L24" i="9"/>
  <c r="M17" i="9"/>
  <c r="N17" i="9"/>
  <c r="O13" i="9"/>
  <c r="P13" i="9"/>
  <c r="M25" i="9"/>
  <c r="N25" i="9"/>
  <c r="L12" i="9"/>
  <c r="K12" i="9"/>
  <c r="N32" i="16"/>
  <c r="O29" i="16"/>
  <c r="M31" i="16"/>
  <c r="M33" i="16"/>
  <c r="M29" i="16"/>
  <c r="Q33" i="16"/>
  <c r="P31" i="16"/>
  <c r="Q30" i="16"/>
  <c r="Q29" i="16"/>
  <c r="L30" i="16"/>
  <c r="N30" i="16"/>
  <c r="Q31" i="16"/>
  <c r="L32" i="16"/>
  <c r="P32" i="16"/>
  <c r="L29" i="16"/>
  <c r="C18" i="16"/>
  <c r="L33" i="16"/>
  <c r="O30" i="16"/>
  <c r="N33" i="16"/>
  <c r="L31" i="16"/>
  <c r="P29" i="16"/>
  <c r="N29" i="16"/>
  <c r="P33" i="16"/>
  <c r="Q32" i="16"/>
  <c r="O32" i="16"/>
  <c r="O31" i="16"/>
  <c r="P30" i="16"/>
  <c r="N31" i="16"/>
  <c r="M32" i="16"/>
  <c r="M31" i="11"/>
  <c r="O33" i="11"/>
  <c r="P35" i="11"/>
  <c r="P34" i="11"/>
  <c r="L20" i="11"/>
  <c r="M18" i="11"/>
  <c r="K19" i="11"/>
  <c r="K35" i="11"/>
  <c r="P31" i="11"/>
  <c r="M35" i="11"/>
  <c r="O35" i="11"/>
  <c r="O34" i="11"/>
  <c r="N15" i="11"/>
  <c r="L19" i="11"/>
  <c r="K36" i="11"/>
  <c r="M20" i="11"/>
  <c r="P30" i="11"/>
  <c r="L36" i="11"/>
  <c r="L35" i="11"/>
  <c r="N19" i="11"/>
  <c r="M34" i="11"/>
  <c r="N18" i="11"/>
  <c r="N36" i="11"/>
  <c r="K33" i="11"/>
  <c r="L31" i="11"/>
  <c r="O32" i="11"/>
  <c r="L15" i="11"/>
  <c r="K20" i="11"/>
  <c r="L32" i="11"/>
  <c r="P36" i="11"/>
  <c r="N16" i="11"/>
  <c r="L16" i="11"/>
  <c r="K15" i="11"/>
  <c r="K18" i="11"/>
  <c r="L18" i="11"/>
  <c r="N20" i="11"/>
  <c r="M19" i="11"/>
  <c r="K13" i="11"/>
  <c r="K14" i="11"/>
  <c r="N30" i="11"/>
  <c r="L34" i="11"/>
  <c r="O20" i="11"/>
  <c r="P20" i="11"/>
  <c r="P19" i="11"/>
  <c r="O19" i="11"/>
  <c r="M36" i="11"/>
  <c r="P18" i="11"/>
  <c r="O18" i="11"/>
  <c r="N35" i="11"/>
  <c r="N34" i="11"/>
  <c r="M32" i="11"/>
  <c r="M29" i="11"/>
  <c r="P32" i="11"/>
  <c r="P16" i="11"/>
  <c r="O29" i="11"/>
  <c r="L33" i="11"/>
  <c r="O31" i="11"/>
  <c r="L14" i="11"/>
  <c r="M14" i="11"/>
  <c r="P15" i="11"/>
  <c r="P17" i="11"/>
  <c r="L13" i="11"/>
  <c r="N29" i="11"/>
  <c r="M33" i="11"/>
  <c r="K30" i="11"/>
  <c r="M15" i="11"/>
  <c r="N31" i="11"/>
  <c r="L17" i="11"/>
  <c r="P13" i="11"/>
  <c r="M16" i="11"/>
  <c r="K29" i="11"/>
  <c r="P14" i="11"/>
  <c r="K16" i="11"/>
  <c r="K31" i="11"/>
  <c r="L29" i="11"/>
  <c r="N17" i="11"/>
  <c r="N32" i="11"/>
  <c r="P29" i="11"/>
  <c r="M17" i="11"/>
  <c r="P33" i="11"/>
  <c r="K32" i="11"/>
  <c r="L30" i="11"/>
  <c r="N33" i="11"/>
  <c r="M13" i="11"/>
  <c r="O30" i="11"/>
  <c r="M12" i="11"/>
  <c r="O17" i="11"/>
  <c r="O16" i="11"/>
  <c r="O15" i="11"/>
  <c r="O12" i="11"/>
  <c r="P12" i="11"/>
  <c r="O14" i="11"/>
  <c r="O13" i="11"/>
  <c r="O42" i="18"/>
  <c r="L56" i="18"/>
  <c r="M57" i="18"/>
  <c r="P42" i="18"/>
  <c r="M44" i="18"/>
  <c r="L44" i="18"/>
  <c r="K12" i="11"/>
  <c r="D13" i="23"/>
  <c r="L28" i="15"/>
  <c r="T26" i="22"/>
  <c r="T12" i="22"/>
  <c r="U26" i="22"/>
  <c r="U12" i="22"/>
  <c r="N12" i="11"/>
  <c r="L12" i="11"/>
  <c r="I28" i="15"/>
  <c r="P53" i="18"/>
  <c r="J28" i="15"/>
  <c r="K28" i="15"/>
  <c r="W12" i="10"/>
  <c r="C12" i="15"/>
  <c r="M42" i="18"/>
  <c r="N53" i="18"/>
  <c r="G13" i="18"/>
  <c r="L52" i="18"/>
  <c r="L41" i="18"/>
  <c r="M53" i="18"/>
  <c r="O57" i="18"/>
  <c r="Q42" i="18"/>
  <c r="N57" i="18"/>
  <c r="M40" i="18"/>
  <c r="O40" i="18"/>
  <c r="O54" i="18"/>
  <c r="Q54" i="18"/>
  <c r="P45" i="18"/>
  <c r="L45" i="18"/>
  <c r="L54" i="18"/>
  <c r="O43" i="18"/>
  <c r="N52" i="18"/>
  <c r="O56" i="18"/>
  <c r="N40" i="18"/>
  <c r="Q45" i="18"/>
  <c r="O45" i="18"/>
  <c r="Q56" i="18"/>
  <c r="M55" i="18"/>
  <c r="O53" i="18"/>
  <c r="N56" i="18"/>
  <c r="P40" i="18"/>
  <c r="N41" i="18"/>
  <c r="M45" i="18"/>
  <c r="L42" i="18"/>
  <c r="N45" i="18"/>
  <c r="Q43" i="18"/>
  <c r="N42" i="18"/>
  <c r="O44" i="18"/>
  <c r="P56" i="18"/>
  <c r="M41" i="18"/>
  <c r="L55" i="18"/>
  <c r="N55" i="18"/>
  <c r="O55" i="18"/>
  <c r="O41" i="18"/>
  <c r="P54" i="18"/>
  <c r="L57" i="18"/>
  <c r="Q57" i="18"/>
  <c r="M56" i="18"/>
  <c r="Q44" i="18"/>
  <c r="P52" i="18"/>
  <c r="Q52" i="18"/>
  <c r="Q53" i="18"/>
  <c r="N43" i="18"/>
  <c r="P55" i="18"/>
  <c r="Q55" i="18"/>
  <c r="L53" i="18"/>
  <c r="P43" i="18"/>
  <c r="P44" i="18"/>
  <c r="N44" i="18"/>
  <c r="M43" i="18"/>
  <c r="L43" i="18"/>
  <c r="Q40" i="18"/>
  <c r="L40" i="18"/>
  <c r="M54" i="18"/>
  <c r="M52" i="18"/>
  <c r="O52" i="18"/>
  <c r="N54" i="18"/>
  <c r="P41" i="18"/>
  <c r="Q41" i="18"/>
  <c r="P57" i="18"/>
  <c r="I13" i="18"/>
  <c r="D13" i="18"/>
  <c r="C25" i="18"/>
  <c r="L39" i="9"/>
  <c r="D25" i="18"/>
  <c r="J13" i="18"/>
  <c r="D26" i="18"/>
  <c r="C26" i="18"/>
  <c r="G25" i="18"/>
  <c r="F25" i="18"/>
  <c r="F13" i="18"/>
  <c r="J13" i="16"/>
  <c r="P28" i="16"/>
  <c r="D18" i="16"/>
  <c r="Q28" i="16"/>
  <c r="F13" i="16"/>
  <c r="C13" i="16"/>
  <c r="D16" i="16"/>
  <c r="F17" i="16"/>
  <c r="N28" i="16"/>
  <c r="Z12" i="10"/>
  <c r="G18" i="16"/>
  <c r="F14" i="16"/>
  <c r="C15" i="16"/>
  <c r="O28" i="11"/>
  <c r="D13" i="16"/>
  <c r="G15" i="16"/>
  <c r="C14" i="16"/>
  <c r="F16" i="16"/>
  <c r="C17" i="16"/>
  <c r="G16" i="16"/>
  <c r="J18" i="16"/>
  <c r="D14" i="16"/>
  <c r="J17" i="16"/>
  <c r="O28" i="16"/>
  <c r="J14" i="16"/>
  <c r="G17" i="16"/>
  <c r="J15" i="16"/>
  <c r="C16" i="16"/>
  <c r="L28" i="16"/>
  <c r="D15" i="16"/>
  <c r="G14" i="16"/>
  <c r="F15" i="16"/>
  <c r="F18" i="16"/>
  <c r="G13" i="16"/>
  <c r="D17" i="16"/>
  <c r="J16" i="16"/>
  <c r="M28" i="16"/>
  <c r="K28" i="11"/>
  <c r="Z26" i="10"/>
  <c r="M28" i="11"/>
  <c r="N28" i="11"/>
  <c r="P51" i="9"/>
  <c r="Y12" i="10"/>
  <c r="X12" i="10"/>
  <c r="P28" i="11"/>
  <c r="L28" i="11"/>
  <c r="W26" i="10"/>
  <c r="X26" i="10"/>
  <c r="Y26" i="10"/>
  <c r="K51" i="9"/>
  <c r="K39" i="9"/>
  <c r="N51" i="9"/>
  <c r="M51" i="9"/>
  <c r="N39" i="9"/>
  <c r="P39" i="9"/>
  <c r="L51" i="9"/>
  <c r="O51" i="9"/>
  <c r="O39" i="9"/>
  <c r="AX17" i="11" l="1"/>
  <c r="BL12" i="9"/>
  <c r="BM26" i="9"/>
  <c r="BL26" i="9"/>
  <c r="BQ24" i="9"/>
  <c r="BP24" i="9"/>
  <c r="BM28" i="9"/>
  <c r="BL28" i="9"/>
  <c r="BL27" i="9"/>
  <c r="BM27" i="9"/>
  <c r="BQ27" i="9"/>
  <c r="BP27" i="9"/>
  <c r="BN26" i="9"/>
  <c r="BO26" i="9"/>
  <c r="BO28" i="9"/>
  <c r="BN28" i="9"/>
  <c r="BL25" i="9"/>
  <c r="BM25" i="9"/>
  <c r="BO24" i="9"/>
  <c r="BN24" i="9"/>
  <c r="BM24" i="9"/>
  <c r="BL24" i="9"/>
  <c r="BQ29" i="9"/>
  <c r="BP29" i="9"/>
  <c r="BO29" i="9"/>
  <c r="BN29" i="9"/>
  <c r="BO25" i="9"/>
  <c r="BN25" i="9"/>
  <c r="BP28" i="9"/>
  <c r="BQ28" i="9"/>
  <c r="BQ26" i="9"/>
  <c r="BP26" i="9"/>
  <c r="BP25" i="9"/>
  <c r="BQ25" i="9"/>
  <c r="BN27" i="9"/>
  <c r="BO27" i="9"/>
  <c r="BM29" i="9"/>
  <c r="BL29" i="9"/>
  <c r="BA16" i="11"/>
  <c r="BB16" i="11"/>
  <c r="BA19" i="11"/>
  <c r="BB19" i="11"/>
  <c r="AZ19" i="11"/>
  <c r="AY19" i="11"/>
  <c r="AX20" i="11"/>
  <c r="AW20" i="11"/>
  <c r="AY18" i="11"/>
  <c r="AZ18" i="11"/>
  <c r="BB17" i="11"/>
  <c r="BA17" i="11"/>
  <c r="AY13" i="11"/>
  <c r="AZ13" i="11"/>
  <c r="AY14" i="11"/>
  <c r="AZ14" i="11"/>
  <c r="AY16" i="11"/>
  <c r="AZ16" i="11"/>
  <c r="BB13" i="11"/>
  <c r="BA13" i="11"/>
  <c r="AY15" i="11"/>
  <c r="AZ15" i="11"/>
  <c r="BA20" i="11"/>
  <c r="BB20" i="11"/>
  <c r="AX18" i="11"/>
  <c r="AW18" i="11"/>
  <c r="AX13" i="11"/>
  <c r="AW13" i="11"/>
  <c r="BA14" i="11"/>
  <c r="BB14" i="11"/>
  <c r="AW16" i="11"/>
  <c r="AX16" i="11"/>
  <c r="AX15" i="11"/>
  <c r="AW15" i="11"/>
  <c r="BB15" i="11"/>
  <c r="BA15" i="11"/>
  <c r="BA18" i="11"/>
  <c r="BB18" i="11"/>
  <c r="AZ20" i="11"/>
  <c r="AY20" i="11"/>
  <c r="AW17" i="11"/>
  <c r="AY17" i="11"/>
  <c r="AZ17" i="11"/>
  <c r="AW14" i="11"/>
  <c r="AX14" i="11"/>
  <c r="AX19" i="11"/>
  <c r="AW19" i="11"/>
  <c r="AZ12" i="11"/>
  <c r="BB12" i="11"/>
  <c r="AW12" i="11"/>
  <c r="BN17" i="9"/>
  <c r="BO17" i="9"/>
  <c r="BN13" i="9"/>
  <c r="BO13" i="9"/>
  <c r="BL15" i="9"/>
  <c r="BM15" i="9"/>
  <c r="BM14" i="9"/>
  <c r="BL14" i="9"/>
  <c r="BM12" i="9"/>
  <c r="BP13" i="9"/>
  <c r="BQ13" i="9"/>
  <c r="BO12" i="9"/>
  <c r="BN12" i="9"/>
  <c r="BL16" i="9"/>
  <c r="BM16" i="9"/>
  <c r="BN14" i="9"/>
  <c r="BO14" i="9"/>
  <c r="BP17" i="9"/>
  <c r="BQ17" i="9"/>
  <c r="BL13" i="9"/>
  <c r="BM13" i="9"/>
  <c r="BP14" i="9"/>
  <c r="BQ14" i="9"/>
  <c r="BQ16" i="9"/>
  <c r="BP16" i="9"/>
  <c r="BL17" i="9"/>
  <c r="BM17" i="9"/>
  <c r="BO15" i="9"/>
  <c r="BN15" i="9"/>
  <c r="BP15" i="9"/>
  <c r="BQ15" i="9"/>
  <c r="BN16" i="9"/>
  <c r="BO16" i="9"/>
  <c r="AY12" i="11"/>
  <c r="AX12" i="11"/>
  <c r="BA12" i="11"/>
  <c r="P12" i="9"/>
  <c r="O12" i="9"/>
  <c r="BQ12" i="9" l="1"/>
  <c r="BP12" i="9"/>
  <c r="G28" i="23" l="1"/>
  <c r="F28" i="23"/>
</calcChain>
</file>

<file path=xl/sharedStrings.xml><?xml version="1.0" encoding="utf-8"?>
<sst xmlns="http://schemas.openxmlformats.org/spreadsheetml/2006/main" count="4860" uniqueCount="577">
  <si>
    <t>Supplementary Tables</t>
  </si>
  <si>
    <t>Contents</t>
  </si>
  <si>
    <t>Click on the corresponding table number to go directly to your chosen table.</t>
  </si>
  <si>
    <t>Table 1</t>
  </si>
  <si>
    <t>Table 2</t>
  </si>
  <si>
    <t>Table 3</t>
  </si>
  <si>
    <t>Table 4</t>
  </si>
  <si>
    <t>Table 5</t>
  </si>
  <si>
    <t>Estimate stratified by OAT status</t>
  </si>
  <si>
    <t>Table 6</t>
  </si>
  <si>
    <t>Estimate stratified by OAT status and by sex</t>
  </si>
  <si>
    <t>Table 7</t>
  </si>
  <si>
    <t>Estimate stratified by OAT status and by age group</t>
  </si>
  <si>
    <t>Table 8</t>
  </si>
  <si>
    <t>Estimate stratified by OAT status and by age group and sex</t>
  </si>
  <si>
    <t>Table 9</t>
  </si>
  <si>
    <t>Number of opioid related deaths by financial year and OAT status</t>
  </si>
  <si>
    <t>Table 10</t>
  </si>
  <si>
    <t>Number of opioid related hospital admissions by financial year and OAT status</t>
  </si>
  <si>
    <t>Notes</t>
  </si>
  <si>
    <t>1. Estimates are presented with 95% credible intervals (CrIs) to represent the extent of uncertainty around each finding.</t>
  </si>
  <si>
    <t>a</t>
  </si>
  <si>
    <t>Back to contents</t>
  </si>
  <si>
    <t xml:space="preserve">Table 1: </t>
  </si>
  <si>
    <t>Includes 95% credible intervals (Lower &amp; Upper)</t>
  </si>
  <si>
    <t>Location</t>
  </si>
  <si>
    <t>Sex</t>
  </si>
  <si>
    <t>Age_Band</t>
  </si>
  <si>
    <t>NHSBoards</t>
  </si>
  <si>
    <t>Naloxone Type</t>
  </si>
  <si>
    <t>Number</t>
  </si>
  <si>
    <t>All</t>
  </si>
  <si>
    <t>Scotland</t>
  </si>
  <si>
    <t>Financial Year</t>
  </si>
  <si>
    <t>Lower</t>
  </si>
  <si>
    <t>Estimate</t>
  </si>
  <si>
    <t>Upper</t>
  </si>
  <si>
    <t>Males</t>
  </si>
  <si>
    <t>NHS Greater Glasgow &amp; Clyde</t>
  </si>
  <si>
    <t>2014/15</t>
  </si>
  <si>
    <t>Negative</t>
  </si>
  <si>
    <t>Positive</t>
  </si>
  <si>
    <t>Females</t>
  </si>
  <si>
    <t>NHS Lothian</t>
  </si>
  <si>
    <t>2015/16</t>
  </si>
  <si>
    <t>NHS Tayside</t>
  </si>
  <si>
    <t>2016/17</t>
  </si>
  <si>
    <t>2017/18</t>
  </si>
  <si>
    <t>2018/19</t>
  </si>
  <si>
    <t>2019/20</t>
  </si>
  <si>
    <t>Prevalence</t>
  </si>
  <si>
    <t xml:space="preserve">1. The estimates described above relate to people aged 15 to 64 years only. </t>
  </si>
  <si>
    <t>2. Estimates are presented with 95% credible intervals (CrIs) to represent the extent of uncertainty around each finding.</t>
  </si>
  <si>
    <t xml:space="preserve">Table 2: </t>
  </si>
  <si>
    <t xml:space="preserve">Table 3: </t>
  </si>
  <si>
    <t>Age Group</t>
  </si>
  <si>
    <t>15-34</t>
  </si>
  <si>
    <t>35-49</t>
  </si>
  <si>
    <t>50-64</t>
  </si>
  <si>
    <t xml:space="preserve">Table 4: </t>
  </si>
  <si>
    <t>Males 15-34</t>
  </si>
  <si>
    <t>Males 35-49</t>
  </si>
  <si>
    <t>Males 50-64</t>
  </si>
  <si>
    <t>Females 15-34</t>
  </si>
  <si>
    <t>Females 35-49</t>
  </si>
  <si>
    <t>Females 50-64</t>
  </si>
  <si>
    <t>A</t>
  </si>
  <si>
    <t xml:space="preserve">Table 5: </t>
  </si>
  <si>
    <t>% OAT exposure includes 95% credible intervals (Lower &amp; Upper)</t>
  </si>
  <si>
    <t>s</t>
  </si>
  <si>
    <t>Observed (on OAT in year)</t>
  </si>
  <si>
    <t>Observed (on OAT in preceding 4 years)</t>
  </si>
  <si>
    <r>
      <t>Unobserved (not on OAT this year or preceeding 4 years)</t>
    </r>
    <r>
      <rPr>
        <vertAlign val="superscript"/>
        <sz val="12"/>
        <color rgb="FF2F75B5"/>
        <rFont val="Arial"/>
        <family val="2"/>
      </rPr>
      <t>5</t>
    </r>
  </si>
  <si>
    <t>Cohort</t>
  </si>
  <si>
    <t>% OAT Exposure</t>
  </si>
  <si>
    <t xml:space="preserve">1.  The estimates described above relate to people aged 15 to 64 years only. </t>
  </si>
  <si>
    <t>2. OAT exposure relates to the number/percentage of the estimated number of people with opioid dependence, who had at least one OAT prescription during the financial year.</t>
  </si>
  <si>
    <t xml:space="preserve">3. All total population size estimates have been rounded to the nearest 100. </t>
  </si>
  <si>
    <t>4. Stratifications with an estimated size of 100 people are not described in further detail in these tables. When this occurs, X is shown.</t>
  </si>
  <si>
    <t xml:space="preserve">5. 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t>
  </si>
  <si>
    <t>Unobserved (not on OAT this year or preceeding 4 years)</t>
  </si>
  <si>
    <t xml:space="preserve">Table 6: </t>
  </si>
  <si>
    <t>aaaaaa</t>
  </si>
  <si>
    <t>Male</t>
  </si>
  <si>
    <t>Female</t>
  </si>
  <si>
    <r>
      <t>% OAT Exposure</t>
    </r>
    <r>
      <rPr>
        <b/>
        <vertAlign val="superscript"/>
        <sz val="12"/>
        <color rgb="FF2F75B5"/>
        <rFont val="Arial"/>
        <family val="2"/>
      </rPr>
      <t>2</t>
    </r>
  </si>
  <si>
    <t xml:space="preserve">Table 7: </t>
  </si>
  <si>
    <r>
      <t>Unobserved (not on OAT this year or preceeding 4 years)</t>
    </r>
    <r>
      <rPr>
        <b/>
        <vertAlign val="superscript"/>
        <sz val="12"/>
        <color rgb="FF2F75B5"/>
        <rFont val="Arial"/>
        <family val="2"/>
      </rPr>
      <t>2</t>
    </r>
  </si>
  <si>
    <t>aaaaa</t>
  </si>
  <si>
    <t xml:space="preserve">Table 8: </t>
  </si>
  <si>
    <r>
      <t>Unobserved (not on OAT this year or preceeding 4 years)</t>
    </r>
    <r>
      <rPr>
        <b/>
        <vertAlign val="superscript"/>
        <sz val="12"/>
        <color rgb="FF2F75B5"/>
        <rFont val="Arial"/>
        <family val="2"/>
      </rPr>
      <t>5</t>
    </r>
  </si>
  <si>
    <t>% OAT Expsoure</t>
  </si>
  <si>
    <t xml:space="preserve">Table 9: </t>
  </si>
  <si>
    <r>
      <t>Number of opioid related deaths by financial year and OAT status</t>
    </r>
    <r>
      <rPr>
        <b/>
        <vertAlign val="superscript"/>
        <sz val="12"/>
        <color theme="1"/>
        <rFont val="Arial"/>
        <family val="2"/>
      </rPr>
      <t>1,2</t>
    </r>
  </si>
  <si>
    <t>Total</t>
  </si>
  <si>
    <t xml:space="preserve">1.  The numbers described above relate to people aged 15 to 64 years only. </t>
  </si>
  <si>
    <t>2. Further details about the data used for statistical modelling and definitions of the events modelled (e.g. opioid-related deaths and overdose hospitalisations) can be found in Appendix 1 of the report.</t>
  </si>
  <si>
    <t xml:space="preserve">Table 10: </t>
  </si>
  <si>
    <r>
      <t>Number of opioid related hospital admissions by financial year and OAT status</t>
    </r>
    <r>
      <rPr>
        <b/>
        <vertAlign val="superscript"/>
        <sz val="12"/>
        <color theme="1"/>
        <rFont val="Arial"/>
        <family val="2"/>
      </rPr>
      <t>1,2</t>
    </r>
  </si>
  <si>
    <t>Concatenate</t>
  </si>
  <si>
    <t>NHS_Board</t>
  </si>
  <si>
    <t>Year</t>
  </si>
  <si>
    <t>Est_Num</t>
  </si>
  <si>
    <t>Est_Num_Lower</t>
  </si>
  <si>
    <t>Est_Num_Upper</t>
  </si>
  <si>
    <t>Est_Prev</t>
  </si>
  <si>
    <t>Est_Prev_Low</t>
  </si>
  <si>
    <t>Est_Prev_Upper</t>
  </si>
  <si>
    <t>Implied%Observed</t>
  </si>
  <si>
    <t>I%O_Lower</t>
  </si>
  <si>
    <t>I%O_Upper</t>
  </si>
  <si>
    <t>onOAT</t>
  </si>
  <si>
    <t>Implied%OATCoverage</t>
  </si>
  <si>
    <t>I%OC_Lower</t>
  </si>
  <si>
    <t>I%OC_Upper</t>
  </si>
  <si>
    <t>Financial_Year</t>
  </si>
  <si>
    <t>Estimated Prevalence of Opoioid Dependence in Scotland, 2014/15 to 2022/23</t>
  </si>
  <si>
    <t>Estimated number of people with opioid dependence, and prevalence (%) of opioid dependence: financial years 2014/15 - 2022/23</t>
  </si>
  <si>
    <t>Estimated number of people with opioid dependence, and prevalence (%) of opioid dependence, by sex: financial years 2014/15 - 2022/23</t>
  </si>
  <si>
    <t>Estimated number of people with opioid dependence, and prevalence (%) of opioid dependence, by age group: financial years 2014/15 - 2022/23</t>
  </si>
  <si>
    <t>Estimated number of people with opioid dependence, and prevalence (%) of opioid dependence, by age group and sex: financial years 2014/15 - 2022/23</t>
  </si>
  <si>
    <r>
      <t>Estimated number of people with opioid dependence, and prevalence (%) of opioid dependence: financial years 2014/15 - 2022/23</t>
    </r>
    <r>
      <rPr>
        <b/>
        <vertAlign val="superscript"/>
        <sz val="12"/>
        <color theme="1"/>
        <rFont val="Arial"/>
        <family val="2"/>
      </rPr>
      <t>1,2,3</t>
    </r>
  </si>
  <si>
    <t>Publication date: 18 March 2025</t>
  </si>
  <si>
    <r>
      <t>Estimated number of people with opioid dependence, and prevalence (%) of opioid dependence, by sex: financial years 2014/15 - 2022/23</t>
    </r>
    <r>
      <rPr>
        <b/>
        <vertAlign val="superscript"/>
        <sz val="12"/>
        <color theme="1"/>
        <rFont val="Arial"/>
        <family val="2"/>
      </rPr>
      <t>1,2,3</t>
    </r>
  </si>
  <si>
    <t>2020/21</t>
  </si>
  <si>
    <t>2021/22</t>
  </si>
  <si>
    <t>2022/23</t>
  </si>
  <si>
    <t>NHS Lanarkshire</t>
  </si>
  <si>
    <t>NHS Grampian</t>
  </si>
  <si>
    <t>NHS Fife</t>
  </si>
  <si>
    <t>NHS Ayrshire &amp; Arran</t>
  </si>
  <si>
    <t>2014/15ScotlandFemales15-34</t>
  </si>
  <si>
    <t>2014/15ScotlandMales15-34</t>
  </si>
  <si>
    <t>2015/16ScotlandFemales15-34</t>
  </si>
  <si>
    <t>2015/16ScotlandMales15-34</t>
  </si>
  <si>
    <t>2016/17ScotlandFemales15-34</t>
  </si>
  <si>
    <t>2016/17ScotlandMales15-34</t>
  </si>
  <si>
    <t>2017/18ScotlandFemales15-34</t>
  </si>
  <si>
    <t>2017/18ScotlandMales15-34</t>
  </si>
  <si>
    <t>2018/19ScotlandFemales15-34</t>
  </si>
  <si>
    <t>2018/19ScotlandMales15-34</t>
  </si>
  <si>
    <t>2019/20ScotlandFemales15-34</t>
  </si>
  <si>
    <t>2019/20ScotlandMales15-34</t>
  </si>
  <si>
    <t>2020/21ScotlandFemales15-34</t>
  </si>
  <si>
    <t>2020/21ScotlandMales15-34</t>
  </si>
  <si>
    <t>2021/22ScotlandFemales15-34</t>
  </si>
  <si>
    <t>2021/22ScotlandMales15-34</t>
  </si>
  <si>
    <t>2022/23ScotlandFemales15-34</t>
  </si>
  <si>
    <t>2022/23ScotlandMales15-34</t>
  </si>
  <si>
    <t>2014/15ScotlandFemales35-49</t>
  </si>
  <si>
    <t>2014/15ScotlandMales35-49</t>
  </si>
  <si>
    <t>2015/16ScotlandFemales35-49</t>
  </si>
  <si>
    <t>2015/16ScotlandMales35-49</t>
  </si>
  <si>
    <t>2016/17ScotlandFemales35-49</t>
  </si>
  <si>
    <t>2016/17ScotlandMales35-49</t>
  </si>
  <si>
    <t>2017/18ScotlandFemales35-49</t>
  </si>
  <si>
    <t>2017/18ScotlandMales35-49</t>
  </si>
  <si>
    <t>2018/19ScotlandFemales35-49</t>
  </si>
  <si>
    <t>2018/19ScotlandMales35-49</t>
  </si>
  <si>
    <t>2019/20ScotlandFemales35-49</t>
  </si>
  <si>
    <t>2019/20ScotlandMales35-49</t>
  </si>
  <si>
    <t>2020/21ScotlandFemales35-49</t>
  </si>
  <si>
    <t>2020/21ScotlandMales35-49</t>
  </si>
  <si>
    <t>2021/22ScotlandFemales35-49</t>
  </si>
  <si>
    <t>2021/22ScotlandMales35-49</t>
  </si>
  <si>
    <t>2022/23ScotlandFemales35-49</t>
  </si>
  <si>
    <t>2022/23ScotlandMales35-49</t>
  </si>
  <si>
    <t>2014/15ScotlandFemales50-64</t>
  </si>
  <si>
    <t>2014/15ScotlandMales50-64</t>
  </si>
  <si>
    <t>2015/16ScotlandFemales50-64</t>
  </si>
  <si>
    <t>2015/16ScotlandMales50-64</t>
  </si>
  <si>
    <t>2016/17ScotlandFemales50-64</t>
  </si>
  <si>
    <t>2016/17ScotlandMales50-64</t>
  </si>
  <si>
    <t>2017/18ScotlandFemales50-64</t>
  </si>
  <si>
    <t>2017/18ScotlandMales50-64</t>
  </si>
  <si>
    <t>2018/19ScotlandFemales50-64</t>
  </si>
  <si>
    <t>2018/19ScotlandMales50-64</t>
  </si>
  <si>
    <t>2019/20ScotlandFemales50-64</t>
  </si>
  <si>
    <t>2019/20ScotlandMales50-64</t>
  </si>
  <si>
    <t>2020/21ScotlandFemales50-64</t>
  </si>
  <si>
    <t>2020/21ScotlandMales50-64</t>
  </si>
  <si>
    <t>2021/22ScotlandFemales50-64</t>
  </si>
  <si>
    <t>2021/22ScotlandMales50-64</t>
  </si>
  <si>
    <t>2022/23ScotlandFemales50-64</t>
  </si>
  <si>
    <t>2022/23ScotlandMales50-64</t>
  </si>
  <si>
    <t>2014/15NHS Greater Glasgow &amp; ClydeFemales15-34</t>
  </si>
  <si>
    <t>2014/15NHS Greater Glasgow &amp; ClydeMales15-34</t>
  </si>
  <si>
    <t>2015/16NHS Greater Glasgow &amp; ClydeFemales15-34</t>
  </si>
  <si>
    <t>2015/16NHS Greater Glasgow &amp; ClydeMales15-34</t>
  </si>
  <si>
    <t>2016/17NHS Greater Glasgow &amp; ClydeFemales15-34</t>
  </si>
  <si>
    <t>2016/17NHS Greater Glasgow &amp; ClydeMales15-34</t>
  </si>
  <si>
    <t>2017/18NHS Greater Glasgow &amp; ClydeFemales15-34</t>
  </si>
  <si>
    <t>2017/18NHS Greater Glasgow &amp; ClydeMales15-34</t>
  </si>
  <si>
    <t>2018/19NHS Greater Glasgow &amp; ClydeFemales15-34</t>
  </si>
  <si>
    <t>2018/19NHS Greater Glasgow &amp; ClydeMales15-34</t>
  </si>
  <si>
    <t>2019/20NHS Greater Glasgow &amp; ClydeFemales15-34</t>
  </si>
  <si>
    <t>2019/20NHS Greater Glasgow &amp; ClydeMales15-34</t>
  </si>
  <si>
    <t>2020/21NHS Greater Glasgow &amp; ClydeFemales15-34</t>
  </si>
  <si>
    <t>2020/21NHS Greater Glasgow &amp; ClydeMales15-34</t>
  </si>
  <si>
    <t>2021/22NHS Greater Glasgow &amp; ClydeFemales15-34</t>
  </si>
  <si>
    <t>2021/22NHS Greater Glasgow &amp; ClydeMales15-34</t>
  </si>
  <si>
    <t>2022/23NHS Greater Glasgow &amp; ClydeFemales15-34</t>
  </si>
  <si>
    <t>2022/23NHS Greater Glasgow &amp; ClydeMales15-34</t>
  </si>
  <si>
    <t>2014/15NHS Greater Glasgow &amp; ClydeFemales35-49</t>
  </si>
  <si>
    <t>2014/15NHS Greater Glasgow &amp; ClydeMales35-49</t>
  </si>
  <si>
    <t>2015/16NHS Greater Glasgow &amp; ClydeFemales35-49</t>
  </si>
  <si>
    <t>2015/16NHS Greater Glasgow &amp; ClydeMales35-49</t>
  </si>
  <si>
    <t>2016/17NHS Greater Glasgow &amp; ClydeFemales35-49</t>
  </si>
  <si>
    <t>2016/17NHS Greater Glasgow &amp; ClydeMales35-49</t>
  </si>
  <si>
    <t>2017/18NHS Greater Glasgow &amp; ClydeFemales35-49</t>
  </si>
  <si>
    <t>2017/18NHS Greater Glasgow &amp; ClydeMales35-49</t>
  </si>
  <si>
    <t>2018/19NHS Greater Glasgow &amp; ClydeFemales35-49</t>
  </si>
  <si>
    <t>2018/19NHS Greater Glasgow &amp; ClydeMales35-49</t>
  </si>
  <si>
    <t>2019/20NHS Greater Glasgow &amp; ClydeFemales35-49</t>
  </si>
  <si>
    <t>2019/20NHS Greater Glasgow &amp; ClydeMales35-49</t>
  </si>
  <si>
    <t>2020/21NHS Greater Glasgow &amp; ClydeFemales35-49</t>
  </si>
  <si>
    <t>2020/21NHS Greater Glasgow &amp; ClydeMales35-49</t>
  </si>
  <si>
    <t>2021/22NHS Greater Glasgow &amp; ClydeFemales35-49</t>
  </si>
  <si>
    <t>2021/22NHS Greater Glasgow &amp; ClydeMales35-49</t>
  </si>
  <si>
    <t>2022/23NHS Greater Glasgow &amp; ClydeFemales35-49</t>
  </si>
  <si>
    <t>2022/23NHS Greater Glasgow &amp; ClydeMales35-49</t>
  </si>
  <si>
    <t>2014/15NHS Greater Glasgow &amp; ClydeFemales50-64</t>
  </si>
  <si>
    <t>2014/15NHS Greater Glasgow &amp; ClydeMales50-64</t>
  </si>
  <si>
    <t>2015/16NHS Greater Glasgow &amp; ClydeFemales50-64</t>
  </si>
  <si>
    <t>2015/16NHS Greater Glasgow &amp; ClydeMales50-64</t>
  </si>
  <si>
    <t>2016/17NHS Greater Glasgow &amp; ClydeFemales50-64</t>
  </si>
  <si>
    <t>2016/17NHS Greater Glasgow &amp; ClydeMales50-64</t>
  </si>
  <si>
    <t>2017/18NHS Greater Glasgow &amp; ClydeFemales50-64</t>
  </si>
  <si>
    <t>2017/18NHS Greater Glasgow &amp; ClydeMales50-64</t>
  </si>
  <si>
    <t>2018/19NHS Greater Glasgow &amp; ClydeFemales50-64</t>
  </si>
  <si>
    <t>2018/19NHS Greater Glasgow &amp; ClydeMales50-64</t>
  </si>
  <si>
    <t>2019/20NHS Greater Glasgow &amp; ClydeFemales50-64</t>
  </si>
  <si>
    <t>2019/20NHS Greater Glasgow &amp; ClydeMales50-64</t>
  </si>
  <si>
    <t>2020/21NHS Greater Glasgow &amp; ClydeFemales50-64</t>
  </si>
  <si>
    <t>2020/21NHS Greater Glasgow &amp; ClydeMales50-64</t>
  </si>
  <si>
    <t>2021/22NHS Greater Glasgow &amp; ClydeFemales50-64</t>
  </si>
  <si>
    <t>2021/22NHS Greater Glasgow &amp; ClydeMales50-64</t>
  </si>
  <si>
    <t>2022/23NHS Greater Glasgow &amp; ClydeFemales50-64</t>
  </si>
  <si>
    <t>2022/23NHS Greater Glasgow &amp; ClydeMales50-64</t>
  </si>
  <si>
    <t>2014/15NHS LothianFemales15-34</t>
  </si>
  <si>
    <t>2014/15NHS LothianMales15-34</t>
  </si>
  <si>
    <t>2015/16NHS LothianFemales15-34</t>
  </si>
  <si>
    <t>2015/16NHS LothianMales15-34</t>
  </si>
  <si>
    <t>2016/17NHS LothianFemales15-34</t>
  </si>
  <si>
    <t>2016/17NHS LothianMales15-34</t>
  </si>
  <si>
    <t>2017/18NHS LothianFemales15-34</t>
  </si>
  <si>
    <t>2017/18NHS LothianMales15-34</t>
  </si>
  <si>
    <t>2018/19NHS LothianFemales15-34</t>
  </si>
  <si>
    <t>2018/19NHS LothianMales15-34</t>
  </si>
  <si>
    <t>2019/20NHS LothianFemales15-34</t>
  </si>
  <si>
    <t>2019/20NHS LothianMales15-34</t>
  </si>
  <si>
    <t>2020/21NHS LothianFemales15-34</t>
  </si>
  <si>
    <t>2020/21NHS LothianMales15-34</t>
  </si>
  <si>
    <t>2021/22NHS LothianFemales15-34</t>
  </si>
  <si>
    <t>2021/22NHS LothianMales15-34</t>
  </si>
  <si>
    <t>2022/23NHS LothianFemales15-34</t>
  </si>
  <si>
    <t>2022/23NHS LothianMales15-34</t>
  </si>
  <si>
    <t>2014/15NHS LothianFemales35-49</t>
  </si>
  <si>
    <t>2014/15NHS LothianMales35-49</t>
  </si>
  <si>
    <t>2015/16NHS LothianFemales35-49</t>
  </si>
  <si>
    <t>2015/16NHS LothianMales35-49</t>
  </si>
  <si>
    <t>2016/17NHS LothianFemales35-49</t>
  </si>
  <si>
    <t>2016/17NHS LothianMales35-49</t>
  </si>
  <si>
    <t>2017/18NHS LothianFemales35-49</t>
  </si>
  <si>
    <t>2017/18NHS LothianMales35-49</t>
  </si>
  <si>
    <t>2018/19NHS LothianFemales35-49</t>
  </si>
  <si>
    <t>2018/19NHS LothianMales35-49</t>
  </si>
  <si>
    <t>2019/20NHS LothianFemales35-49</t>
  </si>
  <si>
    <t>2019/20NHS LothianMales35-49</t>
  </si>
  <si>
    <t>2020/21NHS LothianFemales35-49</t>
  </si>
  <si>
    <t>2020/21NHS LothianMales35-49</t>
  </si>
  <si>
    <t>2021/22NHS LothianFemales35-49</t>
  </si>
  <si>
    <t>2021/22NHS LothianMales35-49</t>
  </si>
  <si>
    <t>2022/23NHS LothianFemales35-49</t>
  </si>
  <si>
    <t>2022/23NHS LothianMales35-49</t>
  </si>
  <si>
    <t>2014/15NHS LothianFemales50-64</t>
  </si>
  <si>
    <t>2014/15NHS LothianMales50-64</t>
  </si>
  <si>
    <t>2015/16NHS LothianFemales50-64</t>
  </si>
  <si>
    <t>2015/16NHS LothianMales50-64</t>
  </si>
  <si>
    <t>2016/17NHS LothianFemales50-64</t>
  </si>
  <si>
    <t>2016/17NHS LothianMales50-64</t>
  </si>
  <si>
    <t>2017/18NHS LothianFemales50-64</t>
  </si>
  <si>
    <t>2017/18NHS LothianMales50-64</t>
  </si>
  <si>
    <t>2018/19NHS LothianFemales50-64</t>
  </si>
  <si>
    <t>2018/19NHS LothianMales50-64</t>
  </si>
  <si>
    <t>2019/20NHS LothianFemales50-64</t>
  </si>
  <si>
    <t>2019/20NHS LothianMales50-64</t>
  </si>
  <si>
    <t>2020/21NHS LothianFemales50-64</t>
  </si>
  <si>
    <t>2020/21NHS LothianMales50-64</t>
  </si>
  <si>
    <t>2021/22NHS LothianFemales50-64</t>
  </si>
  <si>
    <t>2021/22NHS LothianMales50-64</t>
  </si>
  <si>
    <t>2022/23NHS LothianFemales50-64</t>
  </si>
  <si>
    <t>2022/23NHS LothianMales50-64</t>
  </si>
  <si>
    <t>2014/15NHS LanarkshireFemales15-34</t>
  </si>
  <si>
    <t>2014/15NHS LanarkshireMales15-34</t>
  </si>
  <si>
    <t>2015/16NHS LanarkshireFemales15-34</t>
  </si>
  <si>
    <t>2015/16NHS LanarkshireMales15-34</t>
  </si>
  <si>
    <t>2016/17NHS LanarkshireFemales15-34</t>
  </si>
  <si>
    <t>2016/17NHS LanarkshireMales15-34</t>
  </si>
  <si>
    <t>2017/18NHS LanarkshireFemales15-34</t>
  </si>
  <si>
    <t>2017/18NHS LanarkshireMales15-34</t>
  </si>
  <si>
    <t>2018/19NHS LanarkshireFemales15-34</t>
  </si>
  <si>
    <t>2018/19NHS LanarkshireMales15-34</t>
  </si>
  <si>
    <t>2019/20NHS LanarkshireFemales15-34</t>
  </si>
  <si>
    <t>2019/20NHS LanarkshireMales15-34</t>
  </si>
  <si>
    <t>2020/21NHS LanarkshireFemales15-34</t>
  </si>
  <si>
    <t>2020/21NHS LanarkshireMales15-34</t>
  </si>
  <si>
    <t>2021/22NHS LanarkshireFemales15-34</t>
  </si>
  <si>
    <t>2021/22NHS LanarkshireMales15-34</t>
  </si>
  <si>
    <t>2022/23NHS LanarkshireFemales15-34</t>
  </si>
  <si>
    <t>2022/23NHS LanarkshireMales15-34</t>
  </si>
  <si>
    <t>2014/15NHS LanarkshireFemales35-49</t>
  </si>
  <si>
    <t>2014/15NHS LanarkshireMales35-49</t>
  </si>
  <si>
    <t>2015/16NHS LanarkshireFemales35-49</t>
  </si>
  <si>
    <t>2015/16NHS LanarkshireMales35-49</t>
  </si>
  <si>
    <t>2016/17NHS LanarkshireFemales35-49</t>
  </si>
  <si>
    <t>2016/17NHS LanarkshireMales35-49</t>
  </si>
  <si>
    <t>2017/18NHS LanarkshireFemales35-49</t>
  </si>
  <si>
    <t>2017/18NHS LanarkshireMales35-49</t>
  </si>
  <si>
    <t>2018/19NHS LanarkshireFemales35-49</t>
  </si>
  <si>
    <t>2018/19NHS LanarkshireMales35-49</t>
  </si>
  <si>
    <t>2019/20NHS LanarkshireFemales35-49</t>
  </si>
  <si>
    <t>2019/20NHS LanarkshireMales35-49</t>
  </si>
  <si>
    <t>2020/21NHS LanarkshireFemales35-49</t>
  </si>
  <si>
    <t>2020/21NHS LanarkshireMales35-49</t>
  </si>
  <si>
    <t>2021/22NHS LanarkshireFemales35-49</t>
  </si>
  <si>
    <t>2021/22NHS LanarkshireMales35-49</t>
  </si>
  <si>
    <t>2022/23NHS LanarkshireFemales35-49</t>
  </si>
  <si>
    <t>2022/23NHS LanarkshireMales35-49</t>
  </si>
  <si>
    <t>2014/15NHS LanarkshireFemales50-64</t>
  </si>
  <si>
    <t>2014/15NHS LanarkshireMales50-64</t>
  </si>
  <si>
    <t>2015/16NHS LanarkshireFemales50-64</t>
  </si>
  <si>
    <t>2015/16NHS LanarkshireMales50-64</t>
  </si>
  <si>
    <t>2016/17NHS LanarkshireFemales50-64</t>
  </si>
  <si>
    <t>2016/17NHS LanarkshireMales50-64</t>
  </si>
  <si>
    <t>2017/18NHS LanarkshireFemales50-64</t>
  </si>
  <si>
    <t>2017/18NHS LanarkshireMales50-64</t>
  </si>
  <si>
    <t>2018/19NHS LanarkshireFemales50-64</t>
  </si>
  <si>
    <t>2018/19NHS LanarkshireMales50-64</t>
  </si>
  <si>
    <t>2019/20NHS LanarkshireFemales50-64</t>
  </si>
  <si>
    <t>2019/20NHS LanarkshireMales50-64</t>
  </si>
  <si>
    <t>2020/21NHS LanarkshireFemales50-64</t>
  </si>
  <si>
    <t>2020/21NHS LanarkshireMales50-64</t>
  </si>
  <si>
    <t>2021/22NHS LanarkshireFemales50-64</t>
  </si>
  <si>
    <t>2021/22NHS LanarkshireMales50-64</t>
  </si>
  <si>
    <t>2022/23NHS LanarkshireFemales50-64</t>
  </si>
  <si>
    <t>2022/23NHS LanarkshireMales50-64</t>
  </si>
  <si>
    <t>2014/15NHS GrampianFemales15-34</t>
  </si>
  <si>
    <t>2014/15NHS GrampianMales15-34</t>
  </si>
  <si>
    <t>2015/16NHS GrampianFemales15-34</t>
  </si>
  <si>
    <t>2015/16NHS GrampianMales15-34</t>
  </si>
  <si>
    <t>2016/17NHS GrampianFemales15-34</t>
  </si>
  <si>
    <t>2016/17NHS GrampianMales15-34</t>
  </si>
  <si>
    <t>2017/18NHS GrampianFemales15-34</t>
  </si>
  <si>
    <t>2017/18NHS GrampianMales15-34</t>
  </si>
  <si>
    <t>2018/19NHS GrampianFemales15-34</t>
  </si>
  <si>
    <t>2018/19NHS GrampianMales15-34</t>
  </si>
  <si>
    <t>2019/20NHS GrampianFemales15-34</t>
  </si>
  <si>
    <t>2019/20NHS GrampianMales15-34</t>
  </si>
  <si>
    <t>2020/21NHS GrampianFemales15-34</t>
  </si>
  <si>
    <t>2020/21NHS GrampianMales15-34</t>
  </si>
  <si>
    <t>2021/22NHS GrampianFemales15-34</t>
  </si>
  <si>
    <t>2021/22NHS GrampianMales15-34</t>
  </si>
  <si>
    <t>2022/23NHS GrampianFemales15-34</t>
  </si>
  <si>
    <t>2022/23NHS GrampianMales15-34</t>
  </si>
  <si>
    <t>2014/15NHS GrampianFemales35-49</t>
  </si>
  <si>
    <t>2014/15NHS GrampianMales35-49</t>
  </si>
  <si>
    <t>2015/16NHS GrampianFemales35-49</t>
  </si>
  <si>
    <t>2015/16NHS GrampianMales35-49</t>
  </si>
  <si>
    <t>2016/17NHS GrampianFemales35-49</t>
  </si>
  <si>
    <t>2016/17NHS GrampianMales35-49</t>
  </si>
  <si>
    <t>2017/18NHS GrampianFemales35-49</t>
  </si>
  <si>
    <t>2017/18NHS GrampianMales35-49</t>
  </si>
  <si>
    <t>2018/19NHS GrampianFemales35-49</t>
  </si>
  <si>
    <t>2018/19NHS GrampianMales35-49</t>
  </si>
  <si>
    <t>2019/20NHS GrampianFemales35-49</t>
  </si>
  <si>
    <t>2019/20NHS GrampianMales35-49</t>
  </si>
  <si>
    <t>2020/21NHS GrampianFemales35-49</t>
  </si>
  <si>
    <t>2020/21NHS GrampianMales35-49</t>
  </si>
  <si>
    <t>2021/22NHS GrampianFemales35-49</t>
  </si>
  <si>
    <t>2021/22NHS GrampianMales35-49</t>
  </si>
  <si>
    <t>2022/23NHS GrampianFemales35-49</t>
  </si>
  <si>
    <t>2022/23NHS GrampianMales35-49</t>
  </si>
  <si>
    <t>2014/15NHS GrampianFemales50-64</t>
  </si>
  <si>
    <t>2014/15NHS GrampianMales50-64</t>
  </si>
  <si>
    <t>2015/16NHS GrampianFemales50-64</t>
  </si>
  <si>
    <t>2015/16NHS GrampianMales50-64</t>
  </si>
  <si>
    <t>2016/17NHS GrampianFemales50-64</t>
  </si>
  <si>
    <t>2016/17NHS GrampianMales50-64</t>
  </si>
  <si>
    <t>2017/18NHS GrampianFemales50-64</t>
  </si>
  <si>
    <t>2017/18NHS GrampianMales50-64</t>
  </si>
  <si>
    <t>2018/19NHS GrampianFemales50-64</t>
  </si>
  <si>
    <t>2018/19NHS GrampianMales50-64</t>
  </si>
  <si>
    <t>2019/20NHS GrampianFemales50-64</t>
  </si>
  <si>
    <t>2019/20NHS GrampianMales50-64</t>
  </si>
  <si>
    <t>2020/21NHS GrampianFemales50-64</t>
  </si>
  <si>
    <t>2020/21NHS GrampianMales50-64</t>
  </si>
  <si>
    <t>2021/22NHS GrampianFemales50-64</t>
  </si>
  <si>
    <t>2021/22NHS GrampianMales50-64</t>
  </si>
  <si>
    <t>2022/23NHS GrampianFemales50-64</t>
  </si>
  <si>
    <t>2022/23NHS GrampianMales50-64</t>
  </si>
  <si>
    <t>2014/15NHS TaysideFemales15-34</t>
  </si>
  <si>
    <t>2014/15NHS TaysideMales15-34</t>
  </si>
  <si>
    <t>2015/16NHS TaysideFemales15-34</t>
  </si>
  <si>
    <t>2015/16NHS TaysideMales15-34</t>
  </si>
  <si>
    <t>2016/17NHS TaysideFemales15-34</t>
  </si>
  <si>
    <t>2016/17NHS TaysideMales15-34</t>
  </si>
  <si>
    <t>2017/18NHS TaysideFemales15-34</t>
  </si>
  <si>
    <t>2017/18NHS TaysideMales15-34</t>
  </si>
  <si>
    <t>2018/19NHS TaysideFemales15-34</t>
  </si>
  <si>
    <t>2018/19NHS TaysideMales15-34</t>
  </si>
  <si>
    <t>2019/20NHS TaysideFemales15-34</t>
  </si>
  <si>
    <t>2019/20NHS TaysideMales15-34</t>
  </si>
  <si>
    <t>2020/21NHS TaysideFemales15-34</t>
  </si>
  <si>
    <t>2020/21NHS TaysideMales15-34</t>
  </si>
  <si>
    <t>2021/22NHS TaysideFemales15-34</t>
  </si>
  <si>
    <t>2021/22NHS TaysideMales15-34</t>
  </si>
  <si>
    <t>2022/23NHS TaysideFemales15-34</t>
  </si>
  <si>
    <t>2022/23NHS TaysideMales15-34</t>
  </si>
  <si>
    <t>2014/15NHS TaysideFemales35-49</t>
  </si>
  <si>
    <t>2014/15NHS TaysideMales35-49</t>
  </si>
  <si>
    <t>2015/16NHS TaysideFemales35-49</t>
  </si>
  <si>
    <t>2015/16NHS TaysideMales35-49</t>
  </si>
  <si>
    <t>2016/17NHS TaysideFemales35-49</t>
  </si>
  <si>
    <t>2016/17NHS TaysideMales35-49</t>
  </si>
  <si>
    <t>2017/18NHS TaysideFemales35-49</t>
  </si>
  <si>
    <t>2017/18NHS TaysideMales35-49</t>
  </si>
  <si>
    <t>2018/19NHS TaysideFemales35-49</t>
  </si>
  <si>
    <t>2018/19NHS TaysideMales35-49</t>
  </si>
  <si>
    <t>2019/20NHS TaysideFemales35-49</t>
  </si>
  <si>
    <t>2019/20NHS TaysideMales35-49</t>
  </si>
  <si>
    <t>2020/21NHS TaysideFemales35-49</t>
  </si>
  <si>
    <t>2020/21NHS TaysideMales35-49</t>
  </si>
  <si>
    <t>2021/22NHS TaysideFemales35-49</t>
  </si>
  <si>
    <t>2021/22NHS TaysideMales35-49</t>
  </si>
  <si>
    <t>2022/23NHS TaysideFemales35-49</t>
  </si>
  <si>
    <t>2022/23NHS TaysideMales35-49</t>
  </si>
  <si>
    <t>2014/15NHS TaysideFemales50-64</t>
  </si>
  <si>
    <t>2014/15NHS TaysideMales50-64</t>
  </si>
  <si>
    <t>2015/16NHS TaysideFemales50-64</t>
  </si>
  <si>
    <t>2015/16NHS TaysideMales50-64</t>
  </si>
  <si>
    <t>2016/17NHS TaysideFemales50-64</t>
  </si>
  <si>
    <t>2016/17NHS TaysideMales50-64</t>
  </si>
  <si>
    <t>2017/18NHS TaysideFemales50-64</t>
  </si>
  <si>
    <t>2017/18NHS TaysideMales50-64</t>
  </si>
  <si>
    <t>2018/19NHS TaysideFemales50-64</t>
  </si>
  <si>
    <t>2018/19NHS TaysideMales50-64</t>
  </si>
  <si>
    <t>2019/20NHS TaysideFemales50-64</t>
  </si>
  <si>
    <t>2019/20NHS TaysideMales50-64</t>
  </si>
  <si>
    <t>2020/21NHS TaysideFemales50-64</t>
  </si>
  <si>
    <t>2020/21NHS TaysideMales50-64</t>
  </si>
  <si>
    <t>2021/22NHS TaysideFemales50-64</t>
  </si>
  <si>
    <t>2021/22NHS TaysideMales50-64</t>
  </si>
  <si>
    <t>2022/23NHS TaysideFemales50-64</t>
  </si>
  <si>
    <t>2022/23NHS TaysideMales50-64</t>
  </si>
  <si>
    <t>2014/15NHS FifeFemales15-34</t>
  </si>
  <si>
    <t>2014/15NHS FifeMales15-34</t>
  </si>
  <si>
    <t>2015/16NHS FifeFemales15-34</t>
  </si>
  <si>
    <t>2015/16NHS FifeMales15-34</t>
  </si>
  <si>
    <t>2016/17NHS FifeFemales15-34</t>
  </si>
  <si>
    <t>2016/17NHS FifeMales15-34</t>
  </si>
  <si>
    <t>2017/18NHS FifeFemales15-34</t>
  </si>
  <si>
    <t>2017/18NHS FifeMales15-34</t>
  </si>
  <si>
    <t>2018/19NHS FifeFemales15-34</t>
  </si>
  <si>
    <t>2018/19NHS FifeMales15-34</t>
  </si>
  <si>
    <t>2019/20NHS FifeFemales15-34</t>
  </si>
  <si>
    <t>2019/20NHS FifeMales15-34</t>
  </si>
  <si>
    <t>2020/21NHS FifeFemales15-34</t>
  </si>
  <si>
    <t>2020/21NHS FifeMales15-34</t>
  </si>
  <si>
    <t>2021/22NHS FifeFemales15-34</t>
  </si>
  <si>
    <t>2021/22NHS FifeMales15-34</t>
  </si>
  <si>
    <t>2022/23NHS FifeFemales15-34</t>
  </si>
  <si>
    <t>2022/23NHS FifeMales15-34</t>
  </si>
  <si>
    <t>2014/15NHS FifeFemales35-49</t>
  </si>
  <si>
    <t>2014/15NHS FifeMales35-49</t>
  </si>
  <si>
    <t>2015/16NHS FifeFemales35-49</t>
  </si>
  <si>
    <t>2015/16NHS FifeMales35-49</t>
  </si>
  <si>
    <t>2016/17NHS FifeFemales35-49</t>
  </si>
  <si>
    <t>2016/17NHS FifeMales35-49</t>
  </si>
  <si>
    <t>2017/18NHS FifeFemales35-49</t>
  </si>
  <si>
    <t>2017/18NHS FifeMales35-49</t>
  </si>
  <si>
    <t>2018/19NHS FifeFemales35-49</t>
  </si>
  <si>
    <t>2018/19NHS FifeMales35-49</t>
  </si>
  <si>
    <t>2019/20NHS FifeFemales35-49</t>
  </si>
  <si>
    <t>2019/20NHS FifeMales35-49</t>
  </si>
  <si>
    <t>2020/21NHS FifeFemales35-49</t>
  </si>
  <si>
    <t>2020/21NHS FifeMales35-49</t>
  </si>
  <si>
    <t>2021/22NHS FifeFemales35-49</t>
  </si>
  <si>
    <t>2021/22NHS FifeMales35-49</t>
  </si>
  <si>
    <t>2022/23NHS FifeFemales35-49</t>
  </si>
  <si>
    <t>2022/23NHS FifeMales35-49</t>
  </si>
  <si>
    <t>2014/15NHS FifeFemales50-64</t>
  </si>
  <si>
    <t>2014/15NHS FifeMales50-64</t>
  </si>
  <si>
    <t>2015/16NHS FifeFemales50-64</t>
  </si>
  <si>
    <t>2015/16NHS FifeMales50-64</t>
  </si>
  <si>
    <t>2016/17NHS FifeFemales50-64</t>
  </si>
  <si>
    <t>2016/17NHS FifeMales50-64</t>
  </si>
  <si>
    <t>2017/18NHS FifeFemales50-64</t>
  </si>
  <si>
    <t>2017/18NHS FifeMales50-64</t>
  </si>
  <si>
    <t>2018/19NHS FifeFemales50-64</t>
  </si>
  <si>
    <t>2018/19NHS FifeMales50-64</t>
  </si>
  <si>
    <t>2019/20NHS FifeFemales50-64</t>
  </si>
  <si>
    <t>2019/20NHS FifeMales50-64</t>
  </si>
  <si>
    <t>2020/21NHS FifeFemales50-64</t>
  </si>
  <si>
    <t>2020/21NHS FifeMales50-64</t>
  </si>
  <si>
    <t>2021/22NHS FifeFemales50-64</t>
  </si>
  <si>
    <t>2021/22NHS FifeMales50-64</t>
  </si>
  <si>
    <t>2022/23NHS FifeFemales50-64</t>
  </si>
  <si>
    <t>2022/23NHS FifeMales50-64</t>
  </si>
  <si>
    <t>2014/15NHS Ayrshire &amp; ArranFemales15-34</t>
  </si>
  <si>
    <t>2014/15NHS Ayrshire &amp; ArranMales15-34</t>
  </si>
  <si>
    <t>2015/16NHS Ayrshire &amp; ArranFemales15-34</t>
  </si>
  <si>
    <t>2015/16NHS Ayrshire &amp; ArranMales15-34</t>
  </si>
  <si>
    <t>2016/17NHS Ayrshire &amp; ArranFemales15-34</t>
  </si>
  <si>
    <t>2016/17NHS Ayrshire &amp; ArranMales15-34</t>
  </si>
  <si>
    <t>2017/18NHS Ayrshire &amp; ArranFemales15-34</t>
  </si>
  <si>
    <t>2017/18NHS Ayrshire &amp; ArranMales15-34</t>
  </si>
  <si>
    <t>2018/19NHS Ayrshire &amp; ArranFemales15-34</t>
  </si>
  <si>
    <t>2018/19NHS Ayrshire &amp; ArranMales15-34</t>
  </si>
  <si>
    <t>2019/20NHS Ayrshire &amp; ArranFemales15-34</t>
  </si>
  <si>
    <t>2019/20NHS Ayrshire &amp; ArranMales15-34</t>
  </si>
  <si>
    <t>2020/21NHS Ayrshire &amp; ArranFemales15-34</t>
  </si>
  <si>
    <t>2020/21NHS Ayrshire &amp; ArranMales15-34</t>
  </si>
  <si>
    <t>2021/22NHS Ayrshire &amp; ArranFemales15-34</t>
  </si>
  <si>
    <t>2021/22NHS Ayrshire &amp; ArranMales15-34</t>
  </si>
  <si>
    <t>2022/23NHS Ayrshire &amp; ArranFemales15-34</t>
  </si>
  <si>
    <t>2022/23NHS Ayrshire &amp; ArranMales15-34</t>
  </si>
  <si>
    <t>2014/15NHS Ayrshire &amp; ArranFemales35-49</t>
  </si>
  <si>
    <t>2014/15NHS Ayrshire &amp; ArranMales35-49</t>
  </si>
  <si>
    <t>2015/16NHS Ayrshire &amp; ArranFemales35-49</t>
  </si>
  <si>
    <t>2015/16NHS Ayrshire &amp; ArranMales35-49</t>
  </si>
  <si>
    <t>2016/17NHS Ayrshire &amp; ArranFemales35-49</t>
  </si>
  <si>
    <t>2016/17NHS Ayrshire &amp; ArranMales35-49</t>
  </si>
  <si>
    <t>2017/18NHS Ayrshire &amp; ArranFemales35-49</t>
  </si>
  <si>
    <t>2017/18NHS Ayrshire &amp; ArranMales35-49</t>
  </si>
  <si>
    <t>2018/19NHS Ayrshire &amp; ArranFemales35-49</t>
  </si>
  <si>
    <t>2018/19NHS Ayrshire &amp; ArranMales35-49</t>
  </si>
  <si>
    <t>2019/20NHS Ayrshire &amp; ArranFemales35-49</t>
  </si>
  <si>
    <t>2019/20NHS Ayrshire &amp; ArranMales35-49</t>
  </si>
  <si>
    <t>2020/21NHS Ayrshire &amp; ArranFemales35-49</t>
  </si>
  <si>
    <t>2020/21NHS Ayrshire &amp; ArranMales35-49</t>
  </si>
  <si>
    <t>2021/22NHS Ayrshire &amp; ArranFemales35-49</t>
  </si>
  <si>
    <t>2021/22NHS Ayrshire &amp; ArranMales35-49</t>
  </si>
  <si>
    <t>2022/23NHS Ayrshire &amp; ArranFemales35-49</t>
  </si>
  <si>
    <t>2022/23NHS Ayrshire &amp; ArranMales35-49</t>
  </si>
  <si>
    <t>2014/15NHS Ayrshire &amp; ArranFemales50-64</t>
  </si>
  <si>
    <t>2014/15NHS Ayrshire &amp; ArranMales50-64</t>
  </si>
  <si>
    <t>2015/16NHS Ayrshire &amp; ArranFemales50-64</t>
  </si>
  <si>
    <t>2015/16NHS Ayrshire &amp; ArranMales50-64</t>
  </si>
  <si>
    <t>2016/17NHS Ayrshire &amp; ArranFemales50-64</t>
  </si>
  <si>
    <t>2016/17NHS Ayrshire &amp; ArranMales50-64</t>
  </si>
  <si>
    <t>2017/18NHS Ayrshire &amp; ArranFemales50-64</t>
  </si>
  <si>
    <t>2017/18NHS Ayrshire &amp; ArranMales50-64</t>
  </si>
  <si>
    <t>2018/19NHS Ayrshire &amp; ArranFemales50-64</t>
  </si>
  <si>
    <t>2018/19NHS Ayrshire &amp; ArranMales50-64</t>
  </si>
  <si>
    <t>2019/20NHS Ayrshire &amp; ArranFemales50-64</t>
  </si>
  <si>
    <t>2019/20NHS Ayrshire &amp; ArranMales50-64</t>
  </si>
  <si>
    <t>2020/21NHS Ayrshire &amp; ArranFemales50-64</t>
  </si>
  <si>
    <t>2020/21NHS Ayrshire &amp; ArranMales50-64</t>
  </si>
  <si>
    <t>2021/22NHS Ayrshire &amp; ArranFemales50-64</t>
  </si>
  <si>
    <t>2021/22NHS Ayrshire &amp; ArranMales50-64</t>
  </si>
  <si>
    <t>2022/23NHS Ayrshire &amp; ArranFemales50-64</t>
  </si>
  <si>
    <t>2022/23NHS Ayrshire &amp; ArranMales50-64</t>
  </si>
  <si>
    <t>3. All population size numerics, estimates, and credible intervals have been rounded as follows: to the nearest hundred for values over 1,000, the nearest ten for values between 101 and 1,000, and the nearest five for values of 100 or less.</t>
  </si>
  <si>
    <t>to the nearest hundred for values over 1,000, the nearest ten for values between 101 and 1,000, and the nearest five for values of 100 or less.</t>
  </si>
  <si>
    <t xml:space="preserve">2. Tables 1 - 8: All population size numerics, estimates, and credible intervals have been rounded as follows: </t>
  </si>
  <si>
    <t xml:space="preserve">3. 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t>
  </si>
  <si>
    <r>
      <t>Estimate stratified by OAT status and by age group and sex</t>
    </r>
    <r>
      <rPr>
        <b/>
        <vertAlign val="superscript"/>
        <sz val="12"/>
        <color theme="1"/>
        <rFont val="Arial"/>
        <family val="2"/>
      </rPr>
      <t>1,2,3</t>
    </r>
  </si>
  <si>
    <r>
      <t>Estimate stratified by OAT status and by age group</t>
    </r>
    <r>
      <rPr>
        <b/>
        <vertAlign val="superscript"/>
        <sz val="12"/>
        <color theme="1"/>
        <rFont val="Arial"/>
        <family val="2"/>
      </rPr>
      <t>1,2,3</t>
    </r>
  </si>
  <si>
    <r>
      <t>Estimate stratified by OAT status and by sex</t>
    </r>
    <r>
      <rPr>
        <b/>
        <vertAlign val="superscript"/>
        <sz val="12"/>
        <color theme="1"/>
        <rFont val="Arial"/>
        <family val="2"/>
      </rPr>
      <t>1,2,3</t>
    </r>
  </si>
  <si>
    <r>
      <t>Estimated number of people with opioid dependence, and prevalence (%) of opioid dependence, by age group and sex: financial years 2014/15 - 2022/23</t>
    </r>
    <r>
      <rPr>
        <b/>
        <vertAlign val="superscript"/>
        <sz val="12"/>
        <color theme="1"/>
        <rFont val="Arial"/>
        <family val="2"/>
      </rPr>
      <t>1,2,3</t>
    </r>
  </si>
  <si>
    <r>
      <t>Estimated number of people with opioid dependence, and prevalence (%) of opioid dependence, by age group: financial years 2014/15 - 2022/23</t>
    </r>
    <r>
      <rPr>
        <b/>
        <vertAlign val="superscript"/>
        <sz val="12"/>
        <color theme="1"/>
        <rFont val="Arial"/>
        <family val="2"/>
      </rPr>
      <t>1,2,3</t>
    </r>
  </si>
  <si>
    <r>
      <t>Estimate stratified by OAT status</t>
    </r>
    <r>
      <rPr>
        <b/>
        <vertAlign val="superscript"/>
        <sz val="12"/>
        <color theme="1"/>
        <rFont val="Arial"/>
        <family val="2"/>
      </rPr>
      <t>1,2,3</t>
    </r>
  </si>
  <si>
    <t>4. For further details about some of the technical terms used in these tables, please see the Glossary section of the report.</t>
  </si>
  <si>
    <t>5. Further details about the data used for statistical modelling and definitions of the events modelled (i.e. opioid-related deaths and overdose hospitalisations) can be found in Appendix 1 of the report.</t>
  </si>
  <si>
    <t>6. For further details about the methodology used to model these data, please see Appendix 2 of the report.</t>
  </si>
  <si>
    <t xml:space="preserve">3. Tables 5 - 8: All numbers displayed for the ‘unobserved’ groups are defined as the rounded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</si>
</sst>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_-;\-* #,##0_-;_-* &quot;-&quot;??_-;_-@_-"/>
    <numFmt numFmtId="165" formatCode="0.0%"/>
    <numFmt numFmtId="166" formatCode="[&lt;=0.0000001]\-;[&gt;0.0000001]###\ ###\ ##0;"/>
  </numFmts>
  <fonts count="30" x14ac:knownFonts="1">
    <font>
      <sz val="11"/>
      <color theme="1"/>
      <name val="Calibri"/>
      <family val="2"/>
      <scheme val="minor"/>
    </font>
    <font>
      <sz val="11"/>
      <color theme="1"/>
      <name val="Calibri"/>
      <family val="2"/>
      <scheme val="minor"/>
    </font>
    <font>
      <sz val="12"/>
      <name val="Arial"/>
      <family val="2"/>
    </font>
    <font>
      <i/>
      <sz val="12"/>
      <name val="Arial"/>
      <family val="2"/>
    </font>
    <font>
      <sz val="12"/>
      <color theme="1"/>
      <name val="Arial"/>
      <family val="2"/>
    </font>
    <font>
      <sz val="11"/>
      <color theme="1"/>
      <name val="Arial"/>
      <family val="2"/>
    </font>
    <font>
      <u/>
      <sz val="12"/>
      <color theme="1"/>
      <name val="Arial"/>
      <family val="2"/>
    </font>
    <font>
      <b/>
      <sz val="12"/>
      <color theme="1"/>
      <name val="Arial"/>
      <family val="2"/>
    </font>
    <font>
      <u/>
      <sz val="11"/>
      <color theme="10"/>
      <name val="Calibri"/>
      <family val="2"/>
      <scheme val="minor"/>
    </font>
    <font>
      <u/>
      <sz val="12"/>
      <color theme="10"/>
      <name val="Arial"/>
      <family val="2"/>
    </font>
    <font>
      <b/>
      <sz val="12"/>
      <color rgb="FF2F75B5"/>
      <name val="Arial"/>
      <family val="2"/>
    </font>
    <font>
      <sz val="12"/>
      <color theme="0"/>
      <name val="Arial"/>
      <family val="2"/>
    </font>
    <font>
      <sz val="11"/>
      <color theme="0"/>
      <name val="Arial"/>
      <family val="2"/>
    </font>
    <font>
      <b/>
      <sz val="12"/>
      <color rgb="FF43358B"/>
      <name val="Arial"/>
      <family val="2"/>
    </font>
    <font>
      <b/>
      <sz val="12"/>
      <color theme="4" tint="-0.249977111117893"/>
      <name val="Arial"/>
      <family val="2"/>
    </font>
    <font>
      <b/>
      <u/>
      <sz val="12"/>
      <color rgb="FF2F75B5"/>
      <name val="Arial"/>
      <family val="2"/>
    </font>
    <font>
      <sz val="11"/>
      <name val="Arial"/>
      <family val="2"/>
    </font>
    <font>
      <b/>
      <sz val="12"/>
      <name val="Arial"/>
      <family val="2"/>
    </font>
    <font>
      <i/>
      <sz val="12"/>
      <color theme="1"/>
      <name val="Arial"/>
      <family val="2"/>
    </font>
    <font>
      <b/>
      <sz val="12"/>
      <color rgb="FF0070C0"/>
      <name val="Arial"/>
      <family val="2"/>
    </font>
    <font>
      <b/>
      <sz val="14"/>
      <color theme="1"/>
      <name val="Arial"/>
      <family val="2"/>
    </font>
    <font>
      <sz val="14"/>
      <color theme="1"/>
      <name val="Arial"/>
      <family val="2"/>
    </font>
    <font>
      <sz val="11"/>
      <color theme="0"/>
      <name val="Calibri"/>
      <family val="2"/>
      <scheme val="minor"/>
    </font>
    <font>
      <b/>
      <vertAlign val="superscript"/>
      <sz val="12"/>
      <color theme="1"/>
      <name val="Arial"/>
      <family val="2"/>
    </font>
    <font>
      <b/>
      <vertAlign val="superscript"/>
      <sz val="12"/>
      <color rgb="FF2F75B5"/>
      <name val="Arial"/>
      <family val="2"/>
    </font>
    <font>
      <vertAlign val="superscript"/>
      <sz val="12"/>
      <color rgb="FF2F75B5"/>
      <name val="Arial"/>
      <family val="2"/>
    </font>
    <font>
      <sz val="11"/>
      <name val="Calibri"/>
      <family val="2"/>
      <scheme val="minor"/>
    </font>
    <font>
      <sz val="8"/>
      <name val="Calibri"/>
      <family val="2"/>
      <scheme val="minor"/>
    </font>
    <font>
      <sz val="12"/>
      <color theme="1"/>
      <name val="Calibri"/>
      <family val="2"/>
      <scheme val="minor"/>
    </font>
    <font>
      <b/>
      <sz val="14"/>
      <color rgb="FFFF0000"/>
      <name val="Arial"/>
      <family val="2"/>
    </font>
  </fonts>
  <fills count="3">
    <fill>
      <patternFill patternType="none"/>
    </fill>
    <fill>
      <patternFill patternType="gray125"/>
    </fill>
    <fill>
      <patternFill patternType="solid">
        <fgColor rgb="FFFFFF00"/>
        <bgColor indexed="64"/>
      </patternFill>
    </fill>
  </fills>
  <borders count="22">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s>
  <cellStyleXfs count="4">
    <xf numFmtId="0" fontId="0" fillId="0" borderId="0"/>
    <xf numFmtId="43" fontId="1" fillId="0" borderId="0" applyFont="0" applyFill="0" applyBorder="0" applyAlignment="0" applyProtection="0"/>
    <xf numFmtId="0" fontId="8" fillId="0" borderId="0" applyNumberFormat="0" applyFill="0" applyBorder="0" applyAlignment="0" applyProtection="0"/>
    <xf numFmtId="0" fontId="28" fillId="0" borderId="0"/>
  </cellStyleXfs>
  <cellXfs count="194">
    <xf numFmtId="0" fontId="0" fillId="0" borderId="0" xfId="0"/>
    <xf numFmtId="10" fontId="0" fillId="0" borderId="0" xfId="0" applyNumberFormat="1"/>
    <xf numFmtId="9" fontId="0" fillId="0" borderId="0" xfId="0" applyNumberFormat="1"/>
    <xf numFmtId="164" fontId="3" fillId="0" borderId="0" xfId="1" applyNumberFormat="1" applyFont="1" applyFill="1" applyBorder="1" applyAlignment="1">
      <alignment horizontal="right" vertical="center"/>
    </xf>
    <xf numFmtId="164" fontId="2" fillId="0" borderId="0" xfId="1" applyNumberFormat="1" applyFont="1" applyFill="1" applyBorder="1" applyAlignment="1">
      <alignment horizontal="right" vertical="center"/>
    </xf>
    <xf numFmtId="0" fontId="4" fillId="0" borderId="0" xfId="0" applyFont="1"/>
    <xf numFmtId="0" fontId="9" fillId="0" borderId="0" xfId="2" applyFont="1"/>
    <xf numFmtId="0" fontId="5" fillId="0" borderId="0" xfId="0" applyFont="1"/>
    <xf numFmtId="0" fontId="4" fillId="2" borderId="0" xfId="0" applyFont="1" applyFill="1"/>
    <xf numFmtId="0" fontId="9" fillId="0" borderId="0" xfId="2" applyFont="1" applyBorder="1"/>
    <xf numFmtId="0" fontId="7" fillId="0" borderId="0" xfId="0" applyFont="1"/>
    <xf numFmtId="0" fontId="6" fillId="0" borderId="0" xfId="0" applyFont="1"/>
    <xf numFmtId="0" fontId="2" fillId="0" borderId="0" xfId="0" applyFont="1" applyAlignment="1">
      <alignment horizontal="left" vertical="center"/>
    </xf>
    <xf numFmtId="0" fontId="2" fillId="0" borderId="0" xfId="0" applyFont="1" applyAlignment="1">
      <alignment vertical="center"/>
    </xf>
    <xf numFmtId="3" fontId="2" fillId="0" borderId="0" xfId="0" applyNumberFormat="1" applyFont="1" applyAlignment="1">
      <alignment vertical="center"/>
    </xf>
    <xf numFmtId="10" fontId="4" fillId="0" borderId="0" xfId="0" applyNumberFormat="1" applyFont="1"/>
    <xf numFmtId="0" fontId="4" fillId="0" borderId="0" xfId="0" quotePrefix="1" applyFont="1"/>
    <xf numFmtId="0" fontId="4" fillId="0" borderId="3" xfId="0" applyFont="1" applyBorder="1"/>
    <xf numFmtId="3" fontId="4" fillId="0" borderId="0" xfId="0" applyNumberFormat="1" applyFont="1"/>
    <xf numFmtId="3" fontId="4" fillId="0" borderId="4" xfId="0" applyNumberFormat="1" applyFont="1" applyBorder="1"/>
    <xf numFmtId="3" fontId="4" fillId="0" borderId="2" xfId="0" applyNumberFormat="1" applyFont="1" applyBorder="1"/>
    <xf numFmtId="3" fontId="4" fillId="0" borderId="5" xfId="0" applyNumberFormat="1" applyFont="1" applyBorder="1"/>
    <xf numFmtId="0" fontId="11" fillId="0" borderId="0" xfId="0" applyFont="1"/>
    <xf numFmtId="0" fontId="12" fillId="0" borderId="0" xfId="0" applyFont="1"/>
    <xf numFmtId="0" fontId="2" fillId="0" borderId="0" xfId="0" applyFont="1"/>
    <xf numFmtId="0" fontId="0" fillId="0" borderId="3" xfId="0" applyBorder="1"/>
    <xf numFmtId="0" fontId="0" fillId="0" borderId="4" xfId="0" applyBorder="1"/>
    <xf numFmtId="0" fontId="0" fillId="0" borderId="5" xfId="0" applyBorder="1"/>
    <xf numFmtId="0" fontId="10" fillId="0" borderId="9" xfId="0" applyFont="1" applyBorder="1" applyAlignment="1">
      <alignment horizontal="left" vertical="center"/>
    </xf>
    <xf numFmtId="0" fontId="10" fillId="0" borderId="9" xfId="0" applyFont="1" applyBorder="1" applyAlignment="1">
      <alignment horizontal="center" vertical="center"/>
    </xf>
    <xf numFmtId="3" fontId="4" fillId="0" borderId="11" xfId="0" applyNumberFormat="1" applyFont="1" applyBorder="1"/>
    <xf numFmtId="3" fontId="4" fillId="0" borderId="12" xfId="0" applyNumberFormat="1" applyFont="1" applyBorder="1"/>
    <xf numFmtId="0" fontId="4" fillId="0" borderId="5" xfId="0" applyFont="1" applyBorder="1"/>
    <xf numFmtId="3" fontId="4" fillId="0" borderId="10" xfId="0" applyNumberFormat="1" applyFont="1" applyBorder="1"/>
    <xf numFmtId="3" fontId="4" fillId="0" borderId="1" xfId="0" applyNumberFormat="1" applyFont="1" applyBorder="1"/>
    <xf numFmtId="3" fontId="4" fillId="0" borderId="3" xfId="0" applyNumberFormat="1" applyFont="1" applyBorder="1"/>
    <xf numFmtId="0" fontId="4" fillId="0" borderId="1" xfId="0" applyFont="1" applyBorder="1" applyAlignment="1">
      <alignment horizontal="right"/>
    </xf>
    <xf numFmtId="0" fontId="5" fillId="2" borderId="0" xfId="0" applyFont="1" applyFill="1"/>
    <xf numFmtId="0" fontId="4" fillId="0" borderId="10" xfId="0" applyFont="1" applyBorder="1" applyAlignment="1">
      <alignment horizontal="right"/>
    </xf>
    <xf numFmtId="0" fontId="10" fillId="0" borderId="11" xfId="0" applyFont="1" applyBorder="1" applyAlignment="1">
      <alignment horizontal="left" vertical="center"/>
    </xf>
    <xf numFmtId="0" fontId="10" fillId="0" borderId="6" xfId="0" applyFont="1" applyBorder="1" applyAlignment="1">
      <alignment vertical="center"/>
    </xf>
    <xf numFmtId="0" fontId="10" fillId="0" borderId="10" xfId="0" applyFont="1" applyBorder="1" applyAlignment="1">
      <alignment vertical="center"/>
    </xf>
    <xf numFmtId="0" fontId="10" fillId="0" borderId="0" xfId="0" applyFont="1" applyAlignment="1">
      <alignment vertical="center"/>
    </xf>
    <xf numFmtId="0" fontId="10" fillId="0" borderId="12" xfId="0" applyFont="1" applyBorder="1" applyAlignment="1">
      <alignment horizontal="left" vertical="center"/>
    </xf>
    <xf numFmtId="0" fontId="10" fillId="0" borderId="10" xfId="0" applyFont="1" applyBorder="1" applyAlignment="1">
      <alignment horizontal="left" vertical="center"/>
    </xf>
    <xf numFmtId="9" fontId="4" fillId="0" borderId="10" xfId="0" applyNumberFormat="1" applyFont="1" applyBorder="1"/>
    <xf numFmtId="9" fontId="4" fillId="0" borderId="11" xfId="0" applyNumberFormat="1" applyFont="1" applyBorder="1"/>
    <xf numFmtId="9" fontId="4" fillId="0" borderId="12" xfId="0" applyNumberFormat="1" applyFont="1" applyBorder="1"/>
    <xf numFmtId="9" fontId="4" fillId="0" borderId="1" xfId="0" applyNumberFormat="1" applyFont="1" applyBorder="1"/>
    <xf numFmtId="9" fontId="4" fillId="0" borderId="0" xfId="0" applyNumberFormat="1" applyFont="1"/>
    <xf numFmtId="9" fontId="4" fillId="0" borderId="2" xfId="0" applyNumberFormat="1" applyFont="1" applyBorder="1"/>
    <xf numFmtId="9" fontId="4" fillId="0" borderId="3" xfId="0" applyNumberFormat="1" applyFont="1" applyBorder="1"/>
    <xf numFmtId="9" fontId="4" fillId="0" borderId="5" xfId="0" applyNumberFormat="1" applyFont="1" applyBorder="1"/>
    <xf numFmtId="0" fontId="10" fillId="0" borderId="6" xfId="0" applyFont="1" applyBorder="1" applyAlignment="1">
      <alignment horizontal="center" vertical="center"/>
    </xf>
    <xf numFmtId="0" fontId="10" fillId="0" borderId="8" xfId="0" applyFont="1" applyBorder="1" applyAlignment="1">
      <alignment horizontal="center" vertical="center"/>
    </xf>
    <xf numFmtId="0" fontId="10" fillId="0" borderId="0" xfId="0" applyFont="1" applyAlignment="1">
      <alignment horizontal="left" vertical="center"/>
    </xf>
    <xf numFmtId="0" fontId="4" fillId="0" borderId="0" xfId="0" applyFont="1" applyAlignment="1">
      <alignment horizontal="right"/>
    </xf>
    <xf numFmtId="0" fontId="16" fillId="0" borderId="0" xfId="0" applyFont="1"/>
    <xf numFmtId="0" fontId="17" fillId="0" borderId="0" xfId="0" applyFont="1" applyAlignment="1">
      <alignment horizontal="center"/>
    </xf>
    <xf numFmtId="10" fontId="2" fillId="0" borderId="0" xfId="0" applyNumberFormat="1" applyFont="1"/>
    <xf numFmtId="1" fontId="2" fillId="0" borderId="0" xfId="0" applyNumberFormat="1" applyFont="1"/>
    <xf numFmtId="1" fontId="16" fillId="0" borderId="0" xfId="0" applyNumberFormat="1" applyFont="1"/>
    <xf numFmtId="3" fontId="4" fillId="0" borderId="13" xfId="0" applyNumberFormat="1" applyFont="1" applyBorder="1"/>
    <xf numFmtId="165" fontId="16" fillId="0" borderId="0" xfId="0" applyNumberFormat="1" applyFont="1"/>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2" fillId="0" borderId="0" xfId="0" applyFont="1" applyAlignment="1">
      <alignment horizontal="center"/>
    </xf>
    <xf numFmtId="0" fontId="10" fillId="0" borderId="0" xfId="0" applyFont="1" applyAlignment="1">
      <alignment horizontal="center" vertical="center"/>
    </xf>
    <xf numFmtId="0" fontId="17" fillId="0" borderId="0" xfId="0" applyFont="1" applyAlignment="1">
      <alignment horizontal="center" vertical="center"/>
    </xf>
    <xf numFmtId="0" fontId="10" fillId="0" borderId="10" xfId="0" applyFont="1" applyBorder="1" applyAlignment="1">
      <alignment horizontal="center" vertical="center"/>
    </xf>
    <xf numFmtId="0" fontId="10" fillId="0" borderId="6" xfId="0" applyFont="1" applyBorder="1" applyAlignment="1">
      <alignment horizontal="left" vertical="center"/>
    </xf>
    <xf numFmtId="3" fontId="2" fillId="0" borderId="0" xfId="0" applyNumberFormat="1" applyFont="1"/>
    <xf numFmtId="9" fontId="16" fillId="0" borderId="0" xfId="0" applyNumberFormat="1" applyFont="1"/>
    <xf numFmtId="0" fontId="7" fillId="0" borderId="0" xfId="0" applyFont="1" applyAlignment="1">
      <alignment horizontal="center"/>
    </xf>
    <xf numFmtId="0" fontId="7" fillId="0" borderId="0" xfId="0" applyFont="1" applyAlignment="1">
      <alignment horizontal="center" vertical="center"/>
    </xf>
    <xf numFmtId="0" fontId="7" fillId="0" borderId="0" xfId="0" applyFont="1" applyAlignment="1">
      <alignment horizontal="left" vertical="center"/>
    </xf>
    <xf numFmtId="1" fontId="4" fillId="0" borderId="0" xfId="0" applyNumberFormat="1" applyFont="1"/>
    <xf numFmtId="1" fontId="5" fillId="0" borderId="0" xfId="0" applyNumberFormat="1" applyFont="1"/>
    <xf numFmtId="10" fontId="7" fillId="0" borderId="0" xfId="0" applyNumberFormat="1" applyFont="1" applyAlignment="1">
      <alignment horizontal="left" vertical="center"/>
    </xf>
    <xf numFmtId="10" fontId="5" fillId="0" borderId="0" xfId="0" applyNumberFormat="1" applyFont="1"/>
    <xf numFmtId="0" fontId="0" fillId="2" borderId="0" xfId="0" applyFill="1"/>
    <xf numFmtId="0" fontId="4" fillId="0" borderId="0" xfId="0" applyFont="1" applyAlignment="1">
      <alignment horizontal="left" vertical="center"/>
    </xf>
    <xf numFmtId="0" fontId="4" fillId="0" borderId="0" xfId="0" applyFont="1" applyAlignment="1">
      <alignment vertical="center"/>
    </xf>
    <xf numFmtId="3" fontId="4" fillId="0" borderId="0" xfId="0" applyNumberFormat="1" applyFont="1" applyAlignment="1">
      <alignment vertical="center"/>
    </xf>
    <xf numFmtId="164" fontId="18" fillId="0" borderId="0" xfId="1" applyNumberFormat="1" applyFont="1" applyFill="1" applyBorder="1" applyAlignment="1">
      <alignment horizontal="right" vertical="center"/>
    </xf>
    <xf numFmtId="164" fontId="4" fillId="0" borderId="0" xfId="1" applyNumberFormat="1" applyFont="1" applyFill="1" applyBorder="1" applyAlignment="1">
      <alignment horizontal="right" vertical="center"/>
    </xf>
    <xf numFmtId="165" fontId="0" fillId="0" borderId="0" xfId="0" applyNumberFormat="1"/>
    <xf numFmtId="3" fontId="2" fillId="0" borderId="4" xfId="0" applyNumberFormat="1" applyFont="1" applyBorder="1"/>
    <xf numFmtId="0" fontId="5" fillId="0" borderId="1" xfId="0" applyFont="1" applyBorder="1"/>
    <xf numFmtId="0" fontId="5" fillId="0" borderId="3" xfId="0" applyFont="1" applyBorder="1"/>
    <xf numFmtId="0" fontId="5" fillId="0" borderId="4" xfId="0" applyFont="1" applyBorder="1"/>
    <xf numFmtId="0" fontId="5" fillId="0" borderId="5" xfId="0" applyFont="1" applyBorder="1"/>
    <xf numFmtId="9" fontId="4" fillId="0" borderId="4" xfId="0" applyNumberFormat="1" applyFont="1" applyBorder="1"/>
    <xf numFmtId="0" fontId="21" fillId="0" borderId="0" xfId="0" applyFont="1"/>
    <xf numFmtId="0" fontId="10" fillId="0" borderId="18" xfId="0" applyFont="1" applyBorder="1" applyAlignment="1">
      <alignment horizontal="center" vertical="center"/>
    </xf>
    <xf numFmtId="3" fontId="4" fillId="0" borderId="19" xfId="0" applyNumberFormat="1" applyFont="1" applyBorder="1"/>
    <xf numFmtId="0" fontId="2" fillId="0" borderId="0" xfId="0" applyFont="1" applyAlignment="1">
      <alignment vertical="top"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0" applyFont="1" applyBorder="1" applyAlignment="1">
      <alignment horizontal="center" vertical="center" wrapText="1"/>
    </xf>
    <xf numFmtId="0" fontId="4" fillId="0" borderId="0" xfId="0" applyFont="1" applyAlignment="1">
      <alignment vertical="top" wrapText="1"/>
    </xf>
    <xf numFmtId="0" fontId="22" fillId="0" borderId="0" xfId="0" applyFont="1"/>
    <xf numFmtId="0" fontId="10" fillId="0" borderId="16"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15" xfId="0" applyFont="1" applyBorder="1" applyAlignment="1">
      <alignment horizontal="left" vertical="center"/>
    </xf>
    <xf numFmtId="0" fontId="0" fillId="0" borderId="0" xfId="0" applyAlignment="1">
      <alignment horizontal="center"/>
    </xf>
    <xf numFmtId="3" fontId="4" fillId="0" borderId="2" xfId="0" applyNumberFormat="1" applyFont="1" applyBorder="1" applyAlignment="1">
      <alignment horizontal="right"/>
    </xf>
    <xf numFmtId="3" fontId="4" fillId="0" borderId="12" xfId="0" applyNumberFormat="1" applyFont="1" applyBorder="1" applyAlignment="1">
      <alignment horizontal="right"/>
    </xf>
    <xf numFmtId="3" fontId="4" fillId="0" borderId="5" xfId="0" applyNumberFormat="1" applyFont="1" applyBorder="1" applyAlignment="1">
      <alignment horizontal="right"/>
    </xf>
    <xf numFmtId="0" fontId="10" fillId="0" borderId="1" xfId="0" applyFont="1" applyBorder="1" applyAlignment="1">
      <alignment vertical="center" wrapText="1"/>
    </xf>
    <xf numFmtId="0" fontId="10" fillId="0" borderId="0" xfId="0" applyFont="1" applyAlignment="1">
      <alignment vertical="center" wrapText="1"/>
    </xf>
    <xf numFmtId="0" fontId="4" fillId="0" borderId="0" xfId="0" applyFont="1" applyAlignment="1">
      <alignment wrapText="1"/>
    </xf>
    <xf numFmtId="0" fontId="10" fillId="0" borderId="0" xfId="0" applyFont="1" applyAlignment="1">
      <alignment horizontal="center" vertical="center" wrapText="1"/>
    </xf>
    <xf numFmtId="3" fontId="4" fillId="0" borderId="0" xfId="0" applyNumberFormat="1" applyFont="1" applyAlignment="1">
      <alignment horizontal="right"/>
    </xf>
    <xf numFmtId="3" fontId="4" fillId="0" borderId="11" xfId="0" applyNumberFormat="1" applyFont="1" applyBorder="1" applyAlignment="1">
      <alignment horizontal="right"/>
    </xf>
    <xf numFmtId="3" fontId="4" fillId="0" borderId="1" xfId="0" applyNumberFormat="1" applyFont="1" applyBorder="1" applyAlignment="1">
      <alignment vertical="center"/>
    </xf>
    <xf numFmtId="3" fontId="4" fillId="0" borderId="16" xfId="0" applyNumberFormat="1" applyFont="1" applyBorder="1"/>
    <xf numFmtId="3" fontId="4" fillId="0" borderId="15" xfId="0" applyNumberFormat="1" applyFont="1" applyBorder="1"/>
    <xf numFmtId="0" fontId="4" fillId="0" borderId="0" xfId="0" applyFont="1" applyAlignment="1">
      <alignment vertical="top"/>
    </xf>
    <xf numFmtId="0" fontId="4" fillId="0" borderId="4" xfId="0" applyFont="1" applyBorder="1"/>
    <xf numFmtId="10" fontId="0" fillId="0" borderId="0" xfId="0" applyNumberFormat="1" applyAlignment="1">
      <alignment horizontal="center"/>
    </xf>
    <xf numFmtId="9" fontId="0" fillId="0" borderId="0" xfId="0" applyNumberFormat="1" applyAlignment="1">
      <alignment horizontal="center"/>
    </xf>
    <xf numFmtId="0" fontId="26" fillId="0" borderId="0" xfId="0" applyFont="1" applyAlignment="1">
      <alignment vertical="center"/>
    </xf>
    <xf numFmtId="0" fontId="0" fillId="0" borderId="0" xfId="0" applyAlignment="1">
      <alignment horizontal="left"/>
    </xf>
    <xf numFmtId="1" fontId="0" fillId="0" borderId="0" xfId="0" applyNumberFormat="1"/>
    <xf numFmtId="0" fontId="16" fillId="0" borderId="5" xfId="0" applyFont="1" applyBorder="1"/>
    <xf numFmtId="0" fontId="4" fillId="0" borderId="21" xfId="0" applyFont="1" applyBorder="1" applyAlignment="1">
      <alignment horizontal="right"/>
    </xf>
    <xf numFmtId="0" fontId="4" fillId="0" borderId="17" xfId="0" applyFont="1" applyBorder="1"/>
    <xf numFmtId="0" fontId="15" fillId="0" borderId="0" xfId="0" applyFont="1"/>
    <xf numFmtId="0" fontId="10" fillId="0" borderId="8" xfId="0" applyFont="1" applyBorder="1" applyAlignment="1">
      <alignment vertical="center"/>
    </xf>
    <xf numFmtId="0" fontId="10" fillId="0" borderId="9" xfId="0" applyFont="1" applyBorder="1" applyAlignment="1">
      <alignment vertical="center"/>
    </xf>
    <xf numFmtId="0" fontId="10" fillId="0" borderId="14" xfId="0" applyFont="1" applyBorder="1" applyAlignment="1">
      <alignment horizontal="left" vertical="center"/>
    </xf>
    <xf numFmtId="0" fontId="9" fillId="0" borderId="0" xfId="2" applyFont="1" applyFill="1" applyBorder="1"/>
    <xf numFmtId="0" fontId="10" fillId="0" borderId="11" xfId="0" applyFont="1" applyBorder="1" applyAlignment="1">
      <alignment vertical="center"/>
    </xf>
    <xf numFmtId="0" fontId="10" fillId="0" borderId="12" xfId="0" applyFont="1" applyBorder="1" applyAlignment="1">
      <alignment vertical="center"/>
    </xf>
    <xf numFmtId="3" fontId="4" fillId="0" borderId="10" xfId="0" applyNumberFormat="1" applyFont="1" applyBorder="1" applyAlignment="1">
      <alignment horizontal="right"/>
    </xf>
    <xf numFmtId="3" fontId="4" fillId="0" borderId="1" xfId="0" applyNumberFormat="1" applyFont="1" applyBorder="1" applyAlignment="1">
      <alignment horizontal="right"/>
    </xf>
    <xf numFmtId="0" fontId="0" fillId="0" borderId="1" xfId="0" applyBorder="1"/>
    <xf numFmtId="10" fontId="10" fillId="0" borderId="6" xfId="0" applyNumberFormat="1" applyFont="1" applyBorder="1" applyAlignment="1">
      <alignment vertical="center"/>
    </xf>
    <xf numFmtId="10" fontId="10" fillId="0" borderId="7" xfId="0" applyNumberFormat="1" applyFont="1" applyBorder="1" applyAlignment="1">
      <alignment vertical="center"/>
    </xf>
    <xf numFmtId="10" fontId="10" fillId="0" borderId="8" xfId="0" applyNumberFormat="1" applyFont="1" applyBorder="1" applyAlignment="1">
      <alignment vertical="center"/>
    </xf>
    <xf numFmtId="10" fontId="4" fillId="0" borderId="1" xfId="0" applyNumberFormat="1" applyFont="1" applyBorder="1"/>
    <xf numFmtId="10" fontId="4" fillId="0" borderId="2" xfId="0" applyNumberFormat="1" applyFont="1" applyBorder="1"/>
    <xf numFmtId="10" fontId="0" fillId="0" borderId="1" xfId="0" applyNumberFormat="1" applyBorder="1"/>
    <xf numFmtId="10" fontId="0" fillId="0" borderId="2" xfId="0" applyNumberFormat="1" applyBorder="1"/>
    <xf numFmtId="165" fontId="0" fillId="0" borderId="3" xfId="0" applyNumberFormat="1" applyBorder="1"/>
    <xf numFmtId="165" fontId="0" fillId="0" borderId="4" xfId="0" applyNumberFormat="1" applyBorder="1"/>
    <xf numFmtId="165" fontId="0" fillId="0" borderId="5" xfId="0" applyNumberFormat="1" applyBorder="1"/>
    <xf numFmtId="0" fontId="4" fillId="0" borderId="14" xfId="0" applyFont="1" applyBorder="1" applyAlignment="1">
      <alignment horizontal="right"/>
    </xf>
    <xf numFmtId="0" fontId="4" fillId="0" borderId="13" xfId="0" applyFont="1" applyBorder="1"/>
    <xf numFmtId="3" fontId="4" fillId="0" borderId="3" xfId="0" applyNumberFormat="1" applyFont="1" applyBorder="1" applyAlignment="1">
      <alignment horizontal="right"/>
    </xf>
    <xf numFmtId="3" fontId="4" fillId="0" borderId="4" xfId="0" applyNumberFormat="1" applyFont="1" applyBorder="1" applyAlignment="1">
      <alignment horizontal="right"/>
    </xf>
    <xf numFmtId="0" fontId="10" fillId="0" borderId="13" xfId="0" applyFont="1" applyBorder="1" applyAlignment="1">
      <alignment horizontal="center" vertical="center"/>
    </xf>
    <xf numFmtId="10" fontId="4" fillId="0" borderId="10" xfId="0" applyNumberFormat="1" applyFont="1" applyBorder="1"/>
    <xf numFmtId="10" fontId="4" fillId="0" borderId="11" xfId="0" applyNumberFormat="1" applyFont="1" applyBorder="1"/>
    <xf numFmtId="10" fontId="4" fillId="0" borderId="12" xfId="0" applyNumberFormat="1" applyFont="1" applyBorder="1"/>
    <xf numFmtId="0" fontId="4" fillId="0" borderId="13" xfId="0" applyFont="1" applyBorder="1" applyAlignment="1">
      <alignment horizontal="right"/>
    </xf>
    <xf numFmtId="166" fontId="13" fillId="0" borderId="0" xfId="0" applyNumberFormat="1" applyFont="1"/>
    <xf numFmtId="166" fontId="14" fillId="0" borderId="0" xfId="0" applyNumberFormat="1" applyFont="1"/>
    <xf numFmtId="0" fontId="13" fillId="0" borderId="0" xfId="0" applyFont="1"/>
    <xf numFmtId="0" fontId="9" fillId="0" borderId="0" xfId="2" applyFont="1" applyFill="1"/>
    <xf numFmtId="0" fontId="29" fillId="0" borderId="0" xfId="0" applyFont="1" applyAlignment="1">
      <alignment vertical="center"/>
    </xf>
    <xf numFmtId="0" fontId="4" fillId="0" borderId="0" xfId="0" applyFont="1" applyAlignment="1">
      <alignment horizontal="left"/>
    </xf>
    <xf numFmtId="0" fontId="4" fillId="0" borderId="0" xfId="0" applyFont="1" applyAlignment="1">
      <alignment horizontal="left"/>
    </xf>
    <xf numFmtId="0" fontId="4" fillId="0" borderId="0" xfId="0" applyFont="1" applyAlignment="1">
      <alignment horizontal="left" vertical="top" wrapText="1"/>
    </xf>
    <xf numFmtId="0" fontId="4" fillId="0" borderId="0" xfId="0" applyFont="1" applyAlignment="1">
      <alignment horizontal="left" wrapText="1"/>
    </xf>
    <xf numFmtId="0" fontId="10" fillId="0" borderId="0" xfId="0" applyFont="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4" fillId="0" borderId="0" xfId="0" applyFont="1" applyAlignment="1">
      <alignment horizontal="center"/>
    </xf>
    <xf numFmtId="0" fontId="2" fillId="0" borderId="0" xfId="0" applyFont="1" applyAlignment="1">
      <alignment horizontal="left" vertical="top" wrapText="1"/>
    </xf>
    <xf numFmtId="0" fontId="10" fillId="0" borderId="6" xfId="0" applyFont="1" applyBorder="1" applyAlignment="1">
      <alignment horizontal="center" vertical="center"/>
    </xf>
    <xf numFmtId="0" fontId="4" fillId="0" borderId="1" xfId="0" applyFont="1" applyBorder="1" applyAlignment="1">
      <alignment horizontal="center"/>
    </xf>
    <xf numFmtId="0" fontId="10" fillId="0" borderId="9" xfId="0" applyFont="1" applyBorder="1" applyAlignment="1">
      <alignment horizontal="center"/>
    </xf>
    <xf numFmtId="0" fontId="10" fillId="0" borderId="8" xfId="0" applyFont="1" applyBorder="1" applyAlignment="1">
      <alignment horizontal="center"/>
    </xf>
    <xf numFmtId="10" fontId="10" fillId="0" borderId="6" xfId="0" applyNumberFormat="1" applyFont="1" applyBorder="1" applyAlignment="1">
      <alignment horizontal="center" vertical="center"/>
    </xf>
    <xf numFmtId="10" fontId="10" fillId="0" borderId="7" xfId="0" applyNumberFormat="1" applyFont="1" applyBorder="1" applyAlignment="1">
      <alignment horizontal="center" vertical="center"/>
    </xf>
    <xf numFmtId="10" fontId="10" fillId="0" borderId="8" xfId="0" applyNumberFormat="1" applyFont="1" applyBorder="1" applyAlignment="1">
      <alignment horizontal="center" vertical="center"/>
    </xf>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2" fillId="0" borderId="0" xfId="0" applyFont="1" applyAlignment="1">
      <alignment horizontal="left" vertical="top"/>
    </xf>
    <xf numFmtId="0" fontId="10" fillId="0" borderId="0" xfId="0" applyFont="1" applyAlignment="1">
      <alignment horizontal="center"/>
    </xf>
    <xf numFmtId="0" fontId="0" fillId="0" borderId="0" xfId="0" applyAlignment="1">
      <alignment horizontal="center"/>
    </xf>
    <xf numFmtId="0" fontId="7" fillId="0" borderId="0" xfId="0" applyFont="1" applyAlignment="1">
      <alignment horizontal="left"/>
    </xf>
    <xf numFmtId="0" fontId="20" fillId="0" borderId="0" xfId="0" applyFont="1" applyAlignment="1">
      <alignment horizontal="center"/>
    </xf>
    <xf numFmtId="0" fontId="10" fillId="0" borderId="10" xfId="0" applyFont="1" applyBorder="1" applyAlignment="1">
      <alignment horizontal="center" vertical="center"/>
    </xf>
    <xf numFmtId="0" fontId="10" fillId="0" borderId="9" xfId="0" applyFont="1" applyBorder="1" applyAlignment="1">
      <alignment horizontal="center" vertical="center"/>
    </xf>
    <xf numFmtId="0" fontId="19" fillId="0" borderId="6" xfId="0" applyFont="1" applyBorder="1" applyAlignment="1">
      <alignment horizontal="center" vertical="center"/>
    </xf>
    <xf numFmtId="0" fontId="19" fillId="0" borderId="8"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3" xfId="0" applyFont="1" applyBorder="1" applyAlignment="1">
      <alignment horizontal="center" vertical="center"/>
    </xf>
  </cellXfs>
  <cellStyles count="4">
    <cellStyle name="Comma" xfId="1" builtinId="3"/>
    <cellStyle name="Hyperlink" xfId="2" builtinId="8"/>
    <cellStyle name="Normal" xfId="0" builtinId="0"/>
    <cellStyle name="Normal 2" xfId="3" xr:uid="{9E972851-964B-4836-B610-872CA72263A2}"/>
  </cellStyles>
  <dxfs count="0"/>
  <tableStyles count="0" defaultTableStyle="TableStyleMedium2" defaultPivotStyle="PivotStyleLight16"/>
  <colors>
    <mruColors>
      <color rgb="FF0078D4"/>
      <color rgb="FFCAC6D1"/>
      <color rgb="FF3F3685"/>
      <color rgb="FF9B4393"/>
      <color rgb="FF1E7F84"/>
      <color rgb="FFE39C8C"/>
      <color rgb="FFF9EBE8"/>
      <color rgb="FFC73918"/>
      <color rgb="FF948DA3"/>
      <color rgb="FF83BB2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chartUserShapes" Target="../drawings/drawing12.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15.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16.xml"/><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18.xml"/><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19.xml"/><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3" Type="http://schemas.openxmlformats.org/officeDocument/2006/relationships/chartUserShapes" Target="../drawings/drawing20.xml"/><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chartUserShapes" Target="../drawings/drawing21.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chartUserShapes" Target="../drawings/drawing23.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chartUserShapes" Target="../drawings/drawing24.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chartUserShapes" Target="../drawings/drawing25.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chartUserShapes" Target="../drawings/drawing26.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3" Type="http://schemas.openxmlformats.org/officeDocument/2006/relationships/chartUserShapes" Target="../drawings/drawing27.xml"/><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3" Type="http://schemas.openxmlformats.org/officeDocument/2006/relationships/chartUserShapes" Target="../drawings/drawing28.xml"/><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3" Type="http://schemas.openxmlformats.org/officeDocument/2006/relationships/chartUserShapes" Target="../drawings/drawing30.xml"/><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3" Type="http://schemas.openxmlformats.org/officeDocument/2006/relationships/chartUserShapes" Target="../drawings/drawing31.xml"/><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3" Type="http://schemas.openxmlformats.org/officeDocument/2006/relationships/chartUserShapes" Target="../drawings/drawing32.xml"/><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3" Type="http://schemas.openxmlformats.org/officeDocument/2006/relationships/chartUserShapes" Target="../drawings/drawing33.xml"/><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3" Type="http://schemas.openxmlformats.org/officeDocument/2006/relationships/chartUserShapes" Target="../drawings/drawing34.xml"/><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3" Type="http://schemas.openxmlformats.org/officeDocument/2006/relationships/chartUserShapes" Target="../drawings/drawing35.xml"/><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3" Type="http://schemas.openxmlformats.org/officeDocument/2006/relationships/chartUserShapes" Target="../drawings/drawing36.xml"/><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3" Type="http://schemas.openxmlformats.org/officeDocument/2006/relationships/chartUserShapes" Target="../drawings/drawing37.xml"/><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1'!$AI$5</c:f>
          <c:strCache>
            <c:ptCount val="1"/>
            <c:pt idx="0">
              <c:v>Estimated number of people with opioid dependence in Scotland</c:v>
            </c:pt>
          </c:strCache>
        </c:strRef>
      </c:tx>
      <c:layout>
        <c:manualLayout>
          <c:xMode val="edge"/>
          <c:yMode val="edge"/>
          <c:x val="0.35675429622392091"/>
          <c:y val="2.17864923747276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797263327154933"/>
          <c:y val="0.12420511460330876"/>
          <c:w val="0.70115265357787426"/>
          <c:h val="0.71086914437273629"/>
        </c:manualLayout>
      </c:layout>
      <c:barChart>
        <c:barDir val="col"/>
        <c:grouping val="clustered"/>
        <c:varyColors val="0"/>
        <c:ser>
          <c:idx val="1"/>
          <c:order val="0"/>
          <c:spPr>
            <a:solidFill>
              <a:srgbClr val="0078D4"/>
            </a:solidFill>
            <a:ln>
              <a:noFill/>
            </a:ln>
            <a:effectLst/>
          </c:spPr>
          <c:invertIfNegative val="0"/>
          <c:errBars>
            <c:errBarType val="both"/>
            <c:errValType val="cust"/>
            <c:noEndCap val="0"/>
            <c:plus>
              <c:numRef>
                <c:f>'Table 1'!$U$12:$U$20</c:f>
                <c:numCache>
                  <c:formatCode>General</c:formatCode>
                  <c:ptCount val="9"/>
                  <c:pt idx="0">
                    <c:v>2300</c:v>
                  </c:pt>
                  <c:pt idx="1">
                    <c:v>2000</c:v>
                  </c:pt>
                  <c:pt idx="2">
                    <c:v>1800</c:v>
                  </c:pt>
                  <c:pt idx="3">
                    <c:v>1400</c:v>
                  </c:pt>
                  <c:pt idx="4">
                    <c:v>1400</c:v>
                  </c:pt>
                  <c:pt idx="5">
                    <c:v>1700</c:v>
                  </c:pt>
                  <c:pt idx="6">
                    <c:v>1700</c:v>
                  </c:pt>
                  <c:pt idx="7">
                    <c:v>1900</c:v>
                  </c:pt>
                  <c:pt idx="8">
                    <c:v>1700</c:v>
                  </c:pt>
                </c:numCache>
              </c:numRef>
            </c:plus>
            <c:minus>
              <c:numRef>
                <c:f>'Table 1'!$T$12:$T$20</c:f>
                <c:numCache>
                  <c:formatCode>General</c:formatCode>
                  <c:ptCount val="9"/>
                  <c:pt idx="0">
                    <c:v>2200</c:v>
                  </c:pt>
                  <c:pt idx="1">
                    <c:v>1900</c:v>
                  </c:pt>
                  <c:pt idx="2">
                    <c:v>1600</c:v>
                  </c:pt>
                  <c:pt idx="3">
                    <c:v>1300</c:v>
                  </c:pt>
                  <c:pt idx="4">
                    <c:v>1200</c:v>
                  </c:pt>
                  <c:pt idx="5">
                    <c:v>1500</c:v>
                  </c:pt>
                  <c:pt idx="6">
                    <c:v>1600</c:v>
                  </c:pt>
                  <c:pt idx="7">
                    <c:v>1700</c:v>
                  </c:pt>
                  <c:pt idx="8">
                    <c:v>1500</c:v>
                  </c:pt>
                </c:numCache>
              </c:numRef>
            </c:minus>
            <c:spPr>
              <a:noFill/>
              <a:ln w="19050" cap="flat" cmpd="sng" algn="ctr">
                <a:solidFill>
                  <a:schemeClr val="tx1"/>
                </a:solidFill>
                <a:round/>
              </a:ln>
              <a:effectLst/>
            </c:spPr>
          </c:errBars>
          <c:cat>
            <c:strRef>
              <c:f>'Table 2'!$A$12:$A$20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1'!$C$11:$C$19</c:f>
              <c:numCache>
                <c:formatCode>#,##0</c:formatCode>
                <c:ptCount val="9"/>
                <c:pt idx="0">
                  <c:v>48700</c:v>
                </c:pt>
                <c:pt idx="1">
                  <c:v>47400</c:v>
                </c:pt>
                <c:pt idx="2">
                  <c:v>46500</c:v>
                </c:pt>
                <c:pt idx="3">
                  <c:v>44800</c:v>
                </c:pt>
                <c:pt idx="4">
                  <c:v>45200</c:v>
                </c:pt>
                <c:pt idx="5">
                  <c:v>47100</c:v>
                </c:pt>
                <c:pt idx="6">
                  <c:v>48100</c:v>
                </c:pt>
                <c:pt idx="7">
                  <c:v>46100</c:v>
                </c:pt>
                <c:pt idx="8">
                  <c:v>43400</c:v>
                </c:pt>
              </c:numCache>
            </c:numRef>
          </c:val>
          <c:extLst>
            <c:ext xmlns:c16="http://schemas.microsoft.com/office/drawing/2014/chart" uri="{C3380CC4-5D6E-409C-BE32-E72D297353CC}">
              <c16:uniqueId val="{00000000-3F1E-42E3-9363-9D6DC201D48D}"/>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Number of people with 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1'!$AI$4</c:f>
          <c:strCache>
            <c:ptCount val="1"/>
            <c:pt idx="0">
              <c:v>Estimated prevalence of opioid dependence in Scotland</c:v>
            </c:pt>
          </c:strCache>
        </c:strRef>
      </c:tx>
      <c:layout>
        <c:manualLayout>
          <c:xMode val="edge"/>
          <c:yMode val="edge"/>
          <c:x val="0.27623275409504383"/>
          <c:y val="2.17865220064720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6894123644623702"/>
          <c:y val="0.13782343623318785"/>
          <c:w val="0.71196544341400048"/>
          <c:h val="0.66612054915092345"/>
        </c:manualLayout>
      </c:layout>
      <c:barChart>
        <c:barDir val="col"/>
        <c:grouping val="clustered"/>
        <c:varyColors val="0"/>
        <c:ser>
          <c:idx val="1"/>
          <c:order val="0"/>
          <c:spPr>
            <a:solidFill>
              <a:srgbClr val="0078D4"/>
            </a:solidFill>
            <a:ln>
              <a:noFill/>
            </a:ln>
            <a:effectLst/>
          </c:spPr>
          <c:invertIfNegative val="0"/>
          <c:errBars>
            <c:errBarType val="both"/>
            <c:errValType val="cust"/>
            <c:noEndCap val="0"/>
            <c:plus>
              <c:numRef>
                <c:f>'Table 1'!$U$26:$U$34</c:f>
                <c:numCache>
                  <c:formatCode>General</c:formatCode>
                  <c:ptCount val="9"/>
                  <c:pt idx="0">
                    <c:v>5.9999999999999984E-4</c:v>
                  </c:pt>
                  <c:pt idx="1">
                    <c:v>5.9999999999999984E-4</c:v>
                  </c:pt>
                  <c:pt idx="2">
                    <c:v>4.9999999999999871E-4</c:v>
                  </c:pt>
                  <c:pt idx="3">
                    <c:v>3.9999999999999931E-4</c:v>
                  </c:pt>
                  <c:pt idx="4">
                    <c:v>2.9999999999999992E-4</c:v>
                  </c:pt>
                  <c:pt idx="5">
                    <c:v>4.0000000000000105E-4</c:v>
                  </c:pt>
                  <c:pt idx="6">
                    <c:v>5.0000000000000044E-4</c:v>
                  </c:pt>
                  <c:pt idx="7">
                    <c:v>5.0000000000000044E-4</c:v>
                  </c:pt>
                  <c:pt idx="8">
                    <c:v>5.0000000000000044E-4</c:v>
                  </c:pt>
                </c:numCache>
              </c:numRef>
            </c:plus>
            <c:minus>
              <c:numRef>
                <c:f>'Table 1'!$T$26:$T$34</c:f>
                <c:numCache>
                  <c:formatCode>General</c:formatCode>
                  <c:ptCount val="9"/>
                  <c:pt idx="0">
                    <c:v>5.9999999999999984E-4</c:v>
                  </c:pt>
                  <c:pt idx="1">
                    <c:v>5.0000000000000044E-4</c:v>
                  </c:pt>
                  <c:pt idx="2">
                    <c:v>4.0000000000000105E-4</c:v>
                  </c:pt>
                  <c:pt idx="3">
                    <c:v>2.9999999999999992E-4</c:v>
                  </c:pt>
                  <c:pt idx="4">
                    <c:v>4.0000000000000105E-4</c:v>
                  </c:pt>
                  <c:pt idx="5">
                    <c:v>4.9999999999999871E-4</c:v>
                  </c:pt>
                  <c:pt idx="6">
                    <c:v>3.9999999999999931E-4</c:v>
                  </c:pt>
                  <c:pt idx="7">
                    <c:v>4.9999999999999871E-4</c:v>
                  </c:pt>
                  <c:pt idx="8">
                    <c:v>3.9999999999999931E-4</c:v>
                  </c:pt>
                </c:numCache>
              </c:numRef>
            </c:minus>
            <c:spPr>
              <a:noFill/>
              <a:ln w="19050" cap="flat" cmpd="sng" algn="ctr">
                <a:solidFill>
                  <a:schemeClr val="tx1"/>
                </a:solidFill>
                <a:round/>
              </a:ln>
              <a:effectLst/>
            </c:spPr>
          </c:errBars>
          <c:cat>
            <c:strRef>
              <c:f>'Table 2'!$A$12:$A$20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1'!$C$24:$C$32</c:f>
              <c:numCache>
                <c:formatCode>0.00%</c:formatCode>
                <c:ptCount val="9"/>
                <c:pt idx="0">
                  <c:v>1.38E-2</c:v>
                </c:pt>
                <c:pt idx="1">
                  <c:v>1.34E-2</c:v>
                </c:pt>
                <c:pt idx="2">
                  <c:v>1.3100000000000001E-2</c:v>
                </c:pt>
                <c:pt idx="3">
                  <c:v>1.26E-2</c:v>
                </c:pt>
                <c:pt idx="4">
                  <c:v>1.2800000000000001E-2</c:v>
                </c:pt>
                <c:pt idx="5">
                  <c:v>1.3299999999999999E-2</c:v>
                </c:pt>
                <c:pt idx="6">
                  <c:v>1.35E-2</c:v>
                </c:pt>
                <c:pt idx="7">
                  <c:v>1.2999999999999999E-2</c:v>
                </c:pt>
                <c:pt idx="8">
                  <c:v>1.23E-2</c:v>
                </c:pt>
              </c:numCache>
            </c:numRef>
          </c:val>
          <c:extLst>
            <c:ext xmlns:c16="http://schemas.microsoft.com/office/drawing/2014/chart" uri="{C3380CC4-5D6E-409C-BE32-E72D297353CC}">
              <c16:uniqueId val="{00000000-6A73-408D-921E-5BEC3C9863C8}"/>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 prevalence</a:t>
                </a:r>
                <a:r>
                  <a:rPr lang="en-GB" baseline="0"/>
                  <a:t> of people with</a:t>
                </a:r>
                <a:r>
                  <a:rPr lang="en-GB"/>
                  <a:t> 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2'!$AN$5</c:f>
          <c:strCache>
            <c:ptCount val="1"/>
            <c:pt idx="0">
              <c:v>Estimated number of people with opioid dependence in Scotland, by sex</c:v>
            </c:pt>
          </c:strCache>
        </c:strRef>
      </c:tx>
      <c:layout>
        <c:manualLayout>
          <c:xMode val="edge"/>
          <c:yMode val="edge"/>
          <c:x val="0.35675429622392091"/>
          <c:y val="2.178649237472767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797263327154933"/>
          <c:y val="0.12420511460330876"/>
          <c:w val="0.70115265357787426"/>
          <c:h val="0.71086914437273629"/>
        </c:manualLayout>
      </c:layout>
      <c:barChart>
        <c:barDir val="col"/>
        <c:grouping val="clustered"/>
        <c:varyColors val="0"/>
        <c:ser>
          <c:idx val="1"/>
          <c:order val="0"/>
          <c:tx>
            <c:strRef>
              <c:f>'Table 2'!$B$10:$D$10</c:f>
              <c:strCache>
                <c:ptCount val="1"/>
                <c:pt idx="0">
                  <c:v>Males</c:v>
                </c:pt>
              </c:strCache>
            </c:strRef>
          </c:tx>
          <c:spPr>
            <a:solidFill>
              <a:srgbClr val="0078D4"/>
            </a:solidFill>
            <a:ln>
              <a:noFill/>
            </a:ln>
            <a:effectLst/>
          </c:spPr>
          <c:invertIfNegative val="0"/>
          <c:errBars>
            <c:errBarType val="both"/>
            <c:errValType val="cust"/>
            <c:noEndCap val="0"/>
            <c:plus>
              <c:numRef>
                <c:f>'Table 2'!$X$12:$X$20</c:f>
                <c:numCache>
                  <c:formatCode>General</c:formatCode>
                  <c:ptCount val="9"/>
                  <c:pt idx="0">
                    <c:v>1700</c:v>
                  </c:pt>
                  <c:pt idx="1">
                    <c:v>1500</c:v>
                  </c:pt>
                  <c:pt idx="2">
                    <c:v>1300</c:v>
                  </c:pt>
                  <c:pt idx="3">
                    <c:v>1000</c:v>
                  </c:pt>
                  <c:pt idx="4">
                    <c:v>1100</c:v>
                  </c:pt>
                  <c:pt idx="5">
                    <c:v>1200</c:v>
                  </c:pt>
                  <c:pt idx="6">
                    <c:v>1300</c:v>
                  </c:pt>
                  <c:pt idx="7">
                    <c:v>1400</c:v>
                  </c:pt>
                  <c:pt idx="8">
                    <c:v>1200</c:v>
                  </c:pt>
                </c:numCache>
              </c:numRef>
            </c:plus>
            <c:minus>
              <c:numRef>
                <c:f>'Table 2'!$W$12:$W$20</c:f>
                <c:numCache>
                  <c:formatCode>General</c:formatCode>
                  <c:ptCount val="9"/>
                  <c:pt idx="0">
                    <c:v>1600</c:v>
                  </c:pt>
                  <c:pt idx="1">
                    <c:v>1400</c:v>
                  </c:pt>
                  <c:pt idx="2">
                    <c:v>1200</c:v>
                  </c:pt>
                  <c:pt idx="3">
                    <c:v>1000</c:v>
                  </c:pt>
                  <c:pt idx="4">
                    <c:v>900</c:v>
                  </c:pt>
                  <c:pt idx="5">
                    <c:v>1200</c:v>
                  </c:pt>
                  <c:pt idx="6">
                    <c:v>1100</c:v>
                  </c:pt>
                  <c:pt idx="7">
                    <c:v>1200</c:v>
                  </c:pt>
                  <c:pt idx="8">
                    <c:v>1200</c:v>
                  </c:pt>
                </c:numCache>
              </c:numRef>
            </c:minus>
            <c:spPr>
              <a:noFill/>
              <a:ln w="19050" cap="flat" cmpd="sng" algn="ctr">
                <a:solidFill>
                  <a:schemeClr val="tx1"/>
                </a:solidFill>
                <a:round/>
              </a:ln>
              <a:effectLst/>
            </c:spPr>
          </c:errBars>
          <c:cat>
            <c:strRef>
              <c:f>'Table 2'!$A$12:$A$20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2'!$C$12:$C$20</c:f>
              <c:numCache>
                <c:formatCode>#,##0</c:formatCode>
                <c:ptCount val="9"/>
                <c:pt idx="0">
                  <c:v>33300</c:v>
                </c:pt>
                <c:pt idx="1">
                  <c:v>32400</c:v>
                </c:pt>
                <c:pt idx="2">
                  <c:v>31900</c:v>
                </c:pt>
                <c:pt idx="3">
                  <c:v>30700</c:v>
                </c:pt>
                <c:pt idx="4">
                  <c:v>31000</c:v>
                </c:pt>
                <c:pt idx="5">
                  <c:v>32500</c:v>
                </c:pt>
                <c:pt idx="6">
                  <c:v>33200</c:v>
                </c:pt>
                <c:pt idx="7">
                  <c:v>31800</c:v>
                </c:pt>
                <c:pt idx="8">
                  <c:v>29900</c:v>
                </c:pt>
              </c:numCache>
            </c:numRef>
          </c:val>
          <c:extLst>
            <c:ext xmlns:c16="http://schemas.microsoft.com/office/drawing/2014/chart" uri="{C3380CC4-5D6E-409C-BE32-E72D297353CC}">
              <c16:uniqueId val="{00000006-F8A8-4DC0-94F4-9E228610BF93}"/>
            </c:ext>
          </c:extLst>
        </c:ser>
        <c:ser>
          <c:idx val="2"/>
          <c:order val="1"/>
          <c:tx>
            <c:strRef>
              <c:f>'Table 2'!$E$10:$G$10</c:f>
              <c:strCache>
                <c:ptCount val="1"/>
                <c:pt idx="0">
                  <c:v>Females</c:v>
                </c:pt>
              </c:strCache>
            </c:strRef>
          </c:tx>
          <c:spPr>
            <a:solidFill>
              <a:srgbClr val="9B4393"/>
            </a:solidFill>
            <a:ln>
              <a:noFill/>
            </a:ln>
            <a:effectLst/>
          </c:spPr>
          <c:invertIfNegative val="0"/>
          <c:errBars>
            <c:errBarType val="both"/>
            <c:errValType val="cust"/>
            <c:noEndCap val="0"/>
            <c:plus>
              <c:numRef>
                <c:f>'Table 2'!$Z$12:$Z$20</c:f>
                <c:numCache>
                  <c:formatCode>General</c:formatCode>
                  <c:ptCount val="9"/>
                  <c:pt idx="0">
                    <c:v>800</c:v>
                  </c:pt>
                  <c:pt idx="1">
                    <c:v>600</c:v>
                  </c:pt>
                  <c:pt idx="2">
                    <c:v>500</c:v>
                  </c:pt>
                  <c:pt idx="3">
                    <c:v>500</c:v>
                  </c:pt>
                  <c:pt idx="4">
                    <c:v>400</c:v>
                  </c:pt>
                  <c:pt idx="5">
                    <c:v>600</c:v>
                  </c:pt>
                  <c:pt idx="6">
                    <c:v>500</c:v>
                  </c:pt>
                  <c:pt idx="7">
                    <c:v>600</c:v>
                  </c:pt>
                  <c:pt idx="8">
                    <c:v>600</c:v>
                  </c:pt>
                </c:numCache>
              </c:numRef>
            </c:plus>
            <c:minus>
              <c:numRef>
                <c:f>'Table 2'!$Y$12:$Y$20</c:f>
                <c:numCache>
                  <c:formatCode>General</c:formatCode>
                  <c:ptCount val="9"/>
                  <c:pt idx="0">
                    <c:v>600</c:v>
                  </c:pt>
                  <c:pt idx="1">
                    <c:v>600</c:v>
                  </c:pt>
                  <c:pt idx="2">
                    <c:v>500</c:v>
                  </c:pt>
                  <c:pt idx="3">
                    <c:v>400</c:v>
                  </c:pt>
                  <c:pt idx="4">
                    <c:v>500</c:v>
                  </c:pt>
                  <c:pt idx="5">
                    <c:v>500</c:v>
                  </c:pt>
                  <c:pt idx="6">
                    <c:v>600</c:v>
                  </c:pt>
                  <c:pt idx="7">
                    <c:v>500</c:v>
                  </c:pt>
                  <c:pt idx="8">
                    <c:v>400</c:v>
                  </c:pt>
                </c:numCache>
              </c:numRef>
            </c:minus>
            <c:spPr>
              <a:noFill/>
              <a:ln w="19050" cap="flat" cmpd="sng" algn="ctr">
                <a:solidFill>
                  <a:schemeClr val="tx1"/>
                </a:solidFill>
                <a:round/>
              </a:ln>
              <a:effectLst/>
            </c:spPr>
          </c:errBars>
          <c:cat>
            <c:strRef>
              <c:f>'Table 2'!$A$12:$A$20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2'!$F$12:$F$20</c:f>
              <c:numCache>
                <c:formatCode>#,##0</c:formatCode>
                <c:ptCount val="9"/>
                <c:pt idx="0">
                  <c:v>15300</c:v>
                </c:pt>
                <c:pt idx="1">
                  <c:v>15000</c:v>
                </c:pt>
                <c:pt idx="2">
                  <c:v>14700</c:v>
                </c:pt>
                <c:pt idx="3">
                  <c:v>14100</c:v>
                </c:pt>
                <c:pt idx="4">
                  <c:v>14200</c:v>
                </c:pt>
                <c:pt idx="5">
                  <c:v>14600</c:v>
                </c:pt>
                <c:pt idx="6">
                  <c:v>14900</c:v>
                </c:pt>
                <c:pt idx="7">
                  <c:v>14300</c:v>
                </c:pt>
                <c:pt idx="8">
                  <c:v>13500</c:v>
                </c:pt>
              </c:numCache>
            </c:numRef>
          </c:val>
          <c:extLst>
            <c:ext xmlns:c16="http://schemas.microsoft.com/office/drawing/2014/chart" uri="{C3380CC4-5D6E-409C-BE32-E72D297353CC}">
              <c16:uniqueId val="{00000007-F8A8-4DC0-94F4-9E228610BF93}"/>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Number of people with 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legend>
      <c:legendPos val="t"/>
      <c:layout>
        <c:manualLayout>
          <c:xMode val="edge"/>
          <c:yMode val="edge"/>
          <c:x val="0.49252870684187372"/>
          <c:y val="0.11963682143762547"/>
          <c:w val="0.21310568240393163"/>
          <c:h val="3.8284614559363488E-2"/>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2'!$AN$4</c:f>
          <c:strCache>
            <c:ptCount val="1"/>
            <c:pt idx="0">
              <c:v>Estimated prevalence of opioid dependence in Scotland, by sex</c:v>
            </c:pt>
          </c:strCache>
        </c:strRef>
      </c:tx>
      <c:layout>
        <c:manualLayout>
          <c:xMode val="edge"/>
          <c:yMode val="edge"/>
          <c:x val="0.35675429622392091"/>
          <c:y val="2.178649237472767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6894123644623702"/>
          <c:y val="0.13782343623318785"/>
          <c:w val="0.71196544341400048"/>
          <c:h val="0.66612054915092345"/>
        </c:manualLayout>
      </c:layout>
      <c:barChart>
        <c:barDir val="col"/>
        <c:grouping val="clustered"/>
        <c:varyColors val="0"/>
        <c:ser>
          <c:idx val="1"/>
          <c:order val="0"/>
          <c:tx>
            <c:strRef>
              <c:f>'Table 2'!$B$10:$D$10</c:f>
              <c:strCache>
                <c:ptCount val="1"/>
                <c:pt idx="0">
                  <c:v>Males</c:v>
                </c:pt>
              </c:strCache>
            </c:strRef>
          </c:tx>
          <c:spPr>
            <a:solidFill>
              <a:srgbClr val="0078D4"/>
            </a:solidFill>
            <a:ln>
              <a:noFill/>
            </a:ln>
            <a:effectLst/>
          </c:spPr>
          <c:invertIfNegative val="0"/>
          <c:errBars>
            <c:errBarType val="both"/>
            <c:errValType val="cust"/>
            <c:noEndCap val="0"/>
            <c:plus>
              <c:numRef>
                <c:f>'Table 2'!$X$26:$X$34</c:f>
                <c:numCache>
                  <c:formatCode>General</c:formatCode>
                  <c:ptCount val="9"/>
                  <c:pt idx="0">
                    <c:v>1.0000000000000009E-3</c:v>
                  </c:pt>
                  <c:pt idx="1">
                    <c:v>9.0000000000000149E-4</c:v>
                  </c:pt>
                  <c:pt idx="2">
                    <c:v>6.9999999999999923E-4</c:v>
                  </c:pt>
                  <c:pt idx="3">
                    <c:v>5.9999999999999984E-4</c:v>
                  </c:pt>
                  <c:pt idx="4">
                    <c:v>5.9999999999999984E-4</c:v>
                  </c:pt>
                  <c:pt idx="5">
                    <c:v>7.000000000000027E-4</c:v>
                  </c:pt>
                  <c:pt idx="6">
                    <c:v>6.9999999999999923E-4</c:v>
                  </c:pt>
                  <c:pt idx="7">
                    <c:v>7.9999999999999863E-4</c:v>
                  </c:pt>
                  <c:pt idx="8">
                    <c:v>7.000000000000027E-4</c:v>
                  </c:pt>
                </c:numCache>
              </c:numRef>
            </c:plus>
            <c:minus>
              <c:numRef>
                <c:f>'Table 2'!$W$26:$W$34</c:f>
                <c:numCache>
                  <c:formatCode>General</c:formatCode>
                  <c:ptCount val="9"/>
                  <c:pt idx="0">
                    <c:v>8.9999999999999802E-4</c:v>
                  </c:pt>
                  <c:pt idx="1">
                    <c:v>7.9999999999999863E-4</c:v>
                  </c:pt>
                  <c:pt idx="2">
                    <c:v>6.9999999999999923E-4</c:v>
                  </c:pt>
                  <c:pt idx="3">
                    <c:v>5.9999999999999984E-4</c:v>
                  </c:pt>
                  <c:pt idx="4">
                    <c:v>5.9999999999999984E-4</c:v>
                  </c:pt>
                  <c:pt idx="5">
                    <c:v>6.9999999999999923E-4</c:v>
                  </c:pt>
                  <c:pt idx="6">
                    <c:v>6.9999999999999923E-4</c:v>
                  </c:pt>
                  <c:pt idx="7">
                    <c:v>6.9999999999999923E-4</c:v>
                  </c:pt>
                  <c:pt idx="8">
                    <c:v>6.9999999999999923E-4</c:v>
                  </c:pt>
                </c:numCache>
              </c:numRef>
            </c:minus>
            <c:spPr>
              <a:noFill/>
              <a:ln w="19050" cap="flat" cmpd="sng" algn="ctr">
                <a:solidFill>
                  <a:schemeClr val="tx1"/>
                </a:solidFill>
                <a:round/>
              </a:ln>
              <a:effectLst/>
            </c:spPr>
          </c:errBars>
          <c:cat>
            <c:strRef>
              <c:f>'Table 2'!$A$26:$A$34</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2'!$C$26:$C$34</c:f>
              <c:numCache>
                <c:formatCode>0.00%</c:formatCode>
                <c:ptCount val="9"/>
                <c:pt idx="0">
                  <c:v>1.9199999999999998E-2</c:v>
                </c:pt>
                <c:pt idx="1">
                  <c:v>1.8599999999999998E-2</c:v>
                </c:pt>
                <c:pt idx="2">
                  <c:v>1.83E-2</c:v>
                </c:pt>
                <c:pt idx="3">
                  <c:v>1.7600000000000001E-2</c:v>
                </c:pt>
                <c:pt idx="4">
                  <c:v>1.78E-2</c:v>
                </c:pt>
                <c:pt idx="5">
                  <c:v>1.8599999999999998E-2</c:v>
                </c:pt>
                <c:pt idx="6">
                  <c:v>1.9E-2</c:v>
                </c:pt>
                <c:pt idx="7">
                  <c:v>1.8200000000000001E-2</c:v>
                </c:pt>
                <c:pt idx="8">
                  <c:v>1.7399999999999999E-2</c:v>
                </c:pt>
              </c:numCache>
            </c:numRef>
          </c:val>
          <c:extLst>
            <c:ext xmlns:c16="http://schemas.microsoft.com/office/drawing/2014/chart" uri="{C3380CC4-5D6E-409C-BE32-E72D297353CC}">
              <c16:uniqueId val="{00000000-AF56-44F0-9291-0D830A57B602}"/>
            </c:ext>
          </c:extLst>
        </c:ser>
        <c:ser>
          <c:idx val="2"/>
          <c:order val="1"/>
          <c:tx>
            <c:strRef>
              <c:f>'Table 2'!$E$10:$G$10</c:f>
              <c:strCache>
                <c:ptCount val="1"/>
                <c:pt idx="0">
                  <c:v>Females</c:v>
                </c:pt>
              </c:strCache>
            </c:strRef>
          </c:tx>
          <c:spPr>
            <a:solidFill>
              <a:srgbClr val="9B4393"/>
            </a:solidFill>
            <a:ln>
              <a:noFill/>
            </a:ln>
            <a:effectLst/>
          </c:spPr>
          <c:invertIfNegative val="0"/>
          <c:errBars>
            <c:errBarType val="both"/>
            <c:errValType val="cust"/>
            <c:noEndCap val="0"/>
            <c:plus>
              <c:numRef>
                <c:f>'Table 2'!$Z$26:$Z$34</c:f>
                <c:numCache>
                  <c:formatCode>General</c:formatCode>
                  <c:ptCount val="9"/>
                  <c:pt idx="0">
                    <c:v>3.9999999999999931E-4</c:v>
                  </c:pt>
                  <c:pt idx="1">
                    <c:v>3.9999999999999931E-4</c:v>
                  </c:pt>
                  <c:pt idx="2">
                    <c:v>4.0000000000000105E-4</c:v>
                  </c:pt>
                  <c:pt idx="3">
                    <c:v>2.9999999999999992E-4</c:v>
                  </c:pt>
                  <c:pt idx="4">
                    <c:v>1.9999999999999879E-4</c:v>
                  </c:pt>
                  <c:pt idx="5">
                    <c:v>2.9999999999999992E-4</c:v>
                  </c:pt>
                  <c:pt idx="6">
                    <c:v>3.9999999999999931E-4</c:v>
                  </c:pt>
                  <c:pt idx="7">
                    <c:v>3.9999999999999931E-4</c:v>
                  </c:pt>
                  <c:pt idx="8">
                    <c:v>2.9999999999999992E-4</c:v>
                  </c:pt>
                </c:numCache>
              </c:numRef>
            </c:plus>
            <c:minus>
              <c:numRef>
                <c:f>'Table 2'!$Y$26:$Y$34</c:f>
                <c:numCache>
                  <c:formatCode>General</c:formatCode>
                  <c:ptCount val="9"/>
                  <c:pt idx="0">
                    <c:v>3.9999999999999931E-4</c:v>
                  </c:pt>
                  <c:pt idx="1">
                    <c:v>2.9999999999999992E-4</c:v>
                  </c:pt>
                  <c:pt idx="2">
                    <c:v>1.9999999999999879E-4</c:v>
                  </c:pt>
                  <c:pt idx="3">
                    <c:v>1.9999999999999966E-4</c:v>
                  </c:pt>
                  <c:pt idx="4">
                    <c:v>3.0000000000000079E-4</c:v>
                  </c:pt>
                  <c:pt idx="5">
                    <c:v>2.9999999999999992E-4</c:v>
                  </c:pt>
                  <c:pt idx="6">
                    <c:v>2.0000000000000052E-4</c:v>
                  </c:pt>
                  <c:pt idx="7">
                    <c:v>3.0000000000000079E-4</c:v>
                  </c:pt>
                  <c:pt idx="8">
                    <c:v>1.9999999999999966E-4</c:v>
                  </c:pt>
                </c:numCache>
              </c:numRef>
            </c:minus>
            <c:spPr>
              <a:noFill/>
              <a:ln w="19050" cap="flat" cmpd="sng" algn="ctr">
                <a:solidFill>
                  <a:schemeClr val="tx1"/>
                </a:solidFill>
                <a:round/>
              </a:ln>
              <a:effectLst/>
            </c:spPr>
          </c:errBars>
          <c:cat>
            <c:strRef>
              <c:f>'Table 2'!$A$26:$A$34</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2'!$F$26:$F$34</c:f>
              <c:numCache>
                <c:formatCode>0.00%</c:formatCode>
                <c:ptCount val="9"/>
                <c:pt idx="0">
                  <c:v>8.6E-3</c:v>
                </c:pt>
                <c:pt idx="1">
                  <c:v>8.3000000000000001E-3</c:v>
                </c:pt>
                <c:pt idx="2">
                  <c:v>8.0999999999999996E-3</c:v>
                </c:pt>
                <c:pt idx="3">
                  <c:v>7.7999999999999996E-3</c:v>
                </c:pt>
                <c:pt idx="4">
                  <c:v>7.9000000000000008E-3</c:v>
                </c:pt>
                <c:pt idx="5">
                  <c:v>8.0999999999999996E-3</c:v>
                </c:pt>
                <c:pt idx="6">
                  <c:v>8.2000000000000007E-3</c:v>
                </c:pt>
                <c:pt idx="7">
                  <c:v>7.9000000000000008E-3</c:v>
                </c:pt>
                <c:pt idx="8">
                  <c:v>7.4999999999999997E-3</c:v>
                </c:pt>
              </c:numCache>
            </c:numRef>
          </c:val>
          <c:extLst>
            <c:ext xmlns:c16="http://schemas.microsoft.com/office/drawing/2014/chart" uri="{C3380CC4-5D6E-409C-BE32-E72D297353CC}">
              <c16:uniqueId val="{00000001-AF56-44F0-9291-0D830A57B602}"/>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 prevalence</a:t>
                </a:r>
                <a:r>
                  <a:rPr lang="en-GB" baseline="0"/>
                  <a:t> of people with</a:t>
                </a:r>
                <a:r>
                  <a:rPr lang="en-GB"/>
                  <a:t> 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legend>
      <c:legendPos val="t"/>
      <c:layout>
        <c:manualLayout>
          <c:xMode val="edge"/>
          <c:yMode val="edge"/>
          <c:x val="0.48645500771183736"/>
          <c:y val="0.1199474829850497"/>
          <c:w val="0.21857028506195186"/>
          <c:h val="4.2426176107000953E-2"/>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3'!$AA$4</c:f>
          <c:strCache>
            <c:ptCount val="1"/>
            <c:pt idx="0">
              <c:v>Estimated prevalence of opioid dependence in Scotland, by age group</c:v>
            </c:pt>
          </c:strCache>
        </c:strRef>
      </c:tx>
      <c:layout>
        <c:manualLayout>
          <c:xMode val="edge"/>
          <c:yMode val="edge"/>
          <c:x val="0.26173318883014063"/>
          <c:y val="2.5489490053645605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8887535620209337"/>
          <c:y val="0.1662388158191736"/>
          <c:w val="0.70793144001957975"/>
          <c:h val="0.69186958554571065"/>
        </c:manualLayout>
      </c:layout>
      <c:barChart>
        <c:barDir val="col"/>
        <c:grouping val="clustered"/>
        <c:varyColors val="0"/>
        <c:ser>
          <c:idx val="0"/>
          <c:order val="0"/>
          <c:tx>
            <c:strRef>
              <c:f>'Table 3'!$B$26</c:f>
              <c:strCache>
                <c:ptCount val="1"/>
                <c:pt idx="0">
                  <c:v>15-34</c:v>
                </c:pt>
              </c:strCache>
            </c:strRef>
          </c:tx>
          <c:spPr>
            <a:solidFill>
              <a:srgbClr val="3F3685"/>
            </a:solidFill>
            <a:ln>
              <a:noFill/>
            </a:ln>
            <a:effectLst/>
          </c:spPr>
          <c:invertIfNegative val="0"/>
          <c:errBars>
            <c:errBarType val="both"/>
            <c:errValType val="cust"/>
            <c:noEndCap val="0"/>
            <c:plus>
              <c:numRef>
                <c:f>'Table 3'!$L$28:$L$36</c:f>
                <c:numCache>
                  <c:formatCode>General</c:formatCode>
                  <c:ptCount val="9"/>
                  <c:pt idx="0">
                    <c:v>8.0000000000000036E-4</c:v>
                  </c:pt>
                  <c:pt idx="1">
                    <c:v>6.9999999999999923E-4</c:v>
                  </c:pt>
                  <c:pt idx="2">
                    <c:v>5.0000000000000044E-4</c:v>
                  </c:pt>
                  <c:pt idx="3">
                    <c:v>4.9999999999999871E-4</c:v>
                  </c:pt>
                  <c:pt idx="4">
                    <c:v>5.0000000000000044E-4</c:v>
                  </c:pt>
                  <c:pt idx="5">
                    <c:v>5.9999999999999984E-4</c:v>
                  </c:pt>
                  <c:pt idx="6">
                    <c:v>5.9999999999999984E-4</c:v>
                  </c:pt>
                  <c:pt idx="7">
                    <c:v>5.9999999999999984E-4</c:v>
                  </c:pt>
                  <c:pt idx="8">
                    <c:v>4.9999999999999958E-4</c:v>
                  </c:pt>
                </c:numCache>
              </c:numRef>
            </c:plus>
            <c:minus>
              <c:numRef>
                <c:f>'Table 3'!$K$28:$K$36</c:f>
                <c:numCache>
                  <c:formatCode>General</c:formatCode>
                  <c:ptCount val="9"/>
                  <c:pt idx="0">
                    <c:v>6.9999999999999923E-4</c:v>
                  </c:pt>
                  <c:pt idx="1">
                    <c:v>5.9999999999999984E-4</c:v>
                  </c:pt>
                  <c:pt idx="2">
                    <c:v>5.9999999999999984E-4</c:v>
                  </c:pt>
                  <c:pt idx="3">
                    <c:v>5.0000000000000044E-4</c:v>
                  </c:pt>
                  <c:pt idx="4">
                    <c:v>3.9999999999999931E-4</c:v>
                  </c:pt>
                  <c:pt idx="5">
                    <c:v>4.9999999999999871E-4</c:v>
                  </c:pt>
                  <c:pt idx="6">
                    <c:v>5.0000000000000044E-4</c:v>
                  </c:pt>
                  <c:pt idx="7">
                    <c:v>5.9999999999999984E-4</c:v>
                  </c:pt>
                  <c:pt idx="8">
                    <c:v>5.0000000000000044E-4</c:v>
                  </c:pt>
                </c:numCache>
              </c:numRef>
            </c:minus>
            <c:spPr>
              <a:noFill/>
              <a:ln w="19050" cap="flat" cmpd="sng" algn="ctr">
                <a:solidFill>
                  <a:schemeClr val="tx1"/>
                </a:solidFill>
                <a:round/>
              </a:ln>
              <a:effectLst/>
            </c:spPr>
          </c:errBars>
          <c:cat>
            <c:strRef>
              <c:f>'Table 3'!$A$28:$A$36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3'!$C$28:$C$36</c:f>
              <c:numCache>
                <c:formatCode>0.00%</c:formatCode>
                <c:ptCount val="9"/>
                <c:pt idx="0">
                  <c:v>1.24E-2</c:v>
                </c:pt>
                <c:pt idx="1">
                  <c:v>1.11E-2</c:v>
                </c:pt>
                <c:pt idx="2">
                  <c:v>9.7999999999999997E-3</c:v>
                </c:pt>
                <c:pt idx="3">
                  <c:v>8.8000000000000005E-3</c:v>
                </c:pt>
                <c:pt idx="4">
                  <c:v>8.3999999999999995E-3</c:v>
                </c:pt>
                <c:pt idx="5">
                  <c:v>8.6999999999999994E-3</c:v>
                </c:pt>
                <c:pt idx="6">
                  <c:v>8.6E-3</c:v>
                </c:pt>
                <c:pt idx="7">
                  <c:v>7.7000000000000002E-3</c:v>
                </c:pt>
                <c:pt idx="8">
                  <c:v>6.7000000000000002E-3</c:v>
                </c:pt>
              </c:numCache>
            </c:numRef>
          </c:val>
          <c:extLst>
            <c:ext xmlns:c16="http://schemas.microsoft.com/office/drawing/2014/chart" uri="{C3380CC4-5D6E-409C-BE32-E72D297353CC}">
              <c16:uniqueId val="{00000000-450A-482A-BEA8-03E1411CDAA5}"/>
            </c:ext>
          </c:extLst>
        </c:ser>
        <c:ser>
          <c:idx val="1"/>
          <c:order val="1"/>
          <c:tx>
            <c:strRef>
              <c:f>'Table 3'!$E$26</c:f>
              <c:strCache>
                <c:ptCount val="1"/>
                <c:pt idx="0">
                  <c:v>35-49</c:v>
                </c:pt>
              </c:strCache>
            </c:strRef>
          </c:tx>
          <c:spPr>
            <a:solidFill>
              <a:srgbClr val="83BB26"/>
            </a:solidFill>
            <a:ln>
              <a:noFill/>
            </a:ln>
            <a:effectLst/>
          </c:spPr>
          <c:invertIfNegative val="0"/>
          <c:errBars>
            <c:errBarType val="both"/>
            <c:errValType val="cust"/>
            <c:noEndCap val="0"/>
            <c:plus>
              <c:numRef>
                <c:f>'Table 3'!$N$28:$N$36</c:f>
                <c:numCache>
                  <c:formatCode>General</c:formatCode>
                  <c:ptCount val="9"/>
                  <c:pt idx="0">
                    <c:v>1.1000000000000003E-3</c:v>
                  </c:pt>
                  <c:pt idx="1">
                    <c:v>1.0000000000000009E-3</c:v>
                  </c:pt>
                  <c:pt idx="2">
                    <c:v>9.0000000000000149E-4</c:v>
                  </c:pt>
                  <c:pt idx="3">
                    <c:v>6.9999999999999923E-4</c:v>
                  </c:pt>
                  <c:pt idx="4">
                    <c:v>6.9999999999999923E-4</c:v>
                  </c:pt>
                  <c:pt idx="5">
                    <c:v>7.9999999999999863E-4</c:v>
                  </c:pt>
                  <c:pt idx="6">
                    <c:v>7.9999999999999863E-4</c:v>
                  </c:pt>
                  <c:pt idx="7">
                    <c:v>9.0000000000000149E-4</c:v>
                  </c:pt>
                  <c:pt idx="8">
                    <c:v>8.9999999999999802E-4</c:v>
                  </c:pt>
                </c:numCache>
              </c:numRef>
            </c:plus>
            <c:minus>
              <c:numRef>
                <c:f>'Table 3'!$M$28:$M$36</c:f>
                <c:numCache>
                  <c:formatCode>General</c:formatCode>
                  <c:ptCount val="9"/>
                  <c:pt idx="0">
                    <c:v>1.0000000000000009E-3</c:v>
                  </c:pt>
                  <c:pt idx="1">
                    <c:v>7.9999999999999863E-4</c:v>
                  </c:pt>
                  <c:pt idx="2">
                    <c:v>7.9999999999999863E-4</c:v>
                  </c:pt>
                  <c:pt idx="3">
                    <c:v>6.9999999999999923E-4</c:v>
                  </c:pt>
                  <c:pt idx="4">
                    <c:v>5.9999999999999984E-4</c:v>
                  </c:pt>
                  <c:pt idx="5">
                    <c:v>8.000000000000021E-4</c:v>
                  </c:pt>
                  <c:pt idx="6">
                    <c:v>8.000000000000021E-4</c:v>
                  </c:pt>
                  <c:pt idx="7">
                    <c:v>7.9999999999999863E-4</c:v>
                  </c:pt>
                  <c:pt idx="8">
                    <c:v>7.000000000000027E-4</c:v>
                  </c:pt>
                </c:numCache>
              </c:numRef>
            </c:minus>
            <c:spPr>
              <a:noFill/>
              <a:ln w="19050" cap="flat" cmpd="sng" algn="ctr">
                <a:solidFill>
                  <a:schemeClr val="tx1"/>
                </a:solidFill>
                <a:round/>
              </a:ln>
              <a:effectLst/>
            </c:spPr>
          </c:errBars>
          <c:cat>
            <c:strRef>
              <c:f>'Table 3'!$A$28:$A$36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3'!$F$28:$F$36</c:f>
              <c:numCache>
                <c:formatCode>0.00%</c:formatCode>
                <c:ptCount val="9"/>
                <c:pt idx="0">
                  <c:v>2.5000000000000001E-2</c:v>
                </c:pt>
                <c:pt idx="1">
                  <c:v>2.53E-2</c:v>
                </c:pt>
                <c:pt idx="2">
                  <c:v>2.58E-2</c:v>
                </c:pt>
                <c:pt idx="3">
                  <c:v>2.58E-2</c:v>
                </c:pt>
                <c:pt idx="4">
                  <c:v>2.5899999999999999E-2</c:v>
                </c:pt>
                <c:pt idx="5">
                  <c:v>2.6800000000000001E-2</c:v>
                </c:pt>
                <c:pt idx="6">
                  <c:v>2.6700000000000002E-2</c:v>
                </c:pt>
                <c:pt idx="7">
                  <c:v>2.53E-2</c:v>
                </c:pt>
                <c:pt idx="8">
                  <c:v>2.3900000000000001E-2</c:v>
                </c:pt>
              </c:numCache>
            </c:numRef>
          </c:val>
          <c:extLst>
            <c:ext xmlns:c16="http://schemas.microsoft.com/office/drawing/2014/chart" uri="{C3380CC4-5D6E-409C-BE32-E72D297353CC}">
              <c16:uniqueId val="{00000001-450A-482A-BEA8-03E1411CDAA5}"/>
            </c:ext>
          </c:extLst>
        </c:ser>
        <c:ser>
          <c:idx val="2"/>
          <c:order val="2"/>
          <c:tx>
            <c:strRef>
              <c:f>'Table 3'!$H$26</c:f>
              <c:strCache>
                <c:ptCount val="1"/>
                <c:pt idx="0">
                  <c:v>50-64</c:v>
                </c:pt>
              </c:strCache>
            </c:strRef>
          </c:tx>
          <c:spPr>
            <a:solidFill>
              <a:srgbClr val="A9A4B5"/>
            </a:solidFill>
            <a:ln>
              <a:noFill/>
            </a:ln>
            <a:effectLst/>
          </c:spPr>
          <c:invertIfNegative val="0"/>
          <c:errBars>
            <c:errBarType val="both"/>
            <c:errValType val="cust"/>
            <c:noEndCap val="0"/>
            <c:plus>
              <c:numRef>
                <c:f>'Table 3'!$P$28:$P$36</c:f>
                <c:numCache>
                  <c:formatCode>General</c:formatCode>
                  <c:ptCount val="9"/>
                  <c:pt idx="0">
                    <c:v>5.9999999999999984E-4</c:v>
                  </c:pt>
                  <c:pt idx="1">
                    <c:v>5.0000000000000044E-4</c:v>
                  </c:pt>
                  <c:pt idx="2">
                    <c:v>5.0000000000000044E-4</c:v>
                  </c:pt>
                  <c:pt idx="3">
                    <c:v>2.9999999999999992E-4</c:v>
                  </c:pt>
                  <c:pt idx="4">
                    <c:v>4.0000000000000018E-4</c:v>
                  </c:pt>
                  <c:pt idx="5">
                    <c:v>4.0000000000000018E-4</c:v>
                  </c:pt>
                  <c:pt idx="6">
                    <c:v>5.0000000000000044E-4</c:v>
                  </c:pt>
                  <c:pt idx="7">
                    <c:v>5.9999999999999984E-4</c:v>
                  </c:pt>
                  <c:pt idx="8">
                    <c:v>5.9999999999999984E-4</c:v>
                  </c:pt>
                </c:numCache>
              </c:numRef>
            </c:plus>
            <c:minus>
              <c:numRef>
                <c:f>'Table 3'!$O$28:$O$36</c:f>
                <c:numCache>
                  <c:formatCode>General</c:formatCode>
                  <c:ptCount val="9"/>
                  <c:pt idx="0">
                    <c:v>5.0000000000000001E-4</c:v>
                  </c:pt>
                  <c:pt idx="1">
                    <c:v>4.9999999999999958E-4</c:v>
                  </c:pt>
                  <c:pt idx="2">
                    <c:v>4.0000000000000018E-4</c:v>
                  </c:pt>
                  <c:pt idx="3">
                    <c:v>4.0000000000000018E-4</c:v>
                  </c:pt>
                  <c:pt idx="4">
                    <c:v>2.9999999999999992E-4</c:v>
                  </c:pt>
                  <c:pt idx="5">
                    <c:v>2.9999999999999992E-4</c:v>
                  </c:pt>
                  <c:pt idx="6">
                    <c:v>4.0000000000000018E-4</c:v>
                  </c:pt>
                  <c:pt idx="7">
                    <c:v>4.0000000000000105E-4</c:v>
                  </c:pt>
                  <c:pt idx="8">
                    <c:v>5.0000000000000044E-4</c:v>
                  </c:pt>
                </c:numCache>
              </c:numRef>
            </c:minus>
            <c:spPr>
              <a:noFill/>
              <a:ln w="19050" cap="flat" cmpd="sng" algn="ctr">
                <a:solidFill>
                  <a:schemeClr val="tx1"/>
                </a:solidFill>
                <a:round/>
              </a:ln>
              <a:effectLst/>
            </c:spPr>
          </c:errBars>
          <c:cat>
            <c:strRef>
              <c:f>'Table 3'!$A$28:$A$36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3'!$I$28:$I$36</c:f>
              <c:numCache>
                <c:formatCode>0.00%</c:formatCode>
                <c:ptCount val="9"/>
                <c:pt idx="0">
                  <c:v>4.3E-3</c:v>
                </c:pt>
                <c:pt idx="1">
                  <c:v>4.5999999999999999E-3</c:v>
                </c:pt>
                <c:pt idx="2">
                  <c:v>5.1999999999999998E-3</c:v>
                </c:pt>
                <c:pt idx="3">
                  <c:v>5.1000000000000004E-3</c:v>
                </c:pt>
                <c:pt idx="4">
                  <c:v>5.8999999999999999E-3</c:v>
                </c:pt>
                <c:pt idx="5">
                  <c:v>6.4999999999999997E-3</c:v>
                </c:pt>
                <c:pt idx="6">
                  <c:v>7.7000000000000002E-3</c:v>
                </c:pt>
                <c:pt idx="7">
                  <c:v>8.2000000000000007E-3</c:v>
                </c:pt>
                <c:pt idx="8">
                  <c:v>8.8000000000000005E-3</c:v>
                </c:pt>
              </c:numCache>
            </c:numRef>
          </c:val>
          <c:extLst>
            <c:ext xmlns:c16="http://schemas.microsoft.com/office/drawing/2014/chart" uri="{C3380CC4-5D6E-409C-BE32-E72D297353CC}">
              <c16:uniqueId val="{00000002-450A-482A-BEA8-03E1411CDAA5}"/>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 prevalence of peole</a:t>
                </a:r>
                <a:r>
                  <a:rPr lang="en-GB" baseline="0"/>
                  <a:t> with</a:t>
                </a:r>
                <a:r>
                  <a:rPr lang="en-GB"/>
                  <a:t> opioid</a:t>
                </a:r>
                <a:r>
                  <a:rPr lang="en-GB" baseline="0"/>
                  <a:t> </a:t>
                </a:r>
                <a:r>
                  <a:rPr lang="en-GB"/>
                  <a:t>dependence</a:t>
                </a:r>
              </a:p>
            </c:rich>
          </c:tx>
          <c:layout>
            <c:manualLayout>
              <c:xMode val="edge"/>
              <c:yMode val="edge"/>
              <c:x val="2.0384238072492129E-2"/>
              <c:y val="0.46284860459858246"/>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legend>
      <c:legendPos val="t"/>
      <c:layout>
        <c:manualLayout>
          <c:xMode val="edge"/>
          <c:yMode val="edge"/>
          <c:x val="0.50222790187284605"/>
          <c:y val="0.10097660429668187"/>
          <c:w val="0.24579858475865504"/>
          <c:h val="3.5535063229750606E-2"/>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3'!$AA$5</c:f>
          <c:strCache>
            <c:ptCount val="1"/>
            <c:pt idx="0">
              <c:v>Estimated number of people with opioid-dependence in Scotland, by age group</c:v>
            </c:pt>
          </c:strCache>
        </c:strRef>
      </c:tx>
      <c:layout>
        <c:manualLayout>
          <c:xMode val="edge"/>
          <c:yMode val="edge"/>
          <c:x val="0.22188028779486063"/>
          <c:y val="1.8777710131937572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8879811420249896"/>
          <c:y val="0.16865830192296874"/>
          <c:w val="0.69186157989394537"/>
          <c:h val="0.671026564959466"/>
        </c:manualLayout>
      </c:layout>
      <c:barChart>
        <c:barDir val="col"/>
        <c:grouping val="clustered"/>
        <c:varyColors val="0"/>
        <c:ser>
          <c:idx val="0"/>
          <c:order val="0"/>
          <c:tx>
            <c:strRef>
              <c:f>'Table 3'!$B$10</c:f>
              <c:strCache>
                <c:ptCount val="1"/>
                <c:pt idx="0">
                  <c:v>15-34</c:v>
                </c:pt>
              </c:strCache>
            </c:strRef>
          </c:tx>
          <c:spPr>
            <a:solidFill>
              <a:srgbClr val="3F3685"/>
            </a:solidFill>
            <a:ln>
              <a:noFill/>
            </a:ln>
            <a:effectLst/>
          </c:spPr>
          <c:invertIfNegative val="0"/>
          <c:dPt>
            <c:idx val="0"/>
            <c:invertIfNegative val="0"/>
            <c:bubble3D val="0"/>
            <c:spPr>
              <a:solidFill>
                <a:srgbClr val="3F3685"/>
              </a:solidFill>
              <a:ln>
                <a:noFill/>
              </a:ln>
              <a:effectLst/>
            </c:spPr>
            <c:extLst>
              <c:ext xmlns:c16="http://schemas.microsoft.com/office/drawing/2014/chart" uri="{C3380CC4-5D6E-409C-BE32-E72D297353CC}">
                <c16:uniqueId val="{00000001-F572-4DBE-B410-E2BB582B0EC3}"/>
              </c:ext>
            </c:extLst>
          </c:dPt>
          <c:errBars>
            <c:errBarType val="both"/>
            <c:errValType val="cust"/>
            <c:noEndCap val="0"/>
            <c:plus>
              <c:numRef>
                <c:f>'Table 3'!$AW$12:$AW$20</c:f>
                <c:numCache>
                  <c:formatCode>General</c:formatCode>
                  <c:ptCount val="9"/>
                  <c:pt idx="0">
                    <c:v>1000</c:v>
                  </c:pt>
                  <c:pt idx="1">
                    <c:v>800</c:v>
                  </c:pt>
                  <c:pt idx="2">
                    <c:v>800</c:v>
                  </c:pt>
                  <c:pt idx="3">
                    <c:v>600</c:v>
                  </c:pt>
                  <c:pt idx="4">
                    <c:v>600</c:v>
                  </c:pt>
                  <c:pt idx="5">
                    <c:v>700</c:v>
                  </c:pt>
                  <c:pt idx="6">
                    <c:v>700</c:v>
                  </c:pt>
                  <c:pt idx="7">
                    <c:v>700</c:v>
                  </c:pt>
                  <c:pt idx="8">
                    <c:v>700</c:v>
                  </c:pt>
                </c:numCache>
              </c:numRef>
            </c:plus>
            <c:minus>
              <c:numRef>
                <c:f>'Table 3'!$AX$12:$AX$20</c:f>
                <c:numCache>
                  <c:formatCode>General</c:formatCode>
                  <c:ptCount val="9"/>
                  <c:pt idx="0">
                    <c:v>1100</c:v>
                  </c:pt>
                  <c:pt idx="1">
                    <c:v>1000</c:v>
                  </c:pt>
                  <c:pt idx="2">
                    <c:v>800</c:v>
                  </c:pt>
                  <c:pt idx="3">
                    <c:v>700</c:v>
                  </c:pt>
                  <c:pt idx="4">
                    <c:v>600</c:v>
                  </c:pt>
                  <c:pt idx="5">
                    <c:v>900</c:v>
                  </c:pt>
                  <c:pt idx="6">
                    <c:v>900</c:v>
                  </c:pt>
                  <c:pt idx="7">
                    <c:v>900</c:v>
                  </c:pt>
                  <c:pt idx="8">
                    <c:v>700</c:v>
                  </c:pt>
                </c:numCache>
              </c:numRef>
            </c:minus>
            <c:spPr>
              <a:noFill/>
              <a:ln w="19050" cap="flat" cmpd="sng" algn="ctr">
                <a:solidFill>
                  <a:schemeClr val="tx1"/>
                </a:solidFill>
                <a:round/>
              </a:ln>
              <a:effectLst/>
            </c:spPr>
          </c:errBars>
          <c:cat>
            <c:strRef>
              <c:f>'Table 3'!$A$12:$A$20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3'!$C$12:$C$20</c:f>
              <c:numCache>
                <c:formatCode>#,##0</c:formatCode>
                <c:ptCount val="9"/>
                <c:pt idx="0">
                  <c:v>17100</c:v>
                </c:pt>
                <c:pt idx="1">
                  <c:v>15400</c:v>
                </c:pt>
                <c:pt idx="2">
                  <c:v>13600</c:v>
                </c:pt>
                <c:pt idx="3">
                  <c:v>12100</c:v>
                </c:pt>
                <c:pt idx="4">
                  <c:v>11600</c:v>
                </c:pt>
                <c:pt idx="5">
                  <c:v>12000</c:v>
                </c:pt>
                <c:pt idx="6">
                  <c:v>11800</c:v>
                </c:pt>
                <c:pt idx="7">
                  <c:v>10500</c:v>
                </c:pt>
                <c:pt idx="8">
                  <c:v>8900</c:v>
                </c:pt>
              </c:numCache>
            </c:numRef>
          </c:val>
          <c:extLst>
            <c:ext xmlns:c16="http://schemas.microsoft.com/office/drawing/2014/chart" uri="{C3380CC4-5D6E-409C-BE32-E72D297353CC}">
              <c16:uniqueId val="{00000002-F572-4DBE-B410-E2BB582B0EC3}"/>
            </c:ext>
          </c:extLst>
        </c:ser>
        <c:ser>
          <c:idx val="1"/>
          <c:order val="1"/>
          <c:tx>
            <c:strRef>
              <c:f>'Table 3'!$E$10</c:f>
              <c:strCache>
                <c:ptCount val="1"/>
                <c:pt idx="0">
                  <c:v>35-49</c:v>
                </c:pt>
              </c:strCache>
            </c:strRef>
          </c:tx>
          <c:spPr>
            <a:solidFill>
              <a:srgbClr val="83BB26"/>
            </a:solidFill>
            <a:ln>
              <a:noFill/>
            </a:ln>
            <a:effectLst/>
          </c:spPr>
          <c:invertIfNegative val="0"/>
          <c:errBars>
            <c:errBarType val="both"/>
            <c:errValType val="cust"/>
            <c:noEndCap val="0"/>
            <c:plus>
              <c:numRef>
                <c:f>'Table 3'!$AY$12:$AY$20</c:f>
                <c:numCache>
                  <c:formatCode>General</c:formatCode>
                  <c:ptCount val="9"/>
                  <c:pt idx="0">
                    <c:v>1100</c:v>
                  </c:pt>
                  <c:pt idx="1">
                    <c:v>900</c:v>
                  </c:pt>
                  <c:pt idx="2">
                    <c:v>900</c:v>
                  </c:pt>
                  <c:pt idx="3">
                    <c:v>700</c:v>
                  </c:pt>
                  <c:pt idx="4">
                    <c:v>700</c:v>
                  </c:pt>
                  <c:pt idx="5">
                    <c:v>800</c:v>
                  </c:pt>
                  <c:pt idx="6">
                    <c:v>800</c:v>
                  </c:pt>
                  <c:pt idx="7">
                    <c:v>800</c:v>
                  </c:pt>
                  <c:pt idx="8">
                    <c:v>700</c:v>
                  </c:pt>
                </c:numCache>
              </c:numRef>
            </c:plus>
            <c:minus>
              <c:numRef>
                <c:f>'Table 3'!$AZ$12:$AZ$20</c:f>
                <c:numCache>
                  <c:formatCode>General</c:formatCode>
                  <c:ptCount val="9"/>
                  <c:pt idx="0">
                    <c:v>1200</c:v>
                  </c:pt>
                  <c:pt idx="1">
                    <c:v>1000</c:v>
                  </c:pt>
                  <c:pt idx="2">
                    <c:v>900</c:v>
                  </c:pt>
                  <c:pt idx="3">
                    <c:v>800</c:v>
                  </c:pt>
                  <c:pt idx="4">
                    <c:v>700</c:v>
                  </c:pt>
                  <c:pt idx="5">
                    <c:v>800</c:v>
                  </c:pt>
                  <c:pt idx="6">
                    <c:v>800</c:v>
                  </c:pt>
                  <c:pt idx="7">
                    <c:v>900</c:v>
                  </c:pt>
                  <c:pt idx="8">
                    <c:v>800</c:v>
                  </c:pt>
                </c:numCache>
              </c:numRef>
            </c:minus>
            <c:spPr>
              <a:noFill/>
              <a:ln w="19050" cap="flat" cmpd="sng" algn="ctr">
                <a:solidFill>
                  <a:schemeClr val="tx1"/>
                </a:solidFill>
                <a:round/>
              </a:ln>
              <a:effectLst/>
            </c:spPr>
          </c:errBars>
          <c:cat>
            <c:strRef>
              <c:f>'Table 3'!$A$12:$A$20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3'!$F$12:$F$20</c:f>
              <c:numCache>
                <c:formatCode>#,##0</c:formatCode>
                <c:ptCount val="9"/>
                <c:pt idx="0">
                  <c:v>27000</c:v>
                </c:pt>
                <c:pt idx="1">
                  <c:v>27000</c:v>
                </c:pt>
                <c:pt idx="2">
                  <c:v>27300</c:v>
                </c:pt>
                <c:pt idx="3">
                  <c:v>27000</c:v>
                </c:pt>
                <c:pt idx="4">
                  <c:v>27000</c:v>
                </c:pt>
                <c:pt idx="5">
                  <c:v>27700</c:v>
                </c:pt>
                <c:pt idx="6">
                  <c:v>27500</c:v>
                </c:pt>
                <c:pt idx="7">
                  <c:v>26100</c:v>
                </c:pt>
                <c:pt idx="8">
                  <c:v>24200</c:v>
                </c:pt>
              </c:numCache>
            </c:numRef>
          </c:val>
          <c:extLst>
            <c:ext xmlns:c16="http://schemas.microsoft.com/office/drawing/2014/chart" uri="{C3380CC4-5D6E-409C-BE32-E72D297353CC}">
              <c16:uniqueId val="{00000003-F572-4DBE-B410-E2BB582B0EC3}"/>
            </c:ext>
          </c:extLst>
        </c:ser>
        <c:ser>
          <c:idx val="2"/>
          <c:order val="2"/>
          <c:tx>
            <c:strRef>
              <c:f>'Table 3'!$H$10</c:f>
              <c:strCache>
                <c:ptCount val="1"/>
                <c:pt idx="0">
                  <c:v>50-64</c:v>
                </c:pt>
              </c:strCache>
            </c:strRef>
          </c:tx>
          <c:spPr>
            <a:solidFill>
              <a:srgbClr val="A9A4B5"/>
            </a:solidFill>
            <a:ln>
              <a:noFill/>
            </a:ln>
            <a:effectLst/>
          </c:spPr>
          <c:invertIfNegative val="0"/>
          <c:errBars>
            <c:errBarType val="both"/>
            <c:errValType val="cust"/>
            <c:noEndCap val="0"/>
            <c:plus>
              <c:numRef>
                <c:f>'Table 3'!$BA$12:$BA$20</c:f>
                <c:numCache>
                  <c:formatCode>General</c:formatCode>
                  <c:ptCount val="9"/>
                  <c:pt idx="0">
                    <c:v>600</c:v>
                  </c:pt>
                  <c:pt idx="1">
                    <c:v>500</c:v>
                  </c:pt>
                  <c:pt idx="2">
                    <c:v>500</c:v>
                  </c:pt>
                  <c:pt idx="3">
                    <c:v>300</c:v>
                  </c:pt>
                  <c:pt idx="4">
                    <c:v>400</c:v>
                  </c:pt>
                  <c:pt idx="5">
                    <c:v>400</c:v>
                  </c:pt>
                  <c:pt idx="6">
                    <c:v>500</c:v>
                  </c:pt>
                  <c:pt idx="7">
                    <c:v>500</c:v>
                  </c:pt>
                  <c:pt idx="8">
                    <c:v>600</c:v>
                  </c:pt>
                </c:numCache>
              </c:numRef>
            </c:plus>
            <c:minus>
              <c:numRef>
                <c:f>'Table 3'!$BB$12:$BB$20</c:f>
                <c:numCache>
                  <c:formatCode>General</c:formatCode>
                  <c:ptCount val="9"/>
                  <c:pt idx="0">
                    <c:v>600</c:v>
                  </c:pt>
                  <c:pt idx="1">
                    <c:v>500</c:v>
                  </c:pt>
                  <c:pt idx="2">
                    <c:v>600</c:v>
                  </c:pt>
                  <c:pt idx="3">
                    <c:v>400</c:v>
                  </c:pt>
                  <c:pt idx="4">
                    <c:v>400</c:v>
                  </c:pt>
                  <c:pt idx="5">
                    <c:v>500</c:v>
                  </c:pt>
                  <c:pt idx="6">
                    <c:v>600</c:v>
                  </c:pt>
                  <c:pt idx="7">
                    <c:v>600</c:v>
                  </c:pt>
                  <c:pt idx="8">
                    <c:v>700</c:v>
                  </c:pt>
                </c:numCache>
              </c:numRef>
            </c:minus>
            <c:spPr>
              <a:noFill/>
              <a:ln w="19050" cap="flat" cmpd="sng" algn="ctr">
                <a:solidFill>
                  <a:schemeClr val="tx1"/>
                </a:solidFill>
                <a:round/>
              </a:ln>
              <a:effectLst/>
            </c:spPr>
          </c:errBars>
          <c:cat>
            <c:strRef>
              <c:f>'Table 3'!$A$12:$A$20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3'!$I$12:$I$20</c:f>
              <c:numCache>
                <c:formatCode>#,##0</c:formatCode>
                <c:ptCount val="9"/>
                <c:pt idx="0">
                  <c:v>4600</c:v>
                </c:pt>
                <c:pt idx="1">
                  <c:v>5000</c:v>
                </c:pt>
                <c:pt idx="2">
                  <c:v>5700</c:v>
                </c:pt>
                <c:pt idx="3">
                  <c:v>5600</c:v>
                </c:pt>
                <c:pt idx="4">
                  <c:v>6700</c:v>
                </c:pt>
                <c:pt idx="5">
                  <c:v>7400</c:v>
                </c:pt>
                <c:pt idx="6">
                  <c:v>8800</c:v>
                </c:pt>
                <c:pt idx="7">
                  <c:v>9500</c:v>
                </c:pt>
                <c:pt idx="8">
                  <c:v>10300</c:v>
                </c:pt>
              </c:numCache>
            </c:numRef>
          </c:val>
          <c:extLst>
            <c:ext xmlns:c16="http://schemas.microsoft.com/office/drawing/2014/chart" uri="{C3380CC4-5D6E-409C-BE32-E72D297353CC}">
              <c16:uniqueId val="{00000004-F572-4DBE-B410-E2BB582B0EC3}"/>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Number of people with opioid</a:t>
                </a:r>
                <a:r>
                  <a:rPr lang="en-GB" baseline="0"/>
                  <a:t> d</a:t>
                </a:r>
                <a:r>
                  <a:rPr lang="en-GB"/>
                  <a:t>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legend>
      <c:legendPos val="t"/>
      <c:layout>
        <c:manualLayout>
          <c:xMode val="edge"/>
          <c:yMode val="edge"/>
          <c:x val="0.47894432736937342"/>
          <c:y val="9.3142780875226067E-2"/>
          <c:w val="0.27067858723564731"/>
          <c:h val="3.5132727208015642E-2"/>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4'!$AA$5</c:f>
          <c:strCache>
            <c:ptCount val="1"/>
            <c:pt idx="0">
              <c:v>Estimated number of people with opioid-dependence in Scotland, by age groups and sex</c:v>
            </c:pt>
          </c:strCache>
        </c:strRef>
      </c:tx>
      <c:layout>
        <c:manualLayout>
          <c:xMode val="edge"/>
          <c:yMode val="edge"/>
          <c:x val="0.35675429622392091"/>
          <c:y val="2.178649237472767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6653008445377837"/>
          <c:y val="0.11291555137121805"/>
          <c:w val="0.82232040143997132"/>
          <c:h val="0.71020981037264219"/>
        </c:manualLayout>
      </c:layout>
      <c:barChart>
        <c:barDir val="col"/>
        <c:grouping val="clustered"/>
        <c:varyColors val="0"/>
        <c:ser>
          <c:idx val="0"/>
          <c:order val="0"/>
          <c:tx>
            <c:strRef>
              <c:f>'Table 4'!$AH$4</c:f>
              <c:strCache>
                <c:ptCount val="1"/>
                <c:pt idx="0">
                  <c:v>Males 15-34</c:v>
                </c:pt>
              </c:strCache>
            </c:strRef>
          </c:tx>
          <c:spPr>
            <a:solidFill>
              <a:srgbClr val="0078D4"/>
            </a:solidFill>
            <a:ln>
              <a:noFill/>
            </a:ln>
            <a:effectLst/>
          </c:spPr>
          <c:invertIfNegative val="0"/>
          <c:dPt>
            <c:idx val="0"/>
            <c:invertIfNegative val="0"/>
            <c:bubble3D val="0"/>
            <c:spPr>
              <a:solidFill>
                <a:srgbClr val="0078D4"/>
              </a:solidFill>
              <a:ln>
                <a:noFill/>
              </a:ln>
              <a:effectLst/>
            </c:spPr>
            <c:extLst>
              <c:ext xmlns:c16="http://schemas.microsoft.com/office/drawing/2014/chart" uri="{C3380CC4-5D6E-409C-BE32-E72D297353CC}">
                <c16:uniqueId val="{00000001-A39F-4E14-BE00-6A584A261CB8}"/>
              </c:ext>
            </c:extLst>
          </c:dPt>
          <c:errBars>
            <c:errBarType val="both"/>
            <c:errValType val="cust"/>
            <c:noEndCap val="0"/>
            <c:plus>
              <c:numRef>
                <c:f>'Table 4'!$BM$12:$BM$20</c:f>
                <c:numCache>
                  <c:formatCode>General</c:formatCode>
                  <c:ptCount val="9"/>
                  <c:pt idx="0">
                    <c:v>800</c:v>
                  </c:pt>
                  <c:pt idx="1">
                    <c:v>700</c:v>
                  </c:pt>
                  <c:pt idx="2">
                    <c:v>600</c:v>
                  </c:pt>
                  <c:pt idx="3">
                    <c:v>500</c:v>
                  </c:pt>
                  <c:pt idx="4">
                    <c:v>500</c:v>
                  </c:pt>
                  <c:pt idx="5">
                    <c:v>600</c:v>
                  </c:pt>
                  <c:pt idx="6">
                    <c:v>600</c:v>
                  </c:pt>
                  <c:pt idx="7">
                    <c:v>700</c:v>
                  </c:pt>
                  <c:pt idx="8">
                    <c:v>500</c:v>
                  </c:pt>
                </c:numCache>
              </c:numRef>
            </c:plus>
            <c:minus>
              <c:numRef>
                <c:f>'Table 4'!$BL$12:$BL$20</c:f>
                <c:numCache>
                  <c:formatCode>General</c:formatCode>
                  <c:ptCount val="9"/>
                  <c:pt idx="0">
                    <c:v>700</c:v>
                  </c:pt>
                  <c:pt idx="1">
                    <c:v>700</c:v>
                  </c:pt>
                  <c:pt idx="2">
                    <c:v>600</c:v>
                  </c:pt>
                  <c:pt idx="3">
                    <c:v>500</c:v>
                  </c:pt>
                  <c:pt idx="4">
                    <c:v>500</c:v>
                  </c:pt>
                  <c:pt idx="5">
                    <c:v>600</c:v>
                  </c:pt>
                  <c:pt idx="6">
                    <c:v>600</c:v>
                  </c:pt>
                  <c:pt idx="7">
                    <c:v>500</c:v>
                  </c:pt>
                  <c:pt idx="8">
                    <c:v>500</c:v>
                  </c:pt>
                </c:numCache>
              </c:numRef>
            </c:minus>
            <c:spPr>
              <a:noFill/>
              <a:ln w="19050" cap="flat" cmpd="sng" algn="ctr">
                <a:solidFill>
                  <a:schemeClr val="tx1"/>
                </a:solidFill>
                <a:round/>
              </a:ln>
              <a:effectLst/>
            </c:spPr>
          </c:errBars>
          <c:cat>
            <c:strRef>
              <c:f>'Table 4'!$A$12:$A$20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4'!$C$12:$C$20</c:f>
              <c:numCache>
                <c:formatCode>#,##0</c:formatCode>
                <c:ptCount val="9"/>
                <c:pt idx="0">
                  <c:v>10700</c:v>
                </c:pt>
                <c:pt idx="1">
                  <c:v>9700</c:v>
                </c:pt>
                <c:pt idx="2">
                  <c:v>8500</c:v>
                </c:pt>
                <c:pt idx="3">
                  <c:v>7600</c:v>
                </c:pt>
                <c:pt idx="4">
                  <c:v>7400</c:v>
                </c:pt>
                <c:pt idx="5">
                  <c:v>7900</c:v>
                </c:pt>
                <c:pt idx="6">
                  <c:v>7900</c:v>
                </c:pt>
                <c:pt idx="7">
                  <c:v>7000</c:v>
                </c:pt>
                <c:pt idx="8">
                  <c:v>5900</c:v>
                </c:pt>
              </c:numCache>
            </c:numRef>
          </c:val>
          <c:extLst>
            <c:ext xmlns:c16="http://schemas.microsoft.com/office/drawing/2014/chart" uri="{C3380CC4-5D6E-409C-BE32-E72D297353CC}">
              <c16:uniqueId val="{00000005-F0CF-4C36-9A4D-5F7EF5517CF7}"/>
            </c:ext>
          </c:extLst>
        </c:ser>
        <c:ser>
          <c:idx val="1"/>
          <c:order val="1"/>
          <c:tx>
            <c:strRef>
              <c:f>'Table 4'!$AH$5</c:f>
              <c:strCache>
                <c:ptCount val="1"/>
                <c:pt idx="0">
                  <c:v>Males 35-49</c:v>
                </c:pt>
              </c:strCache>
            </c:strRef>
          </c:tx>
          <c:spPr>
            <a:solidFill>
              <a:srgbClr val="83BB26"/>
            </a:solidFill>
            <a:ln>
              <a:noFill/>
            </a:ln>
            <a:effectLst/>
          </c:spPr>
          <c:invertIfNegative val="0"/>
          <c:errBars>
            <c:errBarType val="both"/>
            <c:errValType val="cust"/>
            <c:noEndCap val="0"/>
            <c:plus>
              <c:numRef>
                <c:f>'Table 4'!$BO$12:$BO$20</c:f>
                <c:numCache>
                  <c:formatCode>General</c:formatCode>
                  <c:ptCount val="9"/>
                  <c:pt idx="0">
                    <c:v>900</c:v>
                  </c:pt>
                  <c:pt idx="1">
                    <c:v>800</c:v>
                  </c:pt>
                  <c:pt idx="2">
                    <c:v>700</c:v>
                  </c:pt>
                  <c:pt idx="3">
                    <c:v>600</c:v>
                  </c:pt>
                  <c:pt idx="4">
                    <c:v>500</c:v>
                  </c:pt>
                  <c:pt idx="5">
                    <c:v>700</c:v>
                  </c:pt>
                  <c:pt idx="6">
                    <c:v>600</c:v>
                  </c:pt>
                  <c:pt idx="7">
                    <c:v>700</c:v>
                  </c:pt>
                  <c:pt idx="8">
                    <c:v>600</c:v>
                  </c:pt>
                </c:numCache>
              </c:numRef>
            </c:plus>
            <c:minus>
              <c:numRef>
                <c:f>'Table 4'!$BN$12:$BN$20</c:f>
                <c:numCache>
                  <c:formatCode>General</c:formatCode>
                  <c:ptCount val="9"/>
                  <c:pt idx="0">
                    <c:v>800</c:v>
                  </c:pt>
                  <c:pt idx="1">
                    <c:v>700</c:v>
                  </c:pt>
                  <c:pt idx="2">
                    <c:v>600</c:v>
                  </c:pt>
                  <c:pt idx="3">
                    <c:v>500</c:v>
                  </c:pt>
                  <c:pt idx="4">
                    <c:v>600</c:v>
                  </c:pt>
                  <c:pt idx="5">
                    <c:v>600</c:v>
                  </c:pt>
                  <c:pt idx="6">
                    <c:v>600</c:v>
                  </c:pt>
                  <c:pt idx="7">
                    <c:v>600</c:v>
                  </c:pt>
                  <c:pt idx="8">
                    <c:v>500</c:v>
                  </c:pt>
                </c:numCache>
              </c:numRef>
            </c:minus>
            <c:spPr>
              <a:noFill/>
              <a:ln w="19050" cap="flat" cmpd="sng" algn="ctr">
                <a:solidFill>
                  <a:schemeClr val="tx1"/>
                </a:solidFill>
                <a:round/>
              </a:ln>
              <a:effectLst/>
            </c:spPr>
          </c:errBars>
          <c:cat>
            <c:strRef>
              <c:f>'Table 4'!$A$12:$A$20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4'!$F$12:$F$20</c:f>
              <c:numCache>
                <c:formatCode>#,##0</c:formatCode>
                <c:ptCount val="9"/>
                <c:pt idx="0">
                  <c:v>19300</c:v>
                </c:pt>
                <c:pt idx="1">
                  <c:v>19100</c:v>
                </c:pt>
                <c:pt idx="2">
                  <c:v>19200</c:v>
                </c:pt>
                <c:pt idx="3">
                  <c:v>18900</c:v>
                </c:pt>
                <c:pt idx="4">
                  <c:v>18800</c:v>
                </c:pt>
                <c:pt idx="5">
                  <c:v>19100</c:v>
                </c:pt>
                <c:pt idx="6">
                  <c:v>18900</c:v>
                </c:pt>
                <c:pt idx="7">
                  <c:v>17700</c:v>
                </c:pt>
                <c:pt idx="8">
                  <c:v>16300</c:v>
                </c:pt>
              </c:numCache>
            </c:numRef>
          </c:val>
          <c:extLst>
            <c:ext xmlns:c16="http://schemas.microsoft.com/office/drawing/2014/chart" uri="{C3380CC4-5D6E-409C-BE32-E72D297353CC}">
              <c16:uniqueId val="{00000006-F0CF-4C36-9A4D-5F7EF5517CF7}"/>
            </c:ext>
          </c:extLst>
        </c:ser>
        <c:ser>
          <c:idx val="5"/>
          <c:order val="2"/>
          <c:tx>
            <c:strRef>
              <c:f>'Table 4'!$AH$6</c:f>
              <c:strCache>
                <c:ptCount val="1"/>
                <c:pt idx="0">
                  <c:v>Males 50-64</c:v>
                </c:pt>
              </c:strCache>
            </c:strRef>
          </c:tx>
          <c:spPr>
            <a:solidFill>
              <a:srgbClr val="1E7F84"/>
            </a:solidFill>
            <a:ln>
              <a:noFill/>
            </a:ln>
            <a:effectLst/>
          </c:spPr>
          <c:invertIfNegative val="0"/>
          <c:errBars>
            <c:errBarType val="both"/>
            <c:errValType val="cust"/>
            <c:noEndCap val="0"/>
            <c:plus>
              <c:numRef>
                <c:f>'Table 4'!$BQ$12:$BQ$20</c:f>
                <c:numCache>
                  <c:formatCode>General</c:formatCode>
                  <c:ptCount val="9"/>
                  <c:pt idx="0">
                    <c:v>500</c:v>
                  </c:pt>
                  <c:pt idx="1">
                    <c:v>400</c:v>
                  </c:pt>
                  <c:pt idx="2">
                    <c:v>400</c:v>
                  </c:pt>
                  <c:pt idx="3">
                    <c:v>300</c:v>
                  </c:pt>
                  <c:pt idx="4">
                    <c:v>300</c:v>
                  </c:pt>
                  <c:pt idx="5">
                    <c:v>300</c:v>
                  </c:pt>
                  <c:pt idx="6">
                    <c:v>400</c:v>
                  </c:pt>
                  <c:pt idx="7">
                    <c:v>500</c:v>
                  </c:pt>
                  <c:pt idx="8">
                    <c:v>600</c:v>
                  </c:pt>
                </c:numCache>
              </c:numRef>
            </c:plus>
            <c:minus>
              <c:numRef>
                <c:f>'Table 4'!$BP$12:$BP$20</c:f>
                <c:numCache>
                  <c:formatCode>General</c:formatCode>
                  <c:ptCount val="9"/>
                  <c:pt idx="0">
                    <c:v>400</c:v>
                  </c:pt>
                  <c:pt idx="1">
                    <c:v>400</c:v>
                  </c:pt>
                  <c:pt idx="2">
                    <c:v>400</c:v>
                  </c:pt>
                  <c:pt idx="3">
                    <c:v>200</c:v>
                  </c:pt>
                  <c:pt idx="4">
                    <c:v>300</c:v>
                  </c:pt>
                  <c:pt idx="5">
                    <c:v>300</c:v>
                  </c:pt>
                  <c:pt idx="6">
                    <c:v>300</c:v>
                  </c:pt>
                  <c:pt idx="7">
                    <c:v>300</c:v>
                  </c:pt>
                  <c:pt idx="8">
                    <c:v>400</c:v>
                  </c:pt>
                </c:numCache>
              </c:numRef>
            </c:minus>
            <c:spPr>
              <a:noFill/>
              <a:ln w="19050" cap="flat" cmpd="sng" algn="ctr">
                <a:solidFill>
                  <a:schemeClr val="tx1"/>
                </a:solidFill>
                <a:round/>
              </a:ln>
              <a:effectLst/>
            </c:spPr>
          </c:errBars>
          <c:cat>
            <c:strRef>
              <c:f>'Table 4'!$A$12:$A$20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4'!$I$12:$I$20</c:f>
              <c:numCache>
                <c:formatCode>#,##0</c:formatCode>
                <c:ptCount val="9"/>
                <c:pt idx="0">
                  <c:v>3300</c:v>
                </c:pt>
                <c:pt idx="1">
                  <c:v>3600</c:v>
                </c:pt>
                <c:pt idx="2">
                  <c:v>4200</c:v>
                </c:pt>
                <c:pt idx="3">
                  <c:v>4100</c:v>
                </c:pt>
                <c:pt idx="4">
                  <c:v>4900</c:v>
                </c:pt>
                <c:pt idx="5">
                  <c:v>5500</c:v>
                </c:pt>
                <c:pt idx="6">
                  <c:v>6500</c:v>
                </c:pt>
                <c:pt idx="7">
                  <c:v>7000</c:v>
                </c:pt>
                <c:pt idx="8">
                  <c:v>7600</c:v>
                </c:pt>
              </c:numCache>
            </c:numRef>
          </c:val>
          <c:extLst>
            <c:ext xmlns:c16="http://schemas.microsoft.com/office/drawing/2014/chart" uri="{C3380CC4-5D6E-409C-BE32-E72D297353CC}">
              <c16:uniqueId val="{0000000A-F0CF-4C36-9A4D-5F7EF5517CF7}"/>
            </c:ext>
          </c:extLst>
        </c:ser>
        <c:ser>
          <c:idx val="3"/>
          <c:order val="3"/>
          <c:tx>
            <c:strRef>
              <c:f>'Table 4'!$AH$7</c:f>
              <c:strCache>
                <c:ptCount val="1"/>
                <c:pt idx="0">
                  <c:v>Females 15-34</c:v>
                </c:pt>
              </c:strCache>
            </c:strRef>
          </c:tx>
          <c:spPr>
            <a:solidFill>
              <a:srgbClr val="9B4393"/>
            </a:solidFill>
            <a:ln>
              <a:noFill/>
            </a:ln>
            <a:effectLst/>
          </c:spPr>
          <c:invertIfNegative val="0"/>
          <c:errBars>
            <c:errBarType val="both"/>
            <c:errValType val="cust"/>
            <c:noEndCap val="0"/>
            <c:plus>
              <c:numRef>
                <c:f>'Table 4'!$BM$24:$BM$32</c:f>
                <c:numCache>
                  <c:formatCode>General</c:formatCode>
                  <c:ptCount val="9"/>
                  <c:pt idx="0">
                    <c:v>300</c:v>
                  </c:pt>
                  <c:pt idx="1">
                    <c:v>300</c:v>
                  </c:pt>
                  <c:pt idx="2">
                    <c:v>200</c:v>
                  </c:pt>
                  <c:pt idx="3">
                    <c:v>200</c:v>
                  </c:pt>
                  <c:pt idx="4">
                    <c:v>200</c:v>
                  </c:pt>
                  <c:pt idx="5">
                    <c:v>300</c:v>
                  </c:pt>
                  <c:pt idx="6">
                    <c:v>200</c:v>
                  </c:pt>
                  <c:pt idx="7">
                    <c:v>300</c:v>
                  </c:pt>
                  <c:pt idx="8">
                    <c:v>200</c:v>
                  </c:pt>
                </c:numCache>
              </c:numRef>
            </c:plus>
            <c:minus>
              <c:numRef>
                <c:f>'Table 4'!$BL$24:$BL$32</c:f>
                <c:numCache>
                  <c:formatCode>General</c:formatCode>
                  <c:ptCount val="9"/>
                  <c:pt idx="0">
                    <c:v>300</c:v>
                  </c:pt>
                  <c:pt idx="1">
                    <c:v>200</c:v>
                  </c:pt>
                  <c:pt idx="2">
                    <c:v>300</c:v>
                  </c:pt>
                  <c:pt idx="3">
                    <c:v>200</c:v>
                  </c:pt>
                  <c:pt idx="4">
                    <c:v>200</c:v>
                  </c:pt>
                  <c:pt idx="5">
                    <c:v>200</c:v>
                  </c:pt>
                  <c:pt idx="6">
                    <c:v>300</c:v>
                  </c:pt>
                  <c:pt idx="7">
                    <c:v>200</c:v>
                  </c:pt>
                  <c:pt idx="8">
                    <c:v>200</c:v>
                  </c:pt>
                </c:numCache>
              </c:numRef>
            </c:minus>
            <c:spPr>
              <a:noFill/>
              <a:ln w="19050" cap="flat" cmpd="sng" algn="ctr">
                <a:solidFill>
                  <a:schemeClr val="tx1"/>
                </a:solidFill>
                <a:round/>
              </a:ln>
              <a:effectLst/>
            </c:spPr>
          </c:errBars>
          <c:cat>
            <c:strRef>
              <c:f>'Table 4'!$A$12:$A$20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4'!$C$24:$C$32</c:f>
              <c:numCache>
                <c:formatCode>#,##0</c:formatCode>
                <c:ptCount val="9"/>
                <c:pt idx="0">
                  <c:v>6400</c:v>
                </c:pt>
                <c:pt idx="1">
                  <c:v>5700</c:v>
                </c:pt>
                <c:pt idx="2">
                  <c:v>5100</c:v>
                </c:pt>
                <c:pt idx="3">
                  <c:v>4500</c:v>
                </c:pt>
                <c:pt idx="4">
                  <c:v>4200</c:v>
                </c:pt>
                <c:pt idx="5">
                  <c:v>4100</c:v>
                </c:pt>
                <c:pt idx="6">
                  <c:v>4000</c:v>
                </c:pt>
                <c:pt idx="7">
                  <c:v>3500</c:v>
                </c:pt>
                <c:pt idx="8">
                  <c:v>3000</c:v>
                </c:pt>
              </c:numCache>
            </c:numRef>
          </c:val>
          <c:extLst>
            <c:ext xmlns:c16="http://schemas.microsoft.com/office/drawing/2014/chart" uri="{C3380CC4-5D6E-409C-BE32-E72D297353CC}">
              <c16:uniqueId val="{00000008-F0CF-4C36-9A4D-5F7EF5517CF7}"/>
            </c:ext>
          </c:extLst>
        </c:ser>
        <c:ser>
          <c:idx val="4"/>
          <c:order val="4"/>
          <c:tx>
            <c:strRef>
              <c:f>'Table 4'!$AH$8</c:f>
              <c:strCache>
                <c:ptCount val="1"/>
                <c:pt idx="0">
                  <c:v>Females 35-49</c:v>
                </c:pt>
              </c:strCache>
            </c:strRef>
          </c:tx>
          <c:spPr>
            <a:solidFill>
              <a:srgbClr val="3F3685"/>
            </a:solidFill>
            <a:ln>
              <a:noFill/>
            </a:ln>
            <a:effectLst/>
          </c:spPr>
          <c:invertIfNegative val="0"/>
          <c:errBars>
            <c:errBarType val="both"/>
            <c:errValType val="cust"/>
            <c:noEndCap val="0"/>
            <c:plus>
              <c:numRef>
                <c:f>'Table 4'!$BO$24:$BO$32</c:f>
                <c:numCache>
                  <c:formatCode>General</c:formatCode>
                  <c:ptCount val="9"/>
                  <c:pt idx="0">
                    <c:v>400</c:v>
                  </c:pt>
                  <c:pt idx="1">
                    <c:v>300</c:v>
                  </c:pt>
                  <c:pt idx="2">
                    <c:v>300</c:v>
                  </c:pt>
                  <c:pt idx="3">
                    <c:v>300</c:v>
                  </c:pt>
                  <c:pt idx="4">
                    <c:v>300</c:v>
                  </c:pt>
                  <c:pt idx="5">
                    <c:v>300</c:v>
                  </c:pt>
                  <c:pt idx="6">
                    <c:v>300</c:v>
                  </c:pt>
                  <c:pt idx="7">
                    <c:v>300</c:v>
                  </c:pt>
                  <c:pt idx="8">
                    <c:v>300</c:v>
                  </c:pt>
                </c:numCache>
              </c:numRef>
            </c:plus>
            <c:minus>
              <c:numRef>
                <c:f>'Table 4'!$BN$24:$BN$32</c:f>
                <c:numCache>
                  <c:formatCode>General</c:formatCode>
                  <c:ptCount val="9"/>
                  <c:pt idx="0">
                    <c:v>300</c:v>
                  </c:pt>
                  <c:pt idx="1">
                    <c:v>300</c:v>
                  </c:pt>
                  <c:pt idx="2">
                    <c:v>300</c:v>
                  </c:pt>
                  <c:pt idx="3">
                    <c:v>300</c:v>
                  </c:pt>
                  <c:pt idx="4">
                    <c:v>200</c:v>
                  </c:pt>
                  <c:pt idx="5">
                    <c:v>300</c:v>
                  </c:pt>
                  <c:pt idx="6">
                    <c:v>300</c:v>
                  </c:pt>
                  <c:pt idx="7">
                    <c:v>200</c:v>
                  </c:pt>
                  <c:pt idx="8">
                    <c:v>200</c:v>
                  </c:pt>
                </c:numCache>
              </c:numRef>
            </c:minus>
            <c:spPr>
              <a:noFill/>
              <a:ln w="19050" cap="flat" cmpd="sng" algn="ctr">
                <a:solidFill>
                  <a:schemeClr val="tx1"/>
                </a:solidFill>
                <a:round/>
              </a:ln>
              <a:effectLst/>
            </c:spPr>
          </c:errBars>
          <c:cat>
            <c:strRef>
              <c:f>'Table 4'!$A$12:$A$20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4'!$F$24:$F$32</c:f>
              <c:numCache>
                <c:formatCode>#,##0</c:formatCode>
                <c:ptCount val="9"/>
                <c:pt idx="0">
                  <c:v>7700</c:v>
                </c:pt>
                <c:pt idx="1">
                  <c:v>7900</c:v>
                </c:pt>
                <c:pt idx="2">
                  <c:v>8100</c:v>
                </c:pt>
                <c:pt idx="3">
                  <c:v>8100</c:v>
                </c:pt>
                <c:pt idx="4">
                  <c:v>8200</c:v>
                </c:pt>
                <c:pt idx="5">
                  <c:v>8500</c:v>
                </c:pt>
                <c:pt idx="6">
                  <c:v>8600</c:v>
                </c:pt>
                <c:pt idx="7">
                  <c:v>8300</c:v>
                </c:pt>
                <c:pt idx="8">
                  <c:v>7900</c:v>
                </c:pt>
              </c:numCache>
            </c:numRef>
          </c:val>
          <c:extLst>
            <c:ext xmlns:c16="http://schemas.microsoft.com/office/drawing/2014/chart" uri="{C3380CC4-5D6E-409C-BE32-E72D297353CC}">
              <c16:uniqueId val="{00000009-F0CF-4C36-9A4D-5F7EF5517CF7}"/>
            </c:ext>
          </c:extLst>
        </c:ser>
        <c:ser>
          <c:idx val="2"/>
          <c:order val="5"/>
          <c:tx>
            <c:strRef>
              <c:f>'Table 4'!$AH$9</c:f>
              <c:strCache>
                <c:ptCount val="1"/>
                <c:pt idx="0">
                  <c:v>Females 50-64</c:v>
                </c:pt>
              </c:strCache>
            </c:strRef>
          </c:tx>
          <c:spPr>
            <a:solidFill>
              <a:schemeClr val="accent3"/>
            </a:solidFill>
            <a:ln>
              <a:noFill/>
            </a:ln>
            <a:effectLst/>
          </c:spPr>
          <c:invertIfNegative val="0"/>
          <c:errBars>
            <c:errBarType val="both"/>
            <c:errValType val="cust"/>
            <c:noEndCap val="0"/>
            <c:plus>
              <c:numRef>
                <c:f>'Table 4'!$BQ$24:$BQ$32</c:f>
                <c:numCache>
                  <c:formatCode>General</c:formatCode>
                  <c:ptCount val="9"/>
                  <c:pt idx="0">
                    <c:v>200</c:v>
                  </c:pt>
                  <c:pt idx="1">
                    <c:v>100</c:v>
                  </c:pt>
                  <c:pt idx="2">
                    <c:v>200</c:v>
                  </c:pt>
                  <c:pt idx="3">
                    <c:v>100</c:v>
                  </c:pt>
                  <c:pt idx="4">
                    <c:v>100</c:v>
                  </c:pt>
                  <c:pt idx="5">
                    <c:v>100</c:v>
                  </c:pt>
                  <c:pt idx="6">
                    <c:v>200</c:v>
                  </c:pt>
                  <c:pt idx="7">
                    <c:v>100</c:v>
                  </c:pt>
                  <c:pt idx="8">
                    <c:v>200</c:v>
                  </c:pt>
                </c:numCache>
              </c:numRef>
            </c:plus>
            <c:minus>
              <c:numRef>
                <c:f>'Table 4'!$BP$24:$BP$32</c:f>
                <c:numCache>
                  <c:formatCode>General</c:formatCode>
                  <c:ptCount val="9"/>
                  <c:pt idx="0">
                    <c:v>100</c:v>
                  </c:pt>
                  <c:pt idx="1">
                    <c:v>200</c:v>
                  </c:pt>
                  <c:pt idx="2">
                    <c:v>100</c:v>
                  </c:pt>
                  <c:pt idx="3">
                    <c:v>100</c:v>
                  </c:pt>
                  <c:pt idx="4">
                    <c:v>100</c:v>
                  </c:pt>
                  <c:pt idx="5">
                    <c:v>200</c:v>
                  </c:pt>
                  <c:pt idx="6">
                    <c:v>200</c:v>
                  </c:pt>
                  <c:pt idx="7">
                    <c:v>200</c:v>
                  </c:pt>
                  <c:pt idx="8">
                    <c:v>200</c:v>
                  </c:pt>
                </c:numCache>
              </c:numRef>
            </c:minus>
            <c:spPr>
              <a:noFill/>
              <a:ln w="19050" cap="flat" cmpd="sng" algn="ctr">
                <a:solidFill>
                  <a:schemeClr val="tx1"/>
                </a:solidFill>
                <a:round/>
              </a:ln>
              <a:effectLst/>
            </c:spPr>
          </c:errBars>
          <c:cat>
            <c:strRef>
              <c:f>'Table 4'!$A$12:$A$20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4'!$I$24:$I$32</c:f>
              <c:numCache>
                <c:formatCode>#,##0</c:formatCode>
                <c:ptCount val="9"/>
                <c:pt idx="0">
                  <c:v>1200</c:v>
                </c:pt>
                <c:pt idx="1">
                  <c:v>1400</c:v>
                </c:pt>
                <c:pt idx="2">
                  <c:v>1500</c:v>
                </c:pt>
                <c:pt idx="3">
                  <c:v>1500</c:v>
                </c:pt>
                <c:pt idx="4">
                  <c:v>1800</c:v>
                </c:pt>
                <c:pt idx="5">
                  <c:v>2000</c:v>
                </c:pt>
                <c:pt idx="6">
                  <c:v>2300</c:v>
                </c:pt>
                <c:pt idx="7">
                  <c:v>2500</c:v>
                </c:pt>
                <c:pt idx="8">
                  <c:v>2700</c:v>
                </c:pt>
              </c:numCache>
            </c:numRef>
          </c:val>
          <c:extLst>
            <c:ext xmlns:c16="http://schemas.microsoft.com/office/drawing/2014/chart" uri="{C3380CC4-5D6E-409C-BE32-E72D297353CC}">
              <c16:uniqueId val="{00000007-F0CF-4C36-9A4D-5F7EF5517CF7}"/>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Number of </a:t>
                </a:r>
              </a:p>
              <a:p>
                <a:pPr>
                  <a:defRPr/>
                </a:pPr>
                <a:r>
                  <a:rPr lang="en-GB"/>
                  <a:t>people with </a:t>
                </a:r>
              </a:p>
              <a:p>
                <a:pPr>
                  <a:defRPr/>
                </a:pPr>
                <a:r>
                  <a:rPr lang="en-GB"/>
                  <a:t>opioid</a:t>
                </a:r>
                <a:r>
                  <a:rPr lang="en-GB" baseline="0"/>
                  <a:t> </a:t>
                </a:r>
                <a:r>
                  <a:rPr lang="en-GB"/>
                  <a:t>dependence</a:t>
                </a:r>
              </a:p>
            </c:rich>
          </c:tx>
          <c:layout>
            <c:manualLayout>
              <c:xMode val="edge"/>
              <c:yMode val="edge"/>
              <c:x val="1.1123218991100947E-2"/>
              <c:y val="0.49558452238990097"/>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legend>
      <c:legendPos val="t"/>
      <c:layout>
        <c:manualLayout>
          <c:xMode val="edge"/>
          <c:yMode val="edge"/>
          <c:x val="0.3020575985759042"/>
          <c:y val="7.3884182678681964E-2"/>
          <c:w val="0.56089021682925266"/>
          <c:h val="7.8391528252901216E-2"/>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4'!$AA$4</c:f>
          <c:strCache>
            <c:ptCount val="1"/>
            <c:pt idx="0">
              <c:v>Estimated prevalence of opioid dependence in Scotland, by age groups and sex</c:v>
            </c:pt>
          </c:strCache>
        </c:strRef>
      </c:tx>
      <c:layout>
        <c:manualLayout>
          <c:xMode val="edge"/>
          <c:yMode val="edge"/>
          <c:x val="0.24669267563083028"/>
          <c:y val="2.373453494318295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5809981118115143"/>
          <c:y val="0.12246929350859868"/>
          <c:w val="0.83067598851098245"/>
          <c:h val="0.73073353864980872"/>
        </c:manualLayout>
      </c:layout>
      <c:barChart>
        <c:barDir val="col"/>
        <c:grouping val="clustered"/>
        <c:varyColors val="0"/>
        <c:ser>
          <c:idx val="0"/>
          <c:order val="0"/>
          <c:tx>
            <c:strRef>
              <c:f>'Table 4'!$AH$4</c:f>
              <c:strCache>
                <c:ptCount val="1"/>
                <c:pt idx="0">
                  <c:v>Males 15-34</c:v>
                </c:pt>
              </c:strCache>
            </c:strRef>
          </c:tx>
          <c:spPr>
            <a:solidFill>
              <a:srgbClr val="0078D4"/>
            </a:solidFill>
            <a:ln>
              <a:noFill/>
            </a:ln>
            <a:effectLst/>
          </c:spPr>
          <c:invertIfNegative val="0"/>
          <c:errBars>
            <c:errBarType val="both"/>
            <c:errValType val="cust"/>
            <c:noEndCap val="0"/>
            <c:plus>
              <c:numRef>
                <c:f>'Table 4'!$K$39:$K$47</c:f>
                <c:numCache>
                  <c:formatCode>General</c:formatCode>
                  <c:ptCount val="9"/>
                  <c:pt idx="0">
                    <c:v>9.9999999999999915E-4</c:v>
                  </c:pt>
                  <c:pt idx="1">
                    <c:v>8.9999999999999976E-4</c:v>
                  </c:pt>
                  <c:pt idx="2">
                    <c:v>8.0000000000000036E-4</c:v>
                  </c:pt>
                  <c:pt idx="3">
                    <c:v>6.9999999999999923E-4</c:v>
                  </c:pt>
                  <c:pt idx="4">
                    <c:v>6.9999999999999923E-4</c:v>
                  </c:pt>
                  <c:pt idx="5">
                    <c:v>8.9999999999999976E-4</c:v>
                  </c:pt>
                  <c:pt idx="6">
                    <c:v>7.9999999999999863E-4</c:v>
                  </c:pt>
                  <c:pt idx="7">
                    <c:v>8.0000000000000036E-4</c:v>
                  </c:pt>
                  <c:pt idx="8">
                    <c:v>6.9999999999999923E-4</c:v>
                  </c:pt>
                </c:numCache>
              </c:numRef>
            </c:plus>
            <c:minus>
              <c:numRef>
                <c:f>'Table 4'!$L$39:$L$47</c:f>
                <c:numCache>
                  <c:formatCode>General</c:formatCode>
                  <c:ptCount val="9"/>
                  <c:pt idx="0">
                    <c:v>1.1999999999999997E-3</c:v>
                  </c:pt>
                  <c:pt idx="1">
                    <c:v>1.1000000000000003E-3</c:v>
                  </c:pt>
                  <c:pt idx="2">
                    <c:v>8.0000000000000036E-4</c:v>
                  </c:pt>
                  <c:pt idx="3">
                    <c:v>7.0000000000000097E-4</c:v>
                  </c:pt>
                  <c:pt idx="4">
                    <c:v>7.0000000000000097E-4</c:v>
                  </c:pt>
                  <c:pt idx="5">
                    <c:v>8.0000000000000036E-4</c:v>
                  </c:pt>
                  <c:pt idx="6">
                    <c:v>9.0000000000000149E-4</c:v>
                  </c:pt>
                  <c:pt idx="7">
                    <c:v>9.9999999999999915E-4</c:v>
                  </c:pt>
                  <c:pt idx="8">
                    <c:v>8.0000000000000036E-4</c:v>
                  </c:pt>
                </c:numCache>
              </c:numRef>
            </c:minus>
            <c:spPr>
              <a:noFill/>
              <a:ln w="19050" cap="flat" cmpd="sng" algn="ctr">
                <a:solidFill>
                  <a:schemeClr val="tx1"/>
                </a:solidFill>
                <a:round/>
              </a:ln>
              <a:effectLst/>
            </c:spPr>
          </c:errBars>
          <c:cat>
            <c:strRef>
              <c:f>'Table 4'!$A$12:$A$17</c:f>
              <c:strCache>
                <c:ptCount val="6"/>
                <c:pt idx="0">
                  <c:v>2014/15</c:v>
                </c:pt>
                <c:pt idx="1">
                  <c:v>2015/16</c:v>
                </c:pt>
                <c:pt idx="2">
                  <c:v>2016/17</c:v>
                </c:pt>
                <c:pt idx="3">
                  <c:v>2017/18</c:v>
                </c:pt>
                <c:pt idx="4">
                  <c:v>2018/19</c:v>
                </c:pt>
                <c:pt idx="5">
                  <c:v>2019/20</c:v>
                </c:pt>
              </c:strCache>
            </c:strRef>
          </c:cat>
          <c:val>
            <c:numRef>
              <c:f>'Table 4'!$B$39:$B$44</c:f>
              <c:numCache>
                <c:formatCode>0.00%</c:formatCode>
                <c:ptCount val="6"/>
                <c:pt idx="0">
                  <c:v>1.46E-2</c:v>
                </c:pt>
                <c:pt idx="1">
                  <c:v>1.3100000000000001E-2</c:v>
                </c:pt>
                <c:pt idx="2">
                  <c:v>1.15E-2</c:v>
                </c:pt>
                <c:pt idx="3">
                  <c:v>1.03E-2</c:v>
                </c:pt>
                <c:pt idx="4">
                  <c:v>0.01</c:v>
                </c:pt>
                <c:pt idx="5">
                  <c:v>1.0500000000000001E-2</c:v>
                </c:pt>
              </c:numCache>
            </c:numRef>
          </c:val>
          <c:extLst>
            <c:ext xmlns:c16="http://schemas.microsoft.com/office/drawing/2014/chart" uri="{C3380CC4-5D6E-409C-BE32-E72D297353CC}">
              <c16:uniqueId val="{00000000-1089-4F55-A0A3-AE237257DE3C}"/>
            </c:ext>
          </c:extLst>
        </c:ser>
        <c:ser>
          <c:idx val="1"/>
          <c:order val="1"/>
          <c:tx>
            <c:strRef>
              <c:f>'Table 4'!$AH$5</c:f>
              <c:strCache>
                <c:ptCount val="1"/>
                <c:pt idx="0">
                  <c:v>Males 35-49</c:v>
                </c:pt>
              </c:strCache>
            </c:strRef>
          </c:tx>
          <c:spPr>
            <a:solidFill>
              <a:srgbClr val="83BB26"/>
            </a:solidFill>
            <a:ln>
              <a:noFill/>
            </a:ln>
            <a:effectLst/>
          </c:spPr>
          <c:invertIfNegative val="0"/>
          <c:errBars>
            <c:errBarType val="both"/>
            <c:errValType val="cust"/>
            <c:noEndCap val="0"/>
            <c:plus>
              <c:numRef>
                <c:f>'Table 4'!$M$39:$M$47</c:f>
                <c:numCache>
                  <c:formatCode>General</c:formatCode>
                  <c:ptCount val="9"/>
                  <c:pt idx="0">
                    <c:v>1.5000000000000013E-3</c:v>
                  </c:pt>
                  <c:pt idx="1">
                    <c:v>1.3000000000000025E-3</c:v>
                  </c:pt>
                  <c:pt idx="2">
                    <c:v>1.1999999999999997E-3</c:v>
                  </c:pt>
                  <c:pt idx="3">
                    <c:v>1.0000000000000009E-3</c:v>
                  </c:pt>
                  <c:pt idx="4">
                    <c:v>1.0000000000000009E-3</c:v>
                  </c:pt>
                  <c:pt idx="5">
                    <c:v>1.1999999999999997E-3</c:v>
                  </c:pt>
                  <c:pt idx="6">
                    <c:v>1.1999999999999997E-3</c:v>
                  </c:pt>
                  <c:pt idx="7">
                    <c:v>1.1999999999999997E-3</c:v>
                  </c:pt>
                  <c:pt idx="8">
                    <c:v>1.0999999999999968E-3</c:v>
                  </c:pt>
                </c:numCache>
              </c:numRef>
            </c:plus>
            <c:minus>
              <c:numRef>
                <c:f>'Table 4'!$N$39:$N$47</c:f>
                <c:numCache>
                  <c:formatCode>General</c:formatCode>
                  <c:ptCount val="9"/>
                  <c:pt idx="0">
                    <c:v>1.7000000000000001E-3</c:v>
                  </c:pt>
                  <c:pt idx="1">
                    <c:v>1.5000000000000013E-3</c:v>
                  </c:pt>
                  <c:pt idx="2">
                    <c:v>1.3000000000000025E-3</c:v>
                  </c:pt>
                  <c:pt idx="3">
                    <c:v>1.1999999999999997E-3</c:v>
                  </c:pt>
                  <c:pt idx="4">
                    <c:v>1.1000000000000038E-3</c:v>
                  </c:pt>
                  <c:pt idx="5">
                    <c:v>1.2999999999999956E-3</c:v>
                  </c:pt>
                  <c:pt idx="6">
                    <c:v>1.3000000000000025E-3</c:v>
                  </c:pt>
                  <c:pt idx="7">
                    <c:v>1.3999999999999985E-3</c:v>
                  </c:pt>
                  <c:pt idx="8">
                    <c:v>1.3000000000000025E-3</c:v>
                  </c:pt>
                </c:numCache>
              </c:numRef>
            </c:minus>
            <c:spPr>
              <a:noFill/>
              <a:ln w="19050" cap="flat" cmpd="sng" algn="ctr">
                <a:solidFill>
                  <a:schemeClr val="tx1"/>
                </a:solidFill>
                <a:round/>
              </a:ln>
              <a:effectLst/>
            </c:spPr>
          </c:errBars>
          <c:cat>
            <c:strRef>
              <c:f>'Table 4'!$A$12:$A$17</c:f>
              <c:strCache>
                <c:ptCount val="6"/>
                <c:pt idx="0">
                  <c:v>2014/15</c:v>
                </c:pt>
                <c:pt idx="1">
                  <c:v>2015/16</c:v>
                </c:pt>
                <c:pt idx="2">
                  <c:v>2016/17</c:v>
                </c:pt>
                <c:pt idx="3">
                  <c:v>2017/18</c:v>
                </c:pt>
                <c:pt idx="4">
                  <c:v>2018/19</c:v>
                </c:pt>
                <c:pt idx="5">
                  <c:v>2019/20</c:v>
                </c:pt>
              </c:strCache>
            </c:strRef>
          </c:cat>
          <c:val>
            <c:numRef>
              <c:f>'Table 4'!$E$39:$E$44</c:f>
              <c:numCache>
                <c:formatCode>0.00%</c:formatCode>
                <c:ptCount val="6"/>
                <c:pt idx="0">
                  <c:v>3.5099999999999999E-2</c:v>
                </c:pt>
                <c:pt idx="1">
                  <c:v>3.5499999999999997E-2</c:v>
                </c:pt>
                <c:pt idx="2">
                  <c:v>3.61E-2</c:v>
                </c:pt>
                <c:pt idx="3">
                  <c:v>3.5999999999999997E-2</c:v>
                </c:pt>
                <c:pt idx="4">
                  <c:v>3.5999999999999997E-2</c:v>
                </c:pt>
                <c:pt idx="5">
                  <c:v>3.6700000000000003E-2</c:v>
                </c:pt>
              </c:numCache>
            </c:numRef>
          </c:val>
          <c:extLst>
            <c:ext xmlns:c16="http://schemas.microsoft.com/office/drawing/2014/chart" uri="{C3380CC4-5D6E-409C-BE32-E72D297353CC}">
              <c16:uniqueId val="{00000001-1089-4F55-A0A3-AE237257DE3C}"/>
            </c:ext>
          </c:extLst>
        </c:ser>
        <c:ser>
          <c:idx val="5"/>
          <c:order val="2"/>
          <c:tx>
            <c:strRef>
              <c:f>'Table 4'!$AH$6</c:f>
              <c:strCache>
                <c:ptCount val="1"/>
                <c:pt idx="0">
                  <c:v>Males 50-64</c:v>
                </c:pt>
              </c:strCache>
            </c:strRef>
          </c:tx>
          <c:spPr>
            <a:solidFill>
              <a:srgbClr val="1E7F84"/>
            </a:solidFill>
            <a:ln>
              <a:noFill/>
            </a:ln>
            <a:effectLst/>
          </c:spPr>
          <c:invertIfNegative val="0"/>
          <c:errBars>
            <c:errBarType val="both"/>
            <c:errValType val="cust"/>
            <c:noEndCap val="0"/>
            <c:plus>
              <c:numRef>
                <c:f>'Table 4'!$O$39:$O$47</c:f>
                <c:numCache>
                  <c:formatCode>General</c:formatCode>
                  <c:ptCount val="9"/>
                  <c:pt idx="0">
                    <c:v>8.0000000000000036E-4</c:v>
                  </c:pt>
                  <c:pt idx="1">
                    <c:v>6.9999999999999923E-4</c:v>
                  </c:pt>
                  <c:pt idx="2">
                    <c:v>6.9999999999999923E-4</c:v>
                  </c:pt>
                  <c:pt idx="3">
                    <c:v>4.9999999999999958E-4</c:v>
                  </c:pt>
                  <c:pt idx="4">
                    <c:v>5.9999999999999984E-4</c:v>
                  </c:pt>
                  <c:pt idx="5">
                    <c:v>5.0000000000000044E-4</c:v>
                  </c:pt>
                  <c:pt idx="6">
                    <c:v>6.9999999999999923E-4</c:v>
                  </c:pt>
                  <c:pt idx="7">
                    <c:v>6.9999999999999923E-4</c:v>
                  </c:pt>
                  <c:pt idx="8">
                    <c:v>8.0000000000000036E-4</c:v>
                  </c:pt>
                </c:numCache>
              </c:numRef>
            </c:plus>
            <c:minus>
              <c:numRef>
                <c:f>'Table 4'!$P$39:$P$47</c:f>
                <c:numCache>
                  <c:formatCode>General</c:formatCode>
                  <c:ptCount val="9"/>
                  <c:pt idx="0">
                    <c:v>7.999999999999995E-4</c:v>
                  </c:pt>
                  <c:pt idx="1">
                    <c:v>8.0000000000000036E-4</c:v>
                  </c:pt>
                  <c:pt idx="2">
                    <c:v>8.0000000000000036E-4</c:v>
                  </c:pt>
                  <c:pt idx="3">
                    <c:v>6.0000000000000071E-4</c:v>
                  </c:pt>
                  <c:pt idx="4">
                    <c:v>5.0000000000000044E-4</c:v>
                  </c:pt>
                  <c:pt idx="5">
                    <c:v>5.9999999999999984E-4</c:v>
                  </c:pt>
                  <c:pt idx="6">
                    <c:v>7.0000000000000097E-4</c:v>
                  </c:pt>
                  <c:pt idx="7">
                    <c:v>8.0000000000000036E-4</c:v>
                  </c:pt>
                  <c:pt idx="8">
                    <c:v>8.9999999999999976E-4</c:v>
                  </c:pt>
                </c:numCache>
              </c:numRef>
            </c:minus>
            <c:spPr>
              <a:noFill/>
              <a:ln w="19050" cap="flat" cmpd="sng" algn="ctr">
                <a:solidFill>
                  <a:schemeClr val="tx1"/>
                </a:solidFill>
                <a:round/>
              </a:ln>
              <a:effectLst/>
            </c:spPr>
          </c:errBars>
          <c:val>
            <c:numRef>
              <c:f>'Table 4'!$H$39:$H$44</c:f>
              <c:numCache>
                <c:formatCode>0.00%</c:formatCode>
                <c:ptCount val="6"/>
                <c:pt idx="0">
                  <c:v>5.5999999999999999E-3</c:v>
                </c:pt>
                <c:pt idx="1">
                  <c:v>6.1000000000000004E-3</c:v>
                </c:pt>
                <c:pt idx="2">
                  <c:v>7.1000000000000004E-3</c:v>
                </c:pt>
                <c:pt idx="3">
                  <c:v>7.1000000000000004E-3</c:v>
                </c:pt>
                <c:pt idx="4">
                  <c:v>8.3999999999999995E-3</c:v>
                </c:pt>
                <c:pt idx="5">
                  <c:v>9.4000000000000004E-3</c:v>
                </c:pt>
              </c:numCache>
            </c:numRef>
          </c:val>
          <c:extLst>
            <c:ext xmlns:c16="http://schemas.microsoft.com/office/drawing/2014/chart" uri="{C3380CC4-5D6E-409C-BE32-E72D297353CC}">
              <c16:uniqueId val="{00000002-1089-4F55-A0A3-AE237257DE3C}"/>
            </c:ext>
          </c:extLst>
        </c:ser>
        <c:ser>
          <c:idx val="3"/>
          <c:order val="3"/>
          <c:tx>
            <c:strRef>
              <c:f>'Table 4'!$AH$7</c:f>
              <c:strCache>
                <c:ptCount val="1"/>
                <c:pt idx="0">
                  <c:v>Females 15-34</c:v>
                </c:pt>
              </c:strCache>
            </c:strRef>
          </c:tx>
          <c:spPr>
            <a:solidFill>
              <a:srgbClr val="9B4393"/>
            </a:solidFill>
            <a:ln>
              <a:noFill/>
            </a:ln>
            <a:effectLst/>
          </c:spPr>
          <c:invertIfNegative val="0"/>
          <c:errBars>
            <c:errBarType val="both"/>
            <c:errValType val="cust"/>
            <c:noEndCap val="0"/>
            <c:plus>
              <c:numRef>
                <c:f>'Table 4'!$K$51:$K$59</c:f>
                <c:numCache>
                  <c:formatCode>General</c:formatCode>
                  <c:ptCount val="9"/>
                  <c:pt idx="0">
                    <c:v>3.9999999999999931E-4</c:v>
                  </c:pt>
                  <c:pt idx="1">
                    <c:v>3.9999999999999931E-4</c:v>
                  </c:pt>
                  <c:pt idx="2">
                    <c:v>4.0000000000000018E-4</c:v>
                  </c:pt>
                  <c:pt idx="3">
                    <c:v>2.9999999999999992E-4</c:v>
                  </c:pt>
                  <c:pt idx="4">
                    <c:v>3.0000000000000079E-4</c:v>
                  </c:pt>
                  <c:pt idx="5">
                    <c:v>2.9999999999999992E-4</c:v>
                  </c:pt>
                  <c:pt idx="6">
                    <c:v>2.9999999999999992E-4</c:v>
                  </c:pt>
                  <c:pt idx="7">
                    <c:v>4.0000000000000018E-4</c:v>
                  </c:pt>
                  <c:pt idx="8">
                    <c:v>2.9999999999999992E-4</c:v>
                  </c:pt>
                </c:numCache>
              </c:numRef>
            </c:plus>
            <c:minus>
              <c:numRef>
                <c:f>'Table 4'!$L$51:$L$59</c:f>
                <c:numCache>
                  <c:formatCode>General</c:formatCode>
                  <c:ptCount val="9"/>
                  <c:pt idx="0">
                    <c:v>5.0000000000000044E-4</c:v>
                  </c:pt>
                  <c:pt idx="1">
                    <c:v>3.9999999999999931E-4</c:v>
                  </c:pt>
                  <c:pt idx="2">
                    <c:v>4.0000000000000018E-4</c:v>
                  </c:pt>
                  <c:pt idx="3">
                    <c:v>4.0000000000000018E-4</c:v>
                  </c:pt>
                  <c:pt idx="4">
                    <c:v>2.9999999999999992E-4</c:v>
                  </c:pt>
                  <c:pt idx="5">
                    <c:v>4.0000000000000018E-4</c:v>
                  </c:pt>
                  <c:pt idx="6">
                    <c:v>4.0000000000000018E-4</c:v>
                  </c:pt>
                  <c:pt idx="7">
                    <c:v>2.9999999999999992E-4</c:v>
                  </c:pt>
                  <c:pt idx="8">
                    <c:v>2.9999999999999992E-4</c:v>
                  </c:pt>
                </c:numCache>
              </c:numRef>
            </c:minus>
            <c:spPr>
              <a:noFill/>
              <a:ln w="19050" cap="flat" cmpd="sng" algn="ctr">
                <a:solidFill>
                  <a:schemeClr val="tx1"/>
                </a:solidFill>
                <a:round/>
              </a:ln>
              <a:effectLst/>
            </c:spPr>
          </c:errBars>
          <c:val>
            <c:numRef>
              <c:f>'Table 4'!$B$51:$B$56</c:f>
              <c:numCache>
                <c:formatCode>0.00%</c:formatCode>
                <c:ptCount val="6"/>
                <c:pt idx="0">
                  <c:v>8.8000000000000005E-3</c:v>
                </c:pt>
                <c:pt idx="1">
                  <c:v>7.9000000000000008E-3</c:v>
                </c:pt>
                <c:pt idx="2">
                  <c:v>6.8999999999999999E-3</c:v>
                </c:pt>
                <c:pt idx="3">
                  <c:v>6.1999999999999998E-3</c:v>
                </c:pt>
                <c:pt idx="4">
                  <c:v>5.7999999999999996E-3</c:v>
                </c:pt>
                <c:pt idx="5">
                  <c:v>5.7000000000000002E-3</c:v>
                </c:pt>
              </c:numCache>
            </c:numRef>
          </c:val>
          <c:extLst>
            <c:ext xmlns:c16="http://schemas.microsoft.com/office/drawing/2014/chart" uri="{C3380CC4-5D6E-409C-BE32-E72D297353CC}">
              <c16:uniqueId val="{00000003-1089-4F55-A0A3-AE237257DE3C}"/>
            </c:ext>
          </c:extLst>
        </c:ser>
        <c:ser>
          <c:idx val="4"/>
          <c:order val="4"/>
          <c:tx>
            <c:strRef>
              <c:f>'Table 4'!$AH$8</c:f>
              <c:strCache>
                <c:ptCount val="1"/>
                <c:pt idx="0">
                  <c:v>Females 35-49</c:v>
                </c:pt>
              </c:strCache>
            </c:strRef>
          </c:tx>
          <c:spPr>
            <a:solidFill>
              <a:srgbClr val="3F3685"/>
            </a:solidFill>
            <a:ln>
              <a:noFill/>
            </a:ln>
            <a:effectLst/>
          </c:spPr>
          <c:invertIfNegative val="0"/>
          <c:errBars>
            <c:errBarType val="both"/>
            <c:errValType val="cust"/>
            <c:noEndCap val="0"/>
            <c:plus>
              <c:numRef>
                <c:f>'Table 4'!$M$51:$M$59</c:f>
                <c:numCache>
                  <c:formatCode>General</c:formatCode>
                  <c:ptCount val="9"/>
                  <c:pt idx="0">
                    <c:v>5.9999999999999984E-4</c:v>
                  </c:pt>
                  <c:pt idx="1">
                    <c:v>5.0000000000000044E-4</c:v>
                  </c:pt>
                  <c:pt idx="2">
                    <c:v>5.9999999999999984E-4</c:v>
                  </c:pt>
                  <c:pt idx="3">
                    <c:v>3.9999999999999931E-4</c:v>
                  </c:pt>
                  <c:pt idx="4">
                    <c:v>5.0000000000000044E-4</c:v>
                  </c:pt>
                  <c:pt idx="5">
                    <c:v>5.0000000000000044E-4</c:v>
                  </c:pt>
                  <c:pt idx="6">
                    <c:v>4.9999999999999697E-4</c:v>
                  </c:pt>
                  <c:pt idx="7">
                    <c:v>6.0000000000000157E-4</c:v>
                  </c:pt>
                  <c:pt idx="8">
                    <c:v>5.0000000000000044E-4</c:v>
                  </c:pt>
                </c:numCache>
              </c:numRef>
            </c:plus>
            <c:minus>
              <c:numRef>
                <c:f>'Table 4'!$N$51:$N$59</c:f>
                <c:numCache>
                  <c:formatCode>General</c:formatCode>
                  <c:ptCount val="9"/>
                  <c:pt idx="0">
                    <c:v>5.9999999999999984E-4</c:v>
                  </c:pt>
                  <c:pt idx="1">
                    <c:v>5.9999999999999984E-4</c:v>
                  </c:pt>
                  <c:pt idx="2">
                    <c:v>5.0000000000000044E-4</c:v>
                  </c:pt>
                  <c:pt idx="3">
                    <c:v>5.0000000000000044E-4</c:v>
                  </c:pt>
                  <c:pt idx="4">
                    <c:v>5.0000000000000044E-4</c:v>
                  </c:pt>
                  <c:pt idx="5">
                    <c:v>5.9999999999999984E-4</c:v>
                  </c:pt>
                  <c:pt idx="6">
                    <c:v>5.9999999999999984E-4</c:v>
                  </c:pt>
                  <c:pt idx="7">
                    <c:v>5.0000000000000044E-4</c:v>
                  </c:pt>
                  <c:pt idx="8">
                    <c:v>6.0000000000000157E-4</c:v>
                  </c:pt>
                </c:numCache>
              </c:numRef>
            </c:minus>
            <c:spPr>
              <a:noFill/>
              <a:ln w="19050" cap="flat" cmpd="sng" algn="ctr">
                <a:solidFill>
                  <a:schemeClr val="tx1"/>
                </a:solidFill>
                <a:round/>
              </a:ln>
              <a:effectLst/>
            </c:spPr>
          </c:errBars>
          <c:val>
            <c:numRef>
              <c:f>'Table 4'!$E$51:$E$56</c:f>
              <c:numCache>
                <c:formatCode>0.00%</c:formatCode>
                <c:ptCount val="6"/>
                <c:pt idx="0">
                  <c:v>1.34E-2</c:v>
                </c:pt>
                <c:pt idx="1">
                  <c:v>1.3899999999999999E-2</c:v>
                </c:pt>
                <c:pt idx="2">
                  <c:v>1.43E-2</c:v>
                </c:pt>
                <c:pt idx="3">
                  <c:v>1.46E-2</c:v>
                </c:pt>
                <c:pt idx="4">
                  <c:v>1.49E-2</c:v>
                </c:pt>
                <c:pt idx="5">
                  <c:v>1.5599999999999999E-2</c:v>
                </c:pt>
              </c:numCache>
            </c:numRef>
          </c:val>
          <c:extLst>
            <c:ext xmlns:c16="http://schemas.microsoft.com/office/drawing/2014/chart" uri="{C3380CC4-5D6E-409C-BE32-E72D297353CC}">
              <c16:uniqueId val="{00000004-1089-4F55-A0A3-AE237257DE3C}"/>
            </c:ext>
          </c:extLst>
        </c:ser>
        <c:ser>
          <c:idx val="2"/>
          <c:order val="5"/>
          <c:tx>
            <c:strRef>
              <c:f>'Table 4'!$AH$9</c:f>
              <c:strCache>
                <c:ptCount val="1"/>
                <c:pt idx="0">
                  <c:v>Females 50-64</c:v>
                </c:pt>
              </c:strCache>
            </c:strRef>
          </c:tx>
          <c:spPr>
            <a:solidFill>
              <a:srgbClr val="948DA3"/>
            </a:solidFill>
            <a:ln>
              <a:noFill/>
            </a:ln>
            <a:effectLst/>
          </c:spPr>
          <c:invertIfNegative val="0"/>
          <c:errBars>
            <c:errBarType val="both"/>
            <c:errValType val="cust"/>
            <c:noEndCap val="0"/>
            <c:plus>
              <c:numRef>
                <c:f>'Table 4'!$O$51:$O$59</c:f>
                <c:numCache>
                  <c:formatCode>General</c:formatCode>
                  <c:ptCount val="9"/>
                  <c:pt idx="0">
                    <c:v>2.9999999999999992E-4</c:v>
                  </c:pt>
                  <c:pt idx="1">
                    <c:v>2.9999999999999992E-4</c:v>
                  </c:pt>
                  <c:pt idx="2">
                    <c:v>2.0000000000000009E-4</c:v>
                  </c:pt>
                  <c:pt idx="3">
                    <c:v>2.0000000000000009E-4</c:v>
                  </c:pt>
                  <c:pt idx="4">
                    <c:v>2.0000000000000009E-4</c:v>
                  </c:pt>
                  <c:pt idx="5">
                    <c:v>2.0000000000000009E-4</c:v>
                  </c:pt>
                  <c:pt idx="6">
                    <c:v>2.9999999999999992E-4</c:v>
                  </c:pt>
                  <c:pt idx="7">
                    <c:v>3.0000000000000035E-4</c:v>
                  </c:pt>
                  <c:pt idx="8">
                    <c:v>2.9999999999999992E-4</c:v>
                  </c:pt>
                </c:numCache>
              </c:numRef>
            </c:plus>
            <c:minus>
              <c:numRef>
                <c:f>'Table 4'!$P$51:$P$59</c:f>
                <c:numCache>
                  <c:formatCode>General</c:formatCode>
                  <c:ptCount val="9"/>
                  <c:pt idx="0">
                    <c:v>2.9999999999999992E-4</c:v>
                  </c:pt>
                  <c:pt idx="1">
                    <c:v>2.9999999999999992E-4</c:v>
                  </c:pt>
                  <c:pt idx="2">
                    <c:v>2.9999999999999992E-4</c:v>
                  </c:pt>
                  <c:pt idx="3">
                    <c:v>2.0000000000000009E-4</c:v>
                  </c:pt>
                  <c:pt idx="4">
                    <c:v>2.0000000000000009E-4</c:v>
                  </c:pt>
                  <c:pt idx="5">
                    <c:v>2.9999999999999992E-4</c:v>
                  </c:pt>
                  <c:pt idx="6">
                    <c:v>2.9999999999999992E-4</c:v>
                  </c:pt>
                  <c:pt idx="7">
                    <c:v>2.9999999999999992E-4</c:v>
                  </c:pt>
                  <c:pt idx="8">
                    <c:v>3.9999999999999931E-4</c:v>
                  </c:pt>
                </c:numCache>
              </c:numRef>
            </c:minus>
            <c:spPr>
              <a:noFill/>
              <a:ln w="19050" cap="flat" cmpd="sng" algn="ctr">
                <a:solidFill>
                  <a:schemeClr val="tx1"/>
                </a:solidFill>
                <a:round/>
              </a:ln>
              <a:effectLst/>
            </c:spPr>
          </c:errBars>
          <c:cat>
            <c:strRef>
              <c:f>'Table 4'!$A$12:$A$17</c:f>
              <c:strCache>
                <c:ptCount val="6"/>
                <c:pt idx="0">
                  <c:v>2014/15</c:v>
                </c:pt>
                <c:pt idx="1">
                  <c:v>2015/16</c:v>
                </c:pt>
                <c:pt idx="2">
                  <c:v>2016/17</c:v>
                </c:pt>
                <c:pt idx="3">
                  <c:v>2017/18</c:v>
                </c:pt>
                <c:pt idx="4">
                  <c:v>2018/19</c:v>
                </c:pt>
                <c:pt idx="5">
                  <c:v>2019/20</c:v>
                </c:pt>
              </c:strCache>
            </c:strRef>
          </c:cat>
          <c:val>
            <c:numRef>
              <c:f>'Table 4'!$H$51:$H$56</c:f>
              <c:numCache>
                <c:formatCode>0.00%</c:formatCode>
                <c:ptCount val="6"/>
                <c:pt idx="0">
                  <c:v>2E-3</c:v>
                </c:pt>
                <c:pt idx="1">
                  <c:v>2.2000000000000001E-3</c:v>
                </c:pt>
                <c:pt idx="2">
                  <c:v>2.5000000000000001E-3</c:v>
                </c:pt>
                <c:pt idx="3">
                  <c:v>2.3999999999999998E-3</c:v>
                </c:pt>
                <c:pt idx="4">
                  <c:v>2.8999999999999998E-3</c:v>
                </c:pt>
                <c:pt idx="5">
                  <c:v>3.0999999999999999E-3</c:v>
                </c:pt>
              </c:numCache>
            </c:numRef>
          </c:val>
          <c:extLst>
            <c:ext xmlns:c16="http://schemas.microsoft.com/office/drawing/2014/chart" uri="{C3380CC4-5D6E-409C-BE32-E72D297353CC}">
              <c16:uniqueId val="{00000005-1089-4F55-A0A3-AE237257DE3C}"/>
            </c:ext>
          </c:extLst>
        </c:ser>
        <c:dLbls>
          <c:showLegendKey val="0"/>
          <c:showVal val="0"/>
          <c:showCatName val="0"/>
          <c:showSerName val="0"/>
          <c:showPercent val="0"/>
          <c:showBubbleSize val="0"/>
        </c:dLbls>
        <c:gapWidth val="219"/>
        <c:overlap val="-27"/>
        <c:axId val="1690063984"/>
        <c:axId val="1108931264"/>
      </c:barChart>
      <c:catAx>
        <c:axId val="169006398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108931264"/>
        <c:crosses val="autoZero"/>
        <c:auto val="1"/>
        <c:lblAlgn val="ctr"/>
        <c:lblOffset val="100"/>
        <c:noMultiLvlLbl val="0"/>
      </c:catAx>
      <c:valAx>
        <c:axId val="1108931264"/>
        <c:scaling>
          <c:orientation val="minMax"/>
        </c:scaling>
        <c:delete val="0"/>
        <c:axPos val="l"/>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 prevalence of </a:t>
                </a:r>
              </a:p>
              <a:p>
                <a:pPr>
                  <a:defRPr/>
                </a:pPr>
                <a:r>
                  <a:rPr lang="en-GB"/>
                  <a:t>people with</a:t>
                </a:r>
              </a:p>
              <a:p>
                <a:pPr>
                  <a:defRPr/>
                </a:pPr>
                <a:r>
                  <a:rPr lang="en-GB"/>
                  <a:t>opioid dependence</a:t>
                </a:r>
              </a:p>
            </c:rich>
          </c:tx>
          <c:layout>
            <c:manualLayout>
              <c:xMode val="edge"/>
              <c:yMode val="edge"/>
              <c:x val="7.859781498074354E-3"/>
              <c:y val="0.48597679679427497"/>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690063984"/>
        <c:crosses val="autoZero"/>
        <c:crossBetween val="between"/>
      </c:valAx>
      <c:spPr>
        <a:noFill/>
        <a:ln w="25400">
          <a:noFill/>
        </a:ln>
        <a:effectLst/>
      </c:spPr>
    </c:plotArea>
    <c:legend>
      <c:legendPos val="t"/>
      <c:layout>
        <c:manualLayout>
          <c:xMode val="edge"/>
          <c:yMode val="edge"/>
          <c:x val="0.2902752223173235"/>
          <c:y val="8.4288732343884232E-2"/>
          <c:w val="0.56089021682925266"/>
          <c:h val="8.3742087837927789E-2"/>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5'!$N$2</c:f>
          <c:strCache>
            <c:ptCount val="1"/>
            <c:pt idx="0">
              <c:v> Estimated OAT composition in Scotland</c:v>
            </c:pt>
          </c:strCache>
        </c:strRef>
      </c:tx>
      <c:layout>
        <c:manualLayout>
          <c:xMode val="edge"/>
          <c:yMode val="edge"/>
          <c:x val="0.40505272349124649"/>
          <c:y val="5.7501897693268848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600475809320526"/>
          <c:y val="0.11573766487200431"/>
          <c:w val="0.81364157180125696"/>
          <c:h val="0.67427909477012915"/>
        </c:manualLayout>
      </c:layout>
      <c:barChart>
        <c:barDir val="col"/>
        <c:grouping val="stacked"/>
        <c:varyColors val="0"/>
        <c:ser>
          <c:idx val="0"/>
          <c:order val="0"/>
          <c:tx>
            <c:strRef>
              <c:f>'Table 5'!$F$42</c:f>
              <c:strCache>
                <c:ptCount val="1"/>
                <c:pt idx="0">
                  <c:v>Observed (on OAT in year)</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5'!$A$13:$A$21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5'!$B$13:$B$21</c:f>
              <c:numCache>
                <c:formatCode>#,##0</c:formatCode>
                <c:ptCount val="9"/>
                <c:pt idx="0">
                  <c:v>28360</c:v>
                </c:pt>
                <c:pt idx="1">
                  <c:v>28818</c:v>
                </c:pt>
                <c:pt idx="2">
                  <c:v>29220</c:v>
                </c:pt>
                <c:pt idx="3">
                  <c:v>29381</c:v>
                </c:pt>
                <c:pt idx="4">
                  <c:v>29072</c:v>
                </c:pt>
                <c:pt idx="5">
                  <c:v>28865</c:v>
                </c:pt>
                <c:pt idx="6">
                  <c:v>29051</c:v>
                </c:pt>
                <c:pt idx="7">
                  <c:v>29212</c:v>
                </c:pt>
                <c:pt idx="8">
                  <c:v>28576</c:v>
                </c:pt>
              </c:numCache>
            </c:numRef>
          </c:val>
          <c:extLst>
            <c:ext xmlns:c16="http://schemas.microsoft.com/office/drawing/2014/chart" uri="{C3380CC4-5D6E-409C-BE32-E72D297353CC}">
              <c16:uniqueId val="{00000000-0A3E-429C-9CD6-443CAC51FCFA}"/>
            </c:ext>
          </c:extLst>
        </c:ser>
        <c:ser>
          <c:idx val="1"/>
          <c:order val="1"/>
          <c:tx>
            <c:strRef>
              <c:f>'Table 5'!$F$43</c:f>
              <c:strCache>
                <c:ptCount val="1"/>
                <c:pt idx="0">
                  <c:v>Observed (on OAT in preceding 4 years)</c:v>
                </c:pt>
              </c:strCache>
            </c:strRef>
          </c:tx>
          <c:spPr>
            <a:solidFill>
              <a:srgbClr val="CAC6D1"/>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5'!$A$13:$A$21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5'!$C$13:$C$21</c:f>
              <c:numCache>
                <c:formatCode>#,##0</c:formatCode>
                <c:ptCount val="9"/>
                <c:pt idx="0">
                  <c:v>6842</c:v>
                </c:pt>
                <c:pt idx="1">
                  <c:v>6513</c:v>
                </c:pt>
                <c:pt idx="2">
                  <c:v>6187</c:v>
                </c:pt>
                <c:pt idx="3">
                  <c:v>5976</c:v>
                </c:pt>
                <c:pt idx="4">
                  <c:v>5973</c:v>
                </c:pt>
                <c:pt idx="5">
                  <c:v>6072</c:v>
                </c:pt>
                <c:pt idx="6">
                  <c:v>5948</c:v>
                </c:pt>
                <c:pt idx="7">
                  <c:v>5402</c:v>
                </c:pt>
                <c:pt idx="8">
                  <c:v>5543</c:v>
                </c:pt>
              </c:numCache>
            </c:numRef>
          </c:val>
          <c:extLst>
            <c:ext xmlns:c16="http://schemas.microsoft.com/office/drawing/2014/chart" uri="{C3380CC4-5D6E-409C-BE32-E72D297353CC}">
              <c16:uniqueId val="{00000001-0A3E-429C-9CD6-443CAC51FCFA}"/>
            </c:ext>
          </c:extLst>
        </c:ser>
        <c:ser>
          <c:idx val="2"/>
          <c:order val="2"/>
          <c:tx>
            <c:strRef>
              <c:f>'Table 5'!$F$44</c:f>
              <c:strCache>
                <c:ptCount val="1"/>
                <c:pt idx="0">
                  <c:v>Unobserved (not on OAT this year or preceeding 4 years)</c:v>
                </c:pt>
              </c:strCache>
            </c:strRef>
          </c:tx>
          <c:spPr>
            <a:solidFill>
              <a:schemeClr val="accent5">
                <a:lumMod val="40000"/>
                <a:lumOff val="60000"/>
              </a:schemeClr>
            </a:solidFill>
            <a:ln>
              <a:noFill/>
            </a:ln>
            <a:effectLst/>
          </c:spPr>
          <c:invertIfNegative val="0"/>
          <c:dLbls>
            <c:delete val="1"/>
          </c:dLbls>
          <c:cat>
            <c:strRef>
              <c:f>'Table 5'!$A$13:$A$21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5'!$D$13:$D$21</c:f>
              <c:numCache>
                <c:formatCode>#,##0</c:formatCode>
                <c:ptCount val="9"/>
                <c:pt idx="0">
                  <c:v>13498</c:v>
                </c:pt>
                <c:pt idx="1">
                  <c:v>12069</c:v>
                </c:pt>
                <c:pt idx="2">
                  <c:v>11093</c:v>
                </c:pt>
                <c:pt idx="3">
                  <c:v>9443</c:v>
                </c:pt>
                <c:pt idx="4">
                  <c:v>10155</c:v>
                </c:pt>
                <c:pt idx="5">
                  <c:v>12163</c:v>
                </c:pt>
                <c:pt idx="6">
                  <c:v>13101</c:v>
                </c:pt>
                <c:pt idx="7">
                  <c:v>11486</c:v>
                </c:pt>
                <c:pt idx="8">
                  <c:v>9281</c:v>
                </c:pt>
              </c:numCache>
            </c:numRef>
          </c:val>
          <c:extLst>
            <c:ext xmlns:c16="http://schemas.microsoft.com/office/drawing/2014/chart" uri="{C3380CC4-5D6E-409C-BE32-E72D297353CC}">
              <c16:uniqueId val="{00000002-0A3E-429C-9CD6-443CAC51FCFA}"/>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6107331317443377"/>
          <c:y val="0.84452505816771339"/>
          <c:w val="0.8003418119293253"/>
          <c:h val="2.6390516558970036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5'!$H$2</c:f>
          <c:strCache>
            <c:ptCount val="1"/>
            <c:pt idx="0">
              <c:v>Estimated % OAT exposure in Scotland</c:v>
            </c:pt>
          </c:strCache>
        </c:strRef>
      </c:tx>
      <c:overlay val="0"/>
      <c:spPr>
        <a:noFill/>
        <a:ln>
          <a:noFill/>
        </a:ln>
        <a:effectLst/>
      </c:spPr>
      <c:txPr>
        <a:bodyPr rot="0" spcFirstLastPara="1" vertOverflow="ellipsis" vert="horz" wrap="square" anchor="ctr" anchorCtr="1"/>
        <a:lstStyle/>
        <a:p>
          <a:pPr>
            <a:defRPr sz="12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0746689087243536"/>
          <c:y val="6.6878938582005887E-2"/>
          <c:w val="0.78146107108942409"/>
          <c:h val="0.75908824176215572"/>
        </c:manualLayout>
      </c:layout>
      <c:barChart>
        <c:barDir val="col"/>
        <c:grouping val="clustered"/>
        <c:varyColors val="0"/>
        <c:ser>
          <c:idx val="0"/>
          <c:order val="0"/>
          <c:spPr>
            <a:solidFill>
              <a:srgbClr val="0078D4"/>
            </a:solidFill>
            <a:ln>
              <a:noFill/>
            </a:ln>
            <a:effectLst/>
          </c:spPr>
          <c:invertIfNegative val="0"/>
          <c:errBars>
            <c:errBarType val="both"/>
            <c:errValType val="cust"/>
            <c:noEndCap val="0"/>
            <c:plus>
              <c:numRef>
                <c:f>'Table 5'!$F$28:$F$36</c:f>
                <c:numCache>
                  <c:formatCode>General</c:formatCode>
                  <c:ptCount val="9"/>
                  <c:pt idx="0">
                    <c:v>3.0000000000000027E-2</c:v>
                  </c:pt>
                  <c:pt idx="1">
                    <c:v>2.0000000000000018E-2</c:v>
                  </c:pt>
                  <c:pt idx="2">
                    <c:v>2.0000000000000018E-2</c:v>
                  </c:pt>
                  <c:pt idx="3">
                    <c:v>2.0000000000000018E-2</c:v>
                  </c:pt>
                  <c:pt idx="4">
                    <c:v>2.0000000000000018E-2</c:v>
                  </c:pt>
                  <c:pt idx="5">
                    <c:v>2.0000000000000018E-2</c:v>
                  </c:pt>
                  <c:pt idx="6">
                    <c:v>2.0000000000000018E-2</c:v>
                  </c:pt>
                  <c:pt idx="7">
                    <c:v>3.0000000000000027E-2</c:v>
                  </c:pt>
                  <c:pt idx="8">
                    <c:v>2.0000000000000018E-2</c:v>
                  </c:pt>
                </c:numCache>
              </c:numRef>
            </c:plus>
            <c:minus>
              <c:numRef>
                <c:f>'Table 5'!$G$28:$G$36</c:f>
                <c:numCache>
                  <c:formatCode>General</c:formatCode>
                  <c:ptCount val="9"/>
                  <c:pt idx="0">
                    <c:v>1.9999999999999907E-2</c:v>
                  </c:pt>
                  <c:pt idx="1">
                    <c:v>3.0000000000000027E-2</c:v>
                  </c:pt>
                  <c:pt idx="2">
                    <c:v>3.0000000000000027E-2</c:v>
                  </c:pt>
                  <c:pt idx="3">
                    <c:v>2.0000000000000018E-2</c:v>
                  </c:pt>
                  <c:pt idx="4">
                    <c:v>2.0000000000000018E-2</c:v>
                  </c:pt>
                  <c:pt idx="5">
                    <c:v>2.0000000000000018E-2</c:v>
                  </c:pt>
                  <c:pt idx="6">
                    <c:v>2.0000000000000018E-2</c:v>
                  </c:pt>
                  <c:pt idx="7">
                    <c:v>2.0000000000000018E-2</c:v>
                  </c:pt>
                  <c:pt idx="8">
                    <c:v>3.0000000000000027E-2</c:v>
                  </c:pt>
                </c:numCache>
              </c:numRef>
            </c:minus>
            <c:spPr>
              <a:noFill/>
              <a:ln w="19050" cap="flat" cmpd="sng" algn="ctr">
                <a:solidFill>
                  <a:schemeClr val="tx1"/>
                </a:solidFill>
                <a:round/>
              </a:ln>
              <a:effectLst/>
            </c:spPr>
          </c:errBars>
          <c:cat>
            <c:strRef>
              <c:f>'Table 5'!$A$28:$A$36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5'!$C$28:$C$36</c:f>
              <c:numCache>
                <c:formatCode>0%</c:formatCode>
                <c:ptCount val="9"/>
                <c:pt idx="0">
                  <c:v>0.57999999999999996</c:v>
                </c:pt>
                <c:pt idx="1">
                  <c:v>0.61</c:v>
                </c:pt>
                <c:pt idx="2">
                  <c:v>0.63</c:v>
                </c:pt>
                <c:pt idx="3">
                  <c:v>0.66</c:v>
                </c:pt>
                <c:pt idx="4">
                  <c:v>0.64</c:v>
                </c:pt>
                <c:pt idx="5">
                  <c:v>0.61</c:v>
                </c:pt>
                <c:pt idx="6">
                  <c:v>0.6</c:v>
                </c:pt>
                <c:pt idx="7">
                  <c:v>0.63</c:v>
                </c:pt>
                <c:pt idx="8">
                  <c:v>0.66</c:v>
                </c:pt>
              </c:numCache>
            </c:numRef>
          </c:val>
          <c:extLst>
            <c:ext xmlns:c16="http://schemas.microsoft.com/office/drawing/2014/chart" uri="{C3380CC4-5D6E-409C-BE32-E72D297353CC}">
              <c16:uniqueId val="{00000000-4B95-428B-97F5-6290B7B37C7E}"/>
            </c:ext>
          </c:extLst>
        </c:ser>
        <c:dLbls>
          <c:showLegendKey val="0"/>
          <c:showVal val="0"/>
          <c:showCatName val="0"/>
          <c:showSerName val="0"/>
          <c:showPercent val="0"/>
          <c:showBubbleSize val="0"/>
        </c:dLbls>
        <c:gapWidth val="50"/>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 estimated </a:t>
                </a:r>
              </a:p>
              <a:p>
                <a:pPr>
                  <a:defRPr/>
                </a:pPr>
                <a:r>
                  <a:rPr lang="en-GB"/>
                  <a:t>OAT exposure</a:t>
                </a:r>
              </a:p>
            </c:rich>
          </c:tx>
          <c:layout>
            <c:manualLayout>
              <c:xMode val="edge"/>
              <c:yMode val="edge"/>
              <c:x val="4.5687964170061823E-2"/>
              <c:y val="0.45663317558329608"/>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6'!$X$2</c:f>
          <c:strCache>
            <c:ptCount val="1"/>
            <c:pt idx="0">
              <c:v>Males: Estimated OAT composition in Scotland</c:v>
            </c:pt>
          </c:strCache>
        </c:strRef>
      </c:tx>
      <c:layout>
        <c:manualLayout>
          <c:xMode val="edge"/>
          <c:yMode val="edge"/>
          <c:x val="0.42191576623303412"/>
          <c:y val="2.3175321437015915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9068452623051638"/>
          <c:y val="9.5602762998839672E-2"/>
          <c:w val="0.74738296529065484"/>
          <c:h val="0.68407872512943146"/>
        </c:manualLayout>
      </c:layout>
      <c:barChart>
        <c:barDir val="col"/>
        <c:grouping val="stacked"/>
        <c:varyColors val="0"/>
        <c:ser>
          <c:idx val="0"/>
          <c:order val="0"/>
          <c:tx>
            <c:strRef>
              <c:f>'Table 6'!$I$40</c:f>
              <c:strCache>
                <c:ptCount val="1"/>
                <c:pt idx="0">
                  <c:v>Observed (on OAT in year)</c:v>
                </c:pt>
              </c:strCache>
            </c:strRef>
          </c:tx>
          <c:spPr>
            <a:solidFill>
              <a:srgbClr val="0078D4"/>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6'!$A$12:$A$20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6'!$B$12:$B$20</c:f>
              <c:numCache>
                <c:formatCode>#,##0</c:formatCode>
                <c:ptCount val="9"/>
                <c:pt idx="0">
                  <c:v>18900</c:v>
                </c:pt>
                <c:pt idx="1">
                  <c:v>19315</c:v>
                </c:pt>
                <c:pt idx="2">
                  <c:v>19659</c:v>
                </c:pt>
                <c:pt idx="3">
                  <c:v>19809</c:v>
                </c:pt>
                <c:pt idx="4">
                  <c:v>19647</c:v>
                </c:pt>
                <c:pt idx="5">
                  <c:v>19437</c:v>
                </c:pt>
                <c:pt idx="6">
                  <c:v>19575</c:v>
                </c:pt>
                <c:pt idx="7">
                  <c:v>19698</c:v>
                </c:pt>
                <c:pt idx="8">
                  <c:v>19302</c:v>
                </c:pt>
              </c:numCache>
            </c:numRef>
          </c:val>
          <c:extLst>
            <c:ext xmlns:c16="http://schemas.microsoft.com/office/drawing/2014/chart" uri="{C3380CC4-5D6E-409C-BE32-E72D297353CC}">
              <c16:uniqueId val="{00000000-399E-45BF-AA3E-BA697BD0E310}"/>
            </c:ext>
          </c:extLst>
        </c:ser>
        <c:ser>
          <c:idx val="2"/>
          <c:order val="1"/>
          <c:tx>
            <c:strRef>
              <c:f>'Table 6'!$I$41</c:f>
              <c:strCache>
                <c:ptCount val="1"/>
                <c:pt idx="0">
                  <c:v>Observed (on OAT in preceding 4 years)</c:v>
                </c:pt>
              </c:strCache>
            </c:strRef>
          </c:tx>
          <c:spPr>
            <a:solidFill>
              <a:srgbClr val="E6F2FB"/>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6'!$A$12:$A$20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6'!$C$12:$C$20</c:f>
              <c:numCache>
                <c:formatCode>#,##0</c:formatCode>
                <c:ptCount val="9"/>
                <c:pt idx="0">
                  <c:v>4587</c:v>
                </c:pt>
                <c:pt idx="1">
                  <c:v>4257</c:v>
                </c:pt>
                <c:pt idx="2">
                  <c:v>4057</c:v>
                </c:pt>
                <c:pt idx="3">
                  <c:v>3960</c:v>
                </c:pt>
                <c:pt idx="4">
                  <c:v>3956</c:v>
                </c:pt>
                <c:pt idx="5">
                  <c:v>4112</c:v>
                </c:pt>
                <c:pt idx="6">
                  <c:v>4065</c:v>
                </c:pt>
                <c:pt idx="7">
                  <c:v>3693</c:v>
                </c:pt>
                <c:pt idx="8">
                  <c:v>3777</c:v>
                </c:pt>
              </c:numCache>
            </c:numRef>
          </c:val>
          <c:extLst>
            <c:ext xmlns:c16="http://schemas.microsoft.com/office/drawing/2014/chart" uri="{C3380CC4-5D6E-409C-BE32-E72D297353CC}">
              <c16:uniqueId val="{00000001-399E-45BF-AA3E-BA697BD0E310}"/>
            </c:ext>
          </c:extLst>
        </c:ser>
        <c:ser>
          <c:idx val="1"/>
          <c:order val="2"/>
          <c:tx>
            <c:strRef>
              <c:f>'Table 6'!$I$42</c:f>
              <c:strCache>
                <c:ptCount val="1"/>
                <c:pt idx="0">
                  <c:v>Unobserved (not on OAT this year or preceeding 4 years)</c:v>
                </c:pt>
              </c:strCache>
            </c:strRef>
          </c:tx>
          <c:spPr>
            <a:solidFill>
              <a:srgbClr val="80BCEA"/>
            </a:solidFill>
            <a:ln>
              <a:noFill/>
            </a:ln>
            <a:effectLst/>
          </c:spPr>
          <c:invertIfNegative val="0"/>
          <c:dLbls>
            <c:delete val="1"/>
          </c:dLbls>
          <c:cat>
            <c:strRef>
              <c:f>'Table 6'!$A$12:$A$20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6'!$D$12:$D$20</c:f>
              <c:numCache>
                <c:formatCode>#,##0</c:formatCode>
                <c:ptCount val="9"/>
                <c:pt idx="0">
                  <c:v>9813</c:v>
                </c:pt>
                <c:pt idx="1">
                  <c:v>8828</c:v>
                </c:pt>
                <c:pt idx="2">
                  <c:v>8184</c:v>
                </c:pt>
                <c:pt idx="3">
                  <c:v>6931</c:v>
                </c:pt>
                <c:pt idx="4">
                  <c:v>7397</c:v>
                </c:pt>
                <c:pt idx="5">
                  <c:v>8951</c:v>
                </c:pt>
                <c:pt idx="6">
                  <c:v>9560</c:v>
                </c:pt>
                <c:pt idx="7">
                  <c:v>8409</c:v>
                </c:pt>
                <c:pt idx="8">
                  <c:v>6821</c:v>
                </c:pt>
              </c:numCache>
            </c:numRef>
          </c:val>
          <c:extLst>
            <c:ext xmlns:c16="http://schemas.microsoft.com/office/drawing/2014/chart" uri="{C3380CC4-5D6E-409C-BE32-E72D297353CC}">
              <c16:uniqueId val="{00000002-399E-45BF-AA3E-BA697BD0E310}"/>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layout>
            <c:manualLayout>
              <c:xMode val="edge"/>
              <c:yMode val="edge"/>
              <c:x val="1.7595568737623864E-2"/>
              <c:y val="0.4280351524526867"/>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3076611054129461"/>
          <c:y val="0.81843798596636297"/>
          <c:w val="0.83091977388615257"/>
          <c:h val="6.8375873994612188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6'!$X$4</c:f>
          <c:strCache>
            <c:ptCount val="1"/>
            <c:pt idx="0">
              <c:v>Males: Estimated % OAT exposure in Scotland</c:v>
            </c:pt>
          </c:strCache>
        </c:strRef>
      </c:tx>
      <c:layout>
        <c:manualLayout>
          <c:xMode val="edge"/>
          <c:yMode val="edge"/>
          <c:x val="0.41932076646377858"/>
          <c:y val="1.506397891280180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8941989243622481"/>
          <c:y val="7.3673495957307503E-2"/>
          <c:w val="0.79183078084369607"/>
          <c:h val="0.75426154229766929"/>
        </c:manualLayout>
      </c:layout>
      <c:barChart>
        <c:barDir val="col"/>
        <c:grouping val="clustered"/>
        <c:varyColors val="0"/>
        <c:ser>
          <c:idx val="0"/>
          <c:order val="0"/>
          <c:tx>
            <c:strRef>
              <c:f>'Table 6'!$B$26:$D$26</c:f>
              <c:strCache>
                <c:ptCount val="1"/>
                <c:pt idx="0">
                  <c:v>Males</c:v>
                </c:pt>
              </c:strCache>
            </c:strRef>
          </c:tx>
          <c:spPr>
            <a:solidFill>
              <a:srgbClr val="0078D4"/>
            </a:solidFill>
            <a:ln>
              <a:noFill/>
            </a:ln>
            <a:effectLst/>
          </c:spPr>
          <c:invertIfNegative val="0"/>
          <c:errBars>
            <c:errBarType val="both"/>
            <c:errValType val="cust"/>
            <c:noEndCap val="0"/>
            <c:plus>
              <c:numRef>
                <c:f>'Table 6'!$I$28:$I$36</c:f>
                <c:numCache>
                  <c:formatCode>General</c:formatCode>
                  <c:ptCount val="9"/>
                  <c:pt idx="0">
                    <c:v>3.0000000000000027E-2</c:v>
                  </c:pt>
                  <c:pt idx="1">
                    <c:v>2.0000000000000018E-2</c:v>
                  </c:pt>
                  <c:pt idx="2">
                    <c:v>2.0000000000000018E-2</c:v>
                  </c:pt>
                  <c:pt idx="3">
                    <c:v>2.0000000000000018E-2</c:v>
                  </c:pt>
                  <c:pt idx="4">
                    <c:v>2.0000000000000018E-2</c:v>
                  </c:pt>
                  <c:pt idx="5">
                    <c:v>2.0000000000000018E-2</c:v>
                  </c:pt>
                  <c:pt idx="6">
                    <c:v>2.0000000000000018E-2</c:v>
                  </c:pt>
                  <c:pt idx="7">
                    <c:v>2.0000000000000018E-2</c:v>
                  </c:pt>
                  <c:pt idx="8">
                    <c:v>2.0000000000000018E-2</c:v>
                  </c:pt>
                </c:numCache>
              </c:numRef>
            </c:plus>
            <c:minus>
              <c:numRef>
                <c:f>'Table 6'!$J$28:$J$36</c:f>
                <c:numCache>
                  <c:formatCode>General</c:formatCode>
                  <c:ptCount val="9"/>
                  <c:pt idx="0">
                    <c:v>2.9999999999999916E-2</c:v>
                  </c:pt>
                  <c:pt idx="1">
                    <c:v>3.0000000000000027E-2</c:v>
                  </c:pt>
                  <c:pt idx="2">
                    <c:v>3.0000000000000027E-2</c:v>
                  </c:pt>
                  <c:pt idx="3">
                    <c:v>3.0000000000000027E-2</c:v>
                  </c:pt>
                  <c:pt idx="4">
                    <c:v>2.0000000000000018E-2</c:v>
                  </c:pt>
                  <c:pt idx="5">
                    <c:v>2.0000000000000018E-2</c:v>
                  </c:pt>
                  <c:pt idx="6">
                    <c:v>2.0000000000000018E-2</c:v>
                  </c:pt>
                  <c:pt idx="7">
                    <c:v>3.0000000000000027E-2</c:v>
                  </c:pt>
                  <c:pt idx="8">
                    <c:v>3.0000000000000027E-2</c:v>
                  </c:pt>
                </c:numCache>
              </c:numRef>
            </c:minus>
            <c:spPr>
              <a:noFill/>
              <a:ln w="25400" cap="flat" cmpd="sng" algn="ctr">
                <a:solidFill>
                  <a:schemeClr val="tx1"/>
                </a:solidFill>
                <a:round/>
              </a:ln>
              <a:effectLst/>
            </c:spPr>
          </c:errBars>
          <c:cat>
            <c:strRef>
              <c:f>'Table 6'!$A$28:$A$36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6'!$C$28:$C$36</c:f>
              <c:numCache>
                <c:formatCode>0%</c:formatCode>
                <c:ptCount val="9"/>
                <c:pt idx="0">
                  <c:v>0.56999999999999995</c:v>
                </c:pt>
                <c:pt idx="1">
                  <c:v>0.6</c:v>
                </c:pt>
                <c:pt idx="2">
                  <c:v>0.62</c:v>
                </c:pt>
                <c:pt idx="3">
                  <c:v>0.65</c:v>
                </c:pt>
                <c:pt idx="4">
                  <c:v>0.63</c:v>
                </c:pt>
                <c:pt idx="5">
                  <c:v>0.6</c:v>
                </c:pt>
                <c:pt idx="6">
                  <c:v>0.59</c:v>
                </c:pt>
                <c:pt idx="7">
                  <c:v>0.62</c:v>
                </c:pt>
                <c:pt idx="8">
                  <c:v>0.65</c:v>
                </c:pt>
              </c:numCache>
            </c:numRef>
          </c:val>
          <c:extLst>
            <c:ext xmlns:c16="http://schemas.microsoft.com/office/drawing/2014/chart" uri="{C3380CC4-5D6E-409C-BE32-E72D297353CC}">
              <c16:uniqueId val="{00000000-6298-45B2-B292-9556A832F557}"/>
            </c:ext>
          </c:extLst>
        </c:ser>
        <c:dLbls>
          <c:showLegendKey val="0"/>
          <c:showVal val="0"/>
          <c:showCatName val="0"/>
          <c:showSerName val="0"/>
          <c:showPercent val="0"/>
          <c:showBubbleSize val="0"/>
        </c:dLbls>
        <c:gapWidth val="50"/>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200" b="0" i="0" u="none" strike="noStrike" kern="1200" baseline="0">
                    <a:solidFill>
                      <a:sysClr val="windowText" lastClr="000000"/>
                    </a:solidFill>
                    <a:latin typeface="Arial" panose="020B0604020202020204" pitchFamily="34" charset="0"/>
                    <a:cs typeface="Arial" panose="020B0604020202020204" pitchFamily="34" charset="0"/>
                  </a:rPr>
                  <a:t>% estimated </a:t>
                </a:r>
              </a:p>
              <a:p>
                <a:pPr>
                  <a:defRPr/>
                </a:pPr>
                <a:r>
                  <a:rPr lang="en-US" sz="1200" b="0" i="0" u="none" strike="noStrike" kern="1200" baseline="0">
                    <a:solidFill>
                      <a:sysClr val="windowText" lastClr="000000"/>
                    </a:solidFill>
                    <a:latin typeface="Arial" panose="020B0604020202020204" pitchFamily="34" charset="0"/>
                    <a:cs typeface="Arial" panose="020B0604020202020204" pitchFamily="34" charset="0"/>
                  </a:rPr>
                  <a:t>OAT exposure</a:t>
                </a:r>
              </a:p>
            </c:rich>
          </c:tx>
          <c:layout>
            <c:manualLayout>
              <c:xMode val="edge"/>
              <c:yMode val="edge"/>
              <c:x val="2.0444695393410813E-2"/>
              <c:y val="0.43688103378668769"/>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6'!$X$3</c:f>
          <c:strCache>
            <c:ptCount val="1"/>
            <c:pt idx="0">
              <c:v>Females: Estimated OAT composition in Scotland</c:v>
            </c:pt>
          </c:strCache>
        </c:strRef>
      </c:tx>
      <c:layout>
        <c:manualLayout>
          <c:xMode val="edge"/>
          <c:yMode val="edge"/>
          <c:x val="0.41527335485538319"/>
          <c:y val="5.6264232793685587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9072215676053722"/>
          <c:y val="0.11045587655973384"/>
          <c:w val="0.76808717947595095"/>
          <c:h val="0.6922378124261519"/>
        </c:manualLayout>
      </c:layout>
      <c:barChart>
        <c:barDir val="col"/>
        <c:grouping val="stacked"/>
        <c:varyColors val="0"/>
        <c:ser>
          <c:idx val="0"/>
          <c:order val="0"/>
          <c:tx>
            <c:strRef>
              <c:f>'Table 6'!$I$40</c:f>
              <c:strCache>
                <c:ptCount val="1"/>
                <c:pt idx="0">
                  <c:v>Observed (on OAT in year)</c:v>
                </c:pt>
              </c:strCache>
            </c:strRef>
          </c:tx>
          <c:spPr>
            <a:solidFill>
              <a:srgbClr val="9B439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6'!$A$12:$A$20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6'!$E$12:$E$20</c:f>
              <c:numCache>
                <c:formatCode>#,##0</c:formatCode>
                <c:ptCount val="9"/>
                <c:pt idx="0">
                  <c:v>9460</c:v>
                </c:pt>
                <c:pt idx="1">
                  <c:v>9503</c:v>
                </c:pt>
                <c:pt idx="2">
                  <c:v>9561</c:v>
                </c:pt>
                <c:pt idx="3">
                  <c:v>9572</c:v>
                </c:pt>
                <c:pt idx="4">
                  <c:v>9425</c:v>
                </c:pt>
                <c:pt idx="5">
                  <c:v>9428</c:v>
                </c:pt>
                <c:pt idx="6">
                  <c:v>9476</c:v>
                </c:pt>
                <c:pt idx="7">
                  <c:v>9514</c:v>
                </c:pt>
                <c:pt idx="8">
                  <c:v>9274</c:v>
                </c:pt>
              </c:numCache>
            </c:numRef>
          </c:val>
          <c:extLst>
            <c:ext xmlns:c16="http://schemas.microsoft.com/office/drawing/2014/chart" uri="{C3380CC4-5D6E-409C-BE32-E72D297353CC}">
              <c16:uniqueId val="{00000000-33E3-4B56-BBF6-FB7BE608D0C7}"/>
            </c:ext>
          </c:extLst>
        </c:ser>
        <c:ser>
          <c:idx val="1"/>
          <c:order val="1"/>
          <c:tx>
            <c:strRef>
              <c:f>'Table 6'!$I$41</c:f>
              <c:strCache>
                <c:ptCount val="1"/>
                <c:pt idx="0">
                  <c:v>Observed (on OAT in preceding 4 years)</c:v>
                </c:pt>
              </c:strCache>
            </c:strRef>
          </c:tx>
          <c:spPr>
            <a:solidFill>
              <a:srgbClr val="F5ECF4">
                <a:alpha val="97647"/>
              </a:srgb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6'!$A$12:$A$20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6'!$F$12:$F$20</c:f>
              <c:numCache>
                <c:formatCode>#,##0</c:formatCode>
                <c:ptCount val="9"/>
                <c:pt idx="0">
                  <c:v>5840</c:v>
                </c:pt>
                <c:pt idx="1">
                  <c:v>5497</c:v>
                </c:pt>
                <c:pt idx="2">
                  <c:v>5139</c:v>
                </c:pt>
                <c:pt idx="3">
                  <c:v>4528</c:v>
                </c:pt>
                <c:pt idx="4">
                  <c:v>4775</c:v>
                </c:pt>
                <c:pt idx="5">
                  <c:v>5172</c:v>
                </c:pt>
                <c:pt idx="6">
                  <c:v>5424</c:v>
                </c:pt>
                <c:pt idx="7">
                  <c:v>4786</c:v>
                </c:pt>
                <c:pt idx="8">
                  <c:v>4226</c:v>
                </c:pt>
              </c:numCache>
            </c:numRef>
          </c:val>
          <c:extLst>
            <c:ext xmlns:c16="http://schemas.microsoft.com/office/drawing/2014/chart" uri="{C3380CC4-5D6E-409C-BE32-E72D297353CC}">
              <c16:uniqueId val="{00000001-33E3-4B56-BBF6-FB7BE608D0C7}"/>
            </c:ext>
          </c:extLst>
        </c:ser>
        <c:ser>
          <c:idx val="2"/>
          <c:order val="2"/>
          <c:tx>
            <c:strRef>
              <c:f>'Table 6'!$I$42</c:f>
              <c:strCache>
                <c:ptCount val="1"/>
                <c:pt idx="0">
                  <c:v>Unobserved (not on OAT this year or preceeding 4 years)</c:v>
                </c:pt>
              </c:strCache>
            </c:strRef>
          </c:tx>
          <c:spPr>
            <a:solidFill>
              <a:srgbClr val="CDA1C9"/>
            </a:solidFill>
            <a:ln>
              <a:noFill/>
            </a:ln>
            <a:effectLst/>
          </c:spPr>
          <c:invertIfNegative val="0"/>
          <c:dLbls>
            <c:delete val="1"/>
          </c:dLbls>
          <c:cat>
            <c:strRef>
              <c:f>'Table 6'!$A$12:$A$20</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6'!$G$12:$G$20</c:f>
              <c:numCache>
                <c:formatCode>#,##0</c:formatCode>
                <c:ptCount val="9"/>
                <c:pt idx="0">
                  <c:v>3585</c:v>
                </c:pt>
                <c:pt idx="1">
                  <c:v>3241</c:v>
                </c:pt>
                <c:pt idx="2">
                  <c:v>3009</c:v>
                </c:pt>
                <c:pt idx="3">
                  <c:v>2512</c:v>
                </c:pt>
                <c:pt idx="4">
                  <c:v>2758</c:v>
                </c:pt>
                <c:pt idx="5">
                  <c:v>3212</c:v>
                </c:pt>
                <c:pt idx="6">
                  <c:v>3541</c:v>
                </c:pt>
                <c:pt idx="7">
                  <c:v>3077</c:v>
                </c:pt>
                <c:pt idx="8">
                  <c:v>2460</c:v>
                </c:pt>
              </c:numCache>
            </c:numRef>
          </c:val>
          <c:extLst>
            <c:ext xmlns:c16="http://schemas.microsoft.com/office/drawing/2014/chart" uri="{C3380CC4-5D6E-409C-BE32-E72D297353CC}">
              <c16:uniqueId val="{00000002-33E3-4B56-BBF6-FB7BE608D0C7}"/>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layout>
            <c:manualLayout>
              <c:xMode val="edge"/>
              <c:yMode val="edge"/>
              <c:x val="2.6699314769470229E-2"/>
              <c:y val="0.42852368137527114"/>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603908865653641"/>
          <c:y val="0.8571830103515542"/>
          <c:w val="0.83960910434988989"/>
          <c:h val="5.1800658284160833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6'!$X$5</c:f>
          <c:strCache>
            <c:ptCount val="1"/>
            <c:pt idx="0">
              <c:v>Females: Estimated % OAT exposure in Scotland</c:v>
            </c:pt>
          </c:strCache>
        </c:strRef>
      </c:tx>
      <c:layout>
        <c:manualLayout>
          <c:xMode val="edge"/>
          <c:yMode val="edge"/>
          <c:x val="0.37926117303280804"/>
          <c:y val="1.1288537689938535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799800102057348"/>
          <c:y val="7.4585651904727684E-2"/>
          <c:w val="0.80316429390452815"/>
          <c:h val="0.78537452730145396"/>
        </c:manualLayout>
      </c:layout>
      <c:barChart>
        <c:barDir val="col"/>
        <c:grouping val="clustered"/>
        <c:varyColors val="0"/>
        <c:ser>
          <c:idx val="1"/>
          <c:order val="0"/>
          <c:tx>
            <c:strRef>
              <c:f>'Table 6'!$E$26:$G$26</c:f>
              <c:strCache>
                <c:ptCount val="1"/>
                <c:pt idx="0">
                  <c:v>Females</c:v>
                </c:pt>
              </c:strCache>
            </c:strRef>
          </c:tx>
          <c:spPr>
            <a:solidFill>
              <a:srgbClr val="9B4393"/>
            </a:solidFill>
            <a:ln>
              <a:noFill/>
            </a:ln>
            <a:effectLst/>
          </c:spPr>
          <c:invertIfNegative val="0"/>
          <c:errBars>
            <c:errBarType val="both"/>
            <c:errValType val="cust"/>
            <c:noEndCap val="0"/>
            <c:plus>
              <c:numRef>
                <c:f>'Table 6'!$K$28:$K$36</c:f>
                <c:numCache>
                  <c:formatCode>General</c:formatCode>
                  <c:ptCount val="9"/>
                  <c:pt idx="0">
                    <c:v>2.0000000000000018E-2</c:v>
                  </c:pt>
                  <c:pt idx="1">
                    <c:v>3.0000000000000027E-2</c:v>
                  </c:pt>
                  <c:pt idx="2">
                    <c:v>2.0000000000000018E-2</c:v>
                  </c:pt>
                  <c:pt idx="3">
                    <c:v>1.9999999999999907E-2</c:v>
                  </c:pt>
                  <c:pt idx="4">
                    <c:v>2.9999999999999916E-2</c:v>
                  </c:pt>
                  <c:pt idx="5">
                    <c:v>2.0000000000000018E-2</c:v>
                  </c:pt>
                  <c:pt idx="6">
                    <c:v>2.0000000000000018E-2</c:v>
                  </c:pt>
                  <c:pt idx="7">
                    <c:v>1.9999999999999907E-2</c:v>
                  </c:pt>
                  <c:pt idx="8">
                    <c:v>2.0000000000000018E-2</c:v>
                  </c:pt>
                </c:numCache>
              </c:numRef>
            </c:plus>
            <c:minus>
              <c:numRef>
                <c:f>'Table 6'!$L$28:$L$36</c:f>
                <c:numCache>
                  <c:formatCode>General</c:formatCode>
                  <c:ptCount val="9"/>
                  <c:pt idx="0">
                    <c:v>3.0000000000000027E-2</c:v>
                  </c:pt>
                  <c:pt idx="1">
                    <c:v>2.0000000000000018E-2</c:v>
                  </c:pt>
                  <c:pt idx="2">
                    <c:v>2.0000000000000018E-2</c:v>
                  </c:pt>
                  <c:pt idx="3">
                    <c:v>2.0000000000000018E-2</c:v>
                  </c:pt>
                  <c:pt idx="4">
                    <c:v>1.0000000000000009E-2</c:v>
                  </c:pt>
                  <c:pt idx="5">
                    <c:v>3.0000000000000027E-2</c:v>
                  </c:pt>
                  <c:pt idx="6">
                    <c:v>2.0000000000000018E-2</c:v>
                  </c:pt>
                  <c:pt idx="7">
                    <c:v>3.0000000000000027E-2</c:v>
                  </c:pt>
                  <c:pt idx="8">
                    <c:v>2.9999999999999916E-2</c:v>
                  </c:pt>
                </c:numCache>
              </c:numRef>
            </c:minus>
            <c:spPr>
              <a:noFill/>
              <a:ln w="25400" cap="flat" cmpd="sng" algn="ctr">
                <a:solidFill>
                  <a:schemeClr val="tx1"/>
                </a:solidFill>
                <a:round/>
              </a:ln>
              <a:effectLst/>
            </c:spPr>
          </c:errBars>
          <c:cat>
            <c:strRef>
              <c:f>'Table 6'!$A$28:$A$36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6'!$F$28:$F$36</c:f>
              <c:numCache>
                <c:formatCode>0%</c:formatCode>
                <c:ptCount val="9"/>
                <c:pt idx="0">
                  <c:v>0.62</c:v>
                </c:pt>
                <c:pt idx="1">
                  <c:v>0.63</c:v>
                </c:pt>
                <c:pt idx="2">
                  <c:v>0.65</c:v>
                </c:pt>
                <c:pt idx="3">
                  <c:v>0.68</c:v>
                </c:pt>
                <c:pt idx="4">
                  <c:v>0.66</c:v>
                </c:pt>
                <c:pt idx="5">
                  <c:v>0.65</c:v>
                </c:pt>
                <c:pt idx="6">
                  <c:v>0.64</c:v>
                </c:pt>
                <c:pt idx="7">
                  <c:v>0.67</c:v>
                </c:pt>
                <c:pt idx="8">
                  <c:v>0.69</c:v>
                </c:pt>
              </c:numCache>
            </c:numRef>
          </c:val>
          <c:extLst>
            <c:ext xmlns:c16="http://schemas.microsoft.com/office/drawing/2014/chart" uri="{C3380CC4-5D6E-409C-BE32-E72D297353CC}">
              <c16:uniqueId val="{00000000-F81D-4492-B575-54AE2C5C74CA}"/>
            </c:ext>
          </c:extLst>
        </c:ser>
        <c:dLbls>
          <c:showLegendKey val="0"/>
          <c:showVal val="0"/>
          <c:showCatName val="0"/>
          <c:showSerName val="0"/>
          <c:showPercent val="0"/>
          <c:showBubbleSize val="0"/>
        </c:dLbls>
        <c:gapWidth val="50"/>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200" b="0" i="0" u="none" strike="noStrike" kern="1200" baseline="0">
                    <a:solidFill>
                      <a:sysClr val="windowText" lastClr="000000"/>
                    </a:solidFill>
                    <a:latin typeface="Arial" panose="020B0604020202020204" pitchFamily="34" charset="0"/>
                    <a:cs typeface="Arial" panose="020B0604020202020204" pitchFamily="34" charset="0"/>
                  </a:rPr>
                  <a:t>% estimated</a:t>
                </a:r>
              </a:p>
              <a:p>
                <a:pPr>
                  <a:defRPr/>
                </a:pPr>
                <a:r>
                  <a:rPr lang="en-US" sz="1200" b="0" i="0" u="none" strike="noStrike" kern="1200" baseline="0">
                    <a:solidFill>
                      <a:sysClr val="windowText" lastClr="000000"/>
                    </a:solidFill>
                    <a:latin typeface="Arial" panose="020B0604020202020204" pitchFamily="34" charset="0"/>
                    <a:cs typeface="Arial" panose="020B0604020202020204" pitchFamily="34" charset="0"/>
                  </a:rPr>
                  <a:t> OAT exposure</a:t>
                </a:r>
              </a:p>
            </c:rich>
          </c:tx>
          <c:layout>
            <c:manualLayout>
              <c:xMode val="edge"/>
              <c:yMode val="edge"/>
              <c:x val="1.8724766718157319E-2"/>
              <c:y val="0.44211865525288241"/>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7'!$AT$2</c:f>
          <c:strCache>
            <c:ptCount val="1"/>
            <c:pt idx="0">
              <c:v>15-34 year olds: Estimated OAT composition Scotland</c:v>
            </c:pt>
          </c:strCache>
        </c:strRef>
      </c:tx>
      <c:layout>
        <c:manualLayout>
          <c:xMode val="edge"/>
          <c:yMode val="edge"/>
          <c:x val="0.4065870799675988"/>
          <c:y val="2.2449506287629439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0285116089043811"/>
          <c:y val="8.7817803216434148E-2"/>
          <c:w val="0.78521590034620903"/>
          <c:h val="0.69747234329271801"/>
        </c:manualLayout>
      </c:layout>
      <c:barChart>
        <c:barDir val="col"/>
        <c:grouping val="stacked"/>
        <c:varyColors val="0"/>
        <c:ser>
          <c:idx val="0"/>
          <c:order val="0"/>
          <c:tx>
            <c:strRef>
              <c:f>'Table 7'!$L$42</c:f>
              <c:strCache>
                <c:ptCount val="1"/>
                <c:pt idx="0">
                  <c:v>Observed (on OAT in year)</c:v>
                </c:pt>
              </c:strCache>
            </c:strRef>
          </c:tx>
          <c:spPr>
            <a:solidFill>
              <a:srgbClr val="3F368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7'!$B$13:$B$21</c:f>
              <c:numCache>
                <c:formatCode>#,##0</c:formatCode>
                <c:ptCount val="9"/>
                <c:pt idx="0">
                  <c:v>9178</c:v>
                </c:pt>
                <c:pt idx="1">
                  <c:v>8320</c:v>
                </c:pt>
                <c:pt idx="2">
                  <c:v>7451</c:v>
                </c:pt>
                <c:pt idx="3">
                  <c:v>6664</c:v>
                </c:pt>
                <c:pt idx="4">
                  <c:v>5957</c:v>
                </c:pt>
                <c:pt idx="5">
                  <c:v>5504</c:v>
                </c:pt>
                <c:pt idx="6">
                  <c:v>5247</c:v>
                </c:pt>
                <c:pt idx="7">
                  <c:v>4849</c:v>
                </c:pt>
                <c:pt idx="8">
                  <c:v>4339</c:v>
                </c:pt>
              </c:numCache>
            </c:numRef>
          </c:val>
          <c:extLst>
            <c:ext xmlns:c16="http://schemas.microsoft.com/office/drawing/2014/chart" uri="{C3380CC4-5D6E-409C-BE32-E72D297353CC}">
              <c16:uniqueId val="{00000003-308A-44ED-B72C-DB6480F15BE5}"/>
            </c:ext>
          </c:extLst>
        </c:ser>
        <c:ser>
          <c:idx val="1"/>
          <c:order val="1"/>
          <c:tx>
            <c:strRef>
              <c:f>'Table 7'!$L$43</c:f>
              <c:strCache>
                <c:ptCount val="1"/>
                <c:pt idx="0">
                  <c:v>Observed (on OAT in preceding 4 years)</c:v>
                </c:pt>
              </c:strCache>
            </c:strRef>
          </c:tx>
          <c:spPr>
            <a:solidFill>
              <a:srgbClr val="ECEBF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7'!$C$13:$C$21</c:f>
              <c:numCache>
                <c:formatCode>#,##0</c:formatCode>
                <c:ptCount val="9"/>
                <c:pt idx="0">
                  <c:v>2349</c:v>
                </c:pt>
                <c:pt idx="1">
                  <c:v>2041</c:v>
                </c:pt>
                <c:pt idx="2">
                  <c:v>1701</c:v>
                </c:pt>
                <c:pt idx="3">
                  <c:v>1501</c:v>
                </c:pt>
                <c:pt idx="4">
                  <c:v>1407</c:v>
                </c:pt>
                <c:pt idx="5">
                  <c:v>1324</c:v>
                </c:pt>
                <c:pt idx="6">
                  <c:v>1231</c:v>
                </c:pt>
                <c:pt idx="7">
                  <c:v>1162</c:v>
                </c:pt>
                <c:pt idx="8">
                  <c:v>1156</c:v>
                </c:pt>
              </c:numCache>
            </c:numRef>
          </c:val>
          <c:extLst>
            <c:ext xmlns:c16="http://schemas.microsoft.com/office/drawing/2014/chart" uri="{C3380CC4-5D6E-409C-BE32-E72D297353CC}">
              <c16:uniqueId val="{00000004-308A-44ED-B72C-DB6480F15BE5}"/>
            </c:ext>
          </c:extLst>
        </c:ser>
        <c:ser>
          <c:idx val="2"/>
          <c:order val="2"/>
          <c:tx>
            <c:strRef>
              <c:f>'Table 7'!$L$44</c:f>
              <c:strCache>
                <c:ptCount val="1"/>
                <c:pt idx="0">
                  <c:v>Unobserved (not on OAT this year or preceeding 4 years)</c:v>
                </c:pt>
              </c:strCache>
            </c:strRef>
          </c:tx>
          <c:spPr>
            <a:solidFill>
              <a:srgbClr val="9F9BC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7'!$D$13:$D$21</c:f>
              <c:numCache>
                <c:formatCode>#,##0</c:formatCode>
                <c:ptCount val="9"/>
                <c:pt idx="0">
                  <c:v>5573</c:v>
                </c:pt>
                <c:pt idx="1">
                  <c:v>5039</c:v>
                </c:pt>
                <c:pt idx="2">
                  <c:v>4448</c:v>
                </c:pt>
                <c:pt idx="3">
                  <c:v>3935</c:v>
                </c:pt>
                <c:pt idx="4">
                  <c:v>4236</c:v>
                </c:pt>
                <c:pt idx="5">
                  <c:v>5172</c:v>
                </c:pt>
                <c:pt idx="6">
                  <c:v>5322</c:v>
                </c:pt>
                <c:pt idx="7">
                  <c:v>4489</c:v>
                </c:pt>
                <c:pt idx="8">
                  <c:v>3405</c:v>
                </c:pt>
              </c:numCache>
            </c:numRef>
          </c:val>
          <c:extLst>
            <c:ext xmlns:c16="http://schemas.microsoft.com/office/drawing/2014/chart" uri="{C3380CC4-5D6E-409C-BE32-E72D297353CC}">
              <c16:uniqueId val="{00000005-308A-44ED-B72C-DB6480F15BE5}"/>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layout>
            <c:manualLayout>
              <c:xMode val="edge"/>
              <c:yMode val="edge"/>
              <c:x val="1.5524506065734555E-2"/>
              <c:y val="0.46895604492729542"/>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7131635849878796"/>
          <c:y val="0.85648595456302068"/>
          <c:w val="0.80045666459909459"/>
          <c:h val="2.7045910124197034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7'!$AT$3</c:f>
          <c:strCache>
            <c:ptCount val="1"/>
            <c:pt idx="0">
              <c:v>35-49 year olds: Estimated OAT composition in Scotland</c:v>
            </c:pt>
          </c:strCache>
        </c:strRef>
      </c:tx>
      <c:layout>
        <c:manualLayout>
          <c:xMode val="edge"/>
          <c:yMode val="edge"/>
          <c:x val="0.38444754848959312"/>
          <c:y val="5.1426964111235762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590541627593809"/>
          <c:y val="0.12853891887989441"/>
          <c:w val="0.81374675750828496"/>
          <c:h val="0.66113752946734428"/>
        </c:manualLayout>
      </c:layout>
      <c:barChart>
        <c:barDir val="col"/>
        <c:grouping val="stacked"/>
        <c:varyColors val="0"/>
        <c:ser>
          <c:idx val="0"/>
          <c:order val="0"/>
          <c:tx>
            <c:strRef>
              <c:f>'Table 7'!$L$42</c:f>
              <c:strCache>
                <c:ptCount val="1"/>
                <c:pt idx="0">
                  <c:v>Observed (on OAT in year)</c:v>
                </c:pt>
              </c:strCache>
            </c:strRef>
          </c:tx>
          <c:spPr>
            <a:solidFill>
              <a:srgbClr val="83BB2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7'!$E$13:$E$21</c:f>
              <c:numCache>
                <c:formatCode>#,##0</c:formatCode>
                <c:ptCount val="9"/>
                <c:pt idx="0">
                  <c:v>17053</c:v>
                </c:pt>
                <c:pt idx="1">
                  <c:v>17908</c:v>
                </c:pt>
                <c:pt idx="2">
                  <c:v>18654</c:v>
                </c:pt>
                <c:pt idx="3">
                  <c:v>19073</c:v>
                </c:pt>
                <c:pt idx="4">
                  <c:v>18895</c:v>
                </c:pt>
                <c:pt idx="5">
                  <c:v>18526</c:v>
                </c:pt>
                <c:pt idx="6">
                  <c:v>18303</c:v>
                </c:pt>
                <c:pt idx="7">
                  <c:v>18093</c:v>
                </c:pt>
                <c:pt idx="8">
                  <c:v>17291</c:v>
                </c:pt>
              </c:numCache>
            </c:numRef>
          </c:val>
          <c:extLst>
            <c:ext xmlns:c16="http://schemas.microsoft.com/office/drawing/2014/chart" uri="{C3380CC4-5D6E-409C-BE32-E72D297353CC}">
              <c16:uniqueId val="{00000003-308A-44ED-B72C-DB6480F15BE5}"/>
            </c:ext>
          </c:extLst>
        </c:ser>
        <c:ser>
          <c:idx val="1"/>
          <c:order val="1"/>
          <c:tx>
            <c:strRef>
              <c:f>'Table 7'!$L$43</c:f>
              <c:strCache>
                <c:ptCount val="1"/>
                <c:pt idx="0">
                  <c:v>Observed (on OAT in preceding 4 years)</c:v>
                </c:pt>
              </c:strCache>
            </c:strRef>
          </c:tx>
          <c:spPr>
            <a:solidFill>
              <a:srgbClr val="F3F8E9"/>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7'!$F$13:$F$21</c:f>
              <c:numCache>
                <c:formatCode>#,##0</c:formatCode>
                <c:ptCount val="9"/>
                <c:pt idx="0">
                  <c:v>3864</c:v>
                </c:pt>
                <c:pt idx="1">
                  <c:v>3793</c:v>
                </c:pt>
                <c:pt idx="2">
                  <c:v>3731</c:v>
                </c:pt>
                <c:pt idx="3">
                  <c:v>3673</c:v>
                </c:pt>
                <c:pt idx="4">
                  <c:v>3679</c:v>
                </c:pt>
                <c:pt idx="5">
                  <c:v>3718</c:v>
                </c:pt>
                <c:pt idx="6">
                  <c:v>3620</c:v>
                </c:pt>
                <c:pt idx="7">
                  <c:v>3169</c:v>
                </c:pt>
                <c:pt idx="8">
                  <c:v>3212</c:v>
                </c:pt>
              </c:numCache>
            </c:numRef>
          </c:val>
          <c:extLst>
            <c:ext xmlns:c16="http://schemas.microsoft.com/office/drawing/2014/chart" uri="{C3380CC4-5D6E-409C-BE32-E72D297353CC}">
              <c16:uniqueId val="{00000004-308A-44ED-B72C-DB6480F15BE5}"/>
            </c:ext>
          </c:extLst>
        </c:ser>
        <c:ser>
          <c:idx val="2"/>
          <c:order val="2"/>
          <c:tx>
            <c:strRef>
              <c:f>'Table 7'!$L$44</c:f>
              <c:strCache>
                <c:ptCount val="1"/>
                <c:pt idx="0">
                  <c:v>Unobserved (not on OAT this year or preceeding 4 years)</c:v>
                </c:pt>
              </c:strCache>
            </c:strRef>
          </c:tx>
          <c:spPr>
            <a:solidFill>
              <a:srgbClr val="C1DD9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7'!$G$13:$G$21</c:f>
              <c:numCache>
                <c:formatCode>#,##0</c:formatCode>
                <c:ptCount val="9"/>
                <c:pt idx="0">
                  <c:v>6083</c:v>
                </c:pt>
                <c:pt idx="1">
                  <c:v>5299</c:v>
                </c:pt>
                <c:pt idx="2">
                  <c:v>4915</c:v>
                </c:pt>
                <c:pt idx="3">
                  <c:v>4254</c:v>
                </c:pt>
                <c:pt idx="4">
                  <c:v>4426</c:v>
                </c:pt>
                <c:pt idx="5">
                  <c:v>5456</c:v>
                </c:pt>
                <c:pt idx="6">
                  <c:v>5577</c:v>
                </c:pt>
                <c:pt idx="7">
                  <c:v>4838</c:v>
                </c:pt>
                <c:pt idx="8">
                  <c:v>3697</c:v>
                </c:pt>
              </c:numCache>
            </c:numRef>
          </c:val>
          <c:extLst>
            <c:ext xmlns:c16="http://schemas.microsoft.com/office/drawing/2014/chart" uri="{C3380CC4-5D6E-409C-BE32-E72D297353CC}">
              <c16:uniqueId val="{00000005-308A-44ED-B72C-DB6480F15BE5}"/>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7813403092953395"/>
          <c:y val="0.8479808339927466"/>
          <c:w val="0.79989007749388541"/>
          <c:h val="2.4892545882171106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7'!$AT$4</c:f>
          <c:strCache>
            <c:ptCount val="1"/>
            <c:pt idx="0">
              <c:v>50-64 year olds: Estimated OAT composition in Scotland</c:v>
            </c:pt>
          </c:strCache>
        </c:strRef>
      </c:tx>
      <c:layout>
        <c:manualLayout>
          <c:xMode val="edge"/>
          <c:yMode val="edge"/>
          <c:x val="0.39850105241313888"/>
          <c:y val="5.7501926163602793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600475809320526"/>
          <c:y val="0.11573766487200431"/>
          <c:w val="0.81364157180125696"/>
          <c:h val="0.67427909477012915"/>
        </c:manualLayout>
      </c:layout>
      <c:barChart>
        <c:barDir val="col"/>
        <c:grouping val="stacked"/>
        <c:varyColors val="0"/>
        <c:ser>
          <c:idx val="0"/>
          <c:order val="0"/>
          <c:tx>
            <c:strRef>
              <c:f>'Table 7'!$L$42</c:f>
              <c:strCache>
                <c:ptCount val="1"/>
                <c:pt idx="0">
                  <c:v>Observed (on OAT in year)</c:v>
                </c:pt>
              </c:strCache>
            </c:strRef>
          </c:tx>
          <c:spPr>
            <a:solidFill>
              <a:srgbClr val="A9A4B5"/>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7'!$H$13:$H$21</c:f>
              <c:numCache>
                <c:formatCode>#,##0</c:formatCode>
                <c:ptCount val="9"/>
                <c:pt idx="0">
                  <c:v>2129</c:v>
                </c:pt>
                <c:pt idx="1">
                  <c:v>2590</c:v>
                </c:pt>
                <c:pt idx="2">
                  <c:v>3115</c:v>
                </c:pt>
                <c:pt idx="3">
                  <c:v>3644</c:v>
                </c:pt>
                <c:pt idx="4">
                  <c:v>4220</c:v>
                </c:pt>
                <c:pt idx="5">
                  <c:v>4835</c:v>
                </c:pt>
                <c:pt idx="6">
                  <c:v>5501</c:v>
                </c:pt>
                <c:pt idx="7">
                  <c:v>6270</c:v>
                </c:pt>
                <c:pt idx="8">
                  <c:v>6946</c:v>
                </c:pt>
              </c:numCache>
            </c:numRef>
          </c:val>
          <c:extLst>
            <c:ext xmlns:c16="http://schemas.microsoft.com/office/drawing/2014/chart" uri="{C3380CC4-5D6E-409C-BE32-E72D297353CC}">
              <c16:uniqueId val="{00000003-308A-44ED-B72C-DB6480F15BE5}"/>
            </c:ext>
          </c:extLst>
        </c:ser>
        <c:ser>
          <c:idx val="1"/>
          <c:order val="1"/>
          <c:tx>
            <c:strRef>
              <c:f>'Table 7'!$L$43</c:f>
              <c:strCache>
                <c:ptCount val="1"/>
                <c:pt idx="0">
                  <c:v>Observed (on OAT in preceding 4 years)</c:v>
                </c:pt>
              </c:strCache>
            </c:strRef>
          </c:tx>
          <c:spPr>
            <a:solidFill>
              <a:srgbClr val="F4F4F6"/>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7'!$I$13:$I$21</c:f>
              <c:numCache>
                <c:formatCode>#,##0</c:formatCode>
                <c:ptCount val="9"/>
                <c:pt idx="0">
                  <c:v>2129</c:v>
                </c:pt>
                <c:pt idx="1">
                  <c:v>2590</c:v>
                </c:pt>
                <c:pt idx="2">
                  <c:v>3115</c:v>
                </c:pt>
                <c:pt idx="3">
                  <c:v>3644</c:v>
                </c:pt>
                <c:pt idx="4">
                  <c:v>4220</c:v>
                </c:pt>
                <c:pt idx="5">
                  <c:v>4835</c:v>
                </c:pt>
                <c:pt idx="6">
                  <c:v>5501</c:v>
                </c:pt>
                <c:pt idx="7">
                  <c:v>6270</c:v>
                </c:pt>
                <c:pt idx="8">
                  <c:v>6946</c:v>
                </c:pt>
              </c:numCache>
            </c:numRef>
          </c:val>
          <c:extLst>
            <c:ext xmlns:c16="http://schemas.microsoft.com/office/drawing/2014/chart" uri="{C3380CC4-5D6E-409C-BE32-E72D297353CC}">
              <c16:uniqueId val="{00000004-308A-44ED-B72C-DB6480F15BE5}"/>
            </c:ext>
          </c:extLst>
        </c:ser>
        <c:ser>
          <c:idx val="2"/>
          <c:order val="2"/>
          <c:tx>
            <c:strRef>
              <c:f>'Table 7'!$L$44</c:f>
              <c:strCache>
                <c:ptCount val="1"/>
                <c:pt idx="0">
                  <c:v>Unobserved (not on OAT this year or preceeding 4 years)</c:v>
                </c:pt>
              </c:strCache>
            </c:strRef>
          </c:tx>
          <c:spPr>
            <a:solidFill>
              <a:srgbClr val="CAC6D1"/>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7'!$A$13:$A$21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7'!$J$13:$J$21</c:f>
              <c:numCache>
                <c:formatCode>#,##0</c:formatCode>
                <c:ptCount val="9"/>
                <c:pt idx="0">
                  <c:v>1842</c:v>
                </c:pt>
                <c:pt idx="1">
                  <c:v>1731</c:v>
                </c:pt>
                <c:pt idx="2">
                  <c:v>1830</c:v>
                </c:pt>
                <c:pt idx="3">
                  <c:v>1154</c:v>
                </c:pt>
                <c:pt idx="4">
                  <c:v>1593</c:v>
                </c:pt>
                <c:pt idx="5">
                  <c:v>1535</c:v>
                </c:pt>
                <c:pt idx="6">
                  <c:v>2202</c:v>
                </c:pt>
                <c:pt idx="7">
                  <c:v>2159</c:v>
                </c:pt>
                <c:pt idx="8">
                  <c:v>2179</c:v>
                </c:pt>
              </c:numCache>
            </c:numRef>
          </c:val>
          <c:extLst>
            <c:ext xmlns:c16="http://schemas.microsoft.com/office/drawing/2014/chart" uri="{C3380CC4-5D6E-409C-BE32-E72D297353CC}">
              <c16:uniqueId val="{00000005-308A-44ED-B72C-DB6480F15BE5}"/>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6107331317443377"/>
          <c:y val="0.84452505816771339"/>
          <c:w val="0.8003418119293253"/>
          <c:h val="2.6390516558970036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7'!$AN$2</c:f>
          <c:strCache>
            <c:ptCount val="1"/>
            <c:pt idx="0">
              <c:v>15-34 year olds: Estimated % OAT exposure in Scotland</c:v>
            </c:pt>
          </c:strCache>
        </c:strRef>
      </c:tx>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0746689087243536"/>
          <c:y val="6.6878938582005887E-2"/>
          <c:w val="0.78146107108942409"/>
          <c:h val="0.75908824176215572"/>
        </c:manualLayout>
      </c:layout>
      <c:barChart>
        <c:barDir val="col"/>
        <c:grouping val="clustered"/>
        <c:varyColors val="0"/>
        <c:ser>
          <c:idx val="0"/>
          <c:order val="0"/>
          <c:tx>
            <c:strRef>
              <c:f>'Table 7'!$B$26</c:f>
              <c:strCache>
                <c:ptCount val="1"/>
                <c:pt idx="0">
                  <c:v>15-34</c:v>
                </c:pt>
              </c:strCache>
            </c:strRef>
          </c:tx>
          <c:spPr>
            <a:solidFill>
              <a:srgbClr val="3F3685"/>
            </a:solidFill>
            <a:ln>
              <a:noFill/>
            </a:ln>
            <a:effectLst/>
          </c:spPr>
          <c:invertIfNegative val="0"/>
          <c:errBars>
            <c:errBarType val="both"/>
            <c:errValType val="cust"/>
            <c:noEndCap val="0"/>
            <c:plus>
              <c:numRef>
                <c:f>'Table 7'!$L$28:$L$36</c:f>
                <c:numCache>
                  <c:formatCode>General</c:formatCode>
                  <c:ptCount val="9"/>
                  <c:pt idx="0">
                    <c:v>2.9999999999999916E-2</c:v>
                  </c:pt>
                  <c:pt idx="1">
                    <c:v>2.9999999999999916E-2</c:v>
                  </c:pt>
                  <c:pt idx="2">
                    <c:v>2.9999999999999916E-2</c:v>
                  </c:pt>
                  <c:pt idx="3">
                    <c:v>2.9999999999999916E-2</c:v>
                  </c:pt>
                  <c:pt idx="4">
                    <c:v>3.0000000000000027E-2</c:v>
                  </c:pt>
                  <c:pt idx="5">
                    <c:v>2.9999999999999971E-2</c:v>
                  </c:pt>
                  <c:pt idx="6">
                    <c:v>2.9999999999999971E-2</c:v>
                  </c:pt>
                  <c:pt idx="7">
                    <c:v>2.9999999999999971E-2</c:v>
                  </c:pt>
                  <c:pt idx="8">
                    <c:v>4.0000000000000036E-2</c:v>
                  </c:pt>
                </c:numCache>
              </c:numRef>
            </c:plus>
            <c:minus>
              <c:numRef>
                <c:f>'Table 7'!$M$28:$M$36</c:f>
                <c:numCache>
                  <c:formatCode>General</c:formatCode>
                  <c:ptCount val="9"/>
                  <c:pt idx="0">
                    <c:v>4.0000000000000036E-2</c:v>
                  </c:pt>
                  <c:pt idx="1">
                    <c:v>3.0000000000000027E-2</c:v>
                  </c:pt>
                  <c:pt idx="2">
                    <c:v>3.0000000000000027E-2</c:v>
                  </c:pt>
                  <c:pt idx="3">
                    <c:v>3.0000000000000027E-2</c:v>
                  </c:pt>
                  <c:pt idx="4">
                    <c:v>2.0000000000000018E-2</c:v>
                  </c:pt>
                  <c:pt idx="5">
                    <c:v>3.0000000000000027E-2</c:v>
                  </c:pt>
                  <c:pt idx="6">
                    <c:v>3.0000000000000027E-2</c:v>
                  </c:pt>
                  <c:pt idx="7">
                    <c:v>3.0000000000000027E-2</c:v>
                  </c:pt>
                  <c:pt idx="8">
                    <c:v>3.999999999999998E-2</c:v>
                  </c:pt>
                </c:numCache>
              </c:numRef>
            </c:minus>
            <c:spPr>
              <a:noFill/>
              <a:ln w="19050" cap="flat" cmpd="sng" algn="ctr">
                <a:solidFill>
                  <a:schemeClr val="tx1"/>
                </a:solidFill>
                <a:round/>
              </a:ln>
              <a:effectLst/>
            </c:spPr>
          </c:errBars>
          <c:cat>
            <c:strRef>
              <c:f>'Table 7'!$A$28:$A$36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7'!$C$28:$C$36</c:f>
              <c:numCache>
                <c:formatCode>0%</c:formatCode>
                <c:ptCount val="9"/>
                <c:pt idx="0">
                  <c:v>0.54</c:v>
                </c:pt>
                <c:pt idx="1">
                  <c:v>0.54</c:v>
                </c:pt>
                <c:pt idx="2">
                  <c:v>0.55000000000000004</c:v>
                </c:pt>
                <c:pt idx="3">
                  <c:v>0.55000000000000004</c:v>
                </c:pt>
                <c:pt idx="4">
                  <c:v>0.51</c:v>
                </c:pt>
                <c:pt idx="5">
                  <c:v>0.46</c:v>
                </c:pt>
                <c:pt idx="6">
                  <c:v>0.44</c:v>
                </c:pt>
                <c:pt idx="7">
                  <c:v>0.46</c:v>
                </c:pt>
                <c:pt idx="8">
                  <c:v>0.49</c:v>
                </c:pt>
              </c:numCache>
            </c:numRef>
          </c:val>
          <c:extLst>
            <c:ext xmlns:c16="http://schemas.microsoft.com/office/drawing/2014/chart" uri="{C3380CC4-5D6E-409C-BE32-E72D297353CC}">
              <c16:uniqueId val="{00000000-03EC-4794-B58B-26EE5175F08D}"/>
            </c:ext>
          </c:extLst>
        </c:ser>
        <c:dLbls>
          <c:showLegendKey val="0"/>
          <c:showVal val="0"/>
          <c:showCatName val="0"/>
          <c:showSerName val="0"/>
          <c:showPercent val="0"/>
          <c:showBubbleSize val="0"/>
        </c:dLbls>
        <c:gapWidth val="50"/>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 estimated </a:t>
                </a:r>
              </a:p>
              <a:p>
                <a:pPr>
                  <a:defRPr/>
                </a:pPr>
                <a:r>
                  <a:rPr lang="en-GB"/>
                  <a:t>OAT exposure</a:t>
                </a:r>
              </a:p>
            </c:rich>
          </c:tx>
          <c:layout>
            <c:manualLayout>
              <c:xMode val="edge"/>
              <c:yMode val="edge"/>
              <c:x val="4.5687964170061823E-2"/>
              <c:y val="0.45663317558329608"/>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7'!$AN$3</c:f>
          <c:strCache>
            <c:ptCount val="1"/>
            <c:pt idx="0">
              <c:v>35-49 year olds: Estimated % OAT exposure in Scotland</c:v>
            </c:pt>
          </c:strCache>
        </c:strRef>
      </c:tx>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5186191620031506"/>
          <c:y val="6.6324162193224664E-2"/>
          <c:w val="0.83706253029494571"/>
          <c:h val="0.78066702173882574"/>
        </c:manualLayout>
      </c:layout>
      <c:barChart>
        <c:barDir val="col"/>
        <c:grouping val="clustered"/>
        <c:varyColors val="0"/>
        <c:ser>
          <c:idx val="1"/>
          <c:order val="0"/>
          <c:tx>
            <c:strRef>
              <c:f>'Table 7'!$E$26</c:f>
              <c:strCache>
                <c:ptCount val="1"/>
                <c:pt idx="0">
                  <c:v>35-49</c:v>
                </c:pt>
              </c:strCache>
            </c:strRef>
          </c:tx>
          <c:spPr>
            <a:solidFill>
              <a:srgbClr val="83BB26"/>
            </a:solidFill>
            <a:ln>
              <a:noFill/>
            </a:ln>
            <a:effectLst/>
          </c:spPr>
          <c:invertIfNegative val="0"/>
          <c:errBars>
            <c:errBarType val="both"/>
            <c:errValType val="cust"/>
            <c:noEndCap val="0"/>
            <c:plus>
              <c:numRef>
                <c:f>'Table 7'!$N$28:$N$36</c:f>
                <c:numCache>
                  <c:formatCode>General</c:formatCode>
                  <c:ptCount val="9"/>
                  <c:pt idx="0">
                    <c:v>3.0000000000000027E-2</c:v>
                  </c:pt>
                  <c:pt idx="1">
                    <c:v>2.9999999999999916E-2</c:v>
                  </c:pt>
                  <c:pt idx="2">
                    <c:v>2.9999999999999916E-2</c:v>
                  </c:pt>
                  <c:pt idx="3">
                    <c:v>2.0000000000000018E-2</c:v>
                  </c:pt>
                  <c:pt idx="4">
                    <c:v>2.0000000000000018E-2</c:v>
                  </c:pt>
                  <c:pt idx="5">
                    <c:v>1.9999999999999907E-2</c:v>
                  </c:pt>
                  <c:pt idx="6">
                    <c:v>1.9999999999999907E-2</c:v>
                  </c:pt>
                  <c:pt idx="7">
                    <c:v>3.0000000000000027E-2</c:v>
                  </c:pt>
                  <c:pt idx="8">
                    <c:v>3.0000000000000027E-2</c:v>
                  </c:pt>
                </c:numCache>
              </c:numRef>
            </c:plus>
            <c:minus>
              <c:numRef>
                <c:f>'Table 7'!$O$28:$O$36</c:f>
                <c:numCache>
                  <c:formatCode>General</c:formatCode>
                  <c:ptCount val="9"/>
                  <c:pt idx="0">
                    <c:v>3.0000000000000027E-2</c:v>
                  </c:pt>
                  <c:pt idx="1">
                    <c:v>2.0000000000000018E-2</c:v>
                  </c:pt>
                  <c:pt idx="2">
                    <c:v>2.0000000000000018E-2</c:v>
                  </c:pt>
                  <c:pt idx="3">
                    <c:v>2.0000000000000018E-2</c:v>
                  </c:pt>
                  <c:pt idx="4">
                    <c:v>1.9999999999999907E-2</c:v>
                  </c:pt>
                  <c:pt idx="5">
                    <c:v>2.0000000000000018E-2</c:v>
                  </c:pt>
                  <c:pt idx="6">
                    <c:v>2.0000000000000018E-2</c:v>
                  </c:pt>
                  <c:pt idx="7">
                    <c:v>1.9999999999999907E-2</c:v>
                  </c:pt>
                  <c:pt idx="8">
                    <c:v>2.0000000000000018E-2</c:v>
                  </c:pt>
                </c:numCache>
              </c:numRef>
            </c:minus>
            <c:spPr>
              <a:noFill/>
              <a:ln w="19050" cap="flat" cmpd="sng" algn="ctr">
                <a:solidFill>
                  <a:schemeClr val="tx1"/>
                </a:solidFill>
                <a:round/>
              </a:ln>
              <a:effectLst/>
            </c:spPr>
          </c:errBars>
          <c:cat>
            <c:strRef>
              <c:f>'Table 7'!$A$28:$A$36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7'!$F$28:$F$36</c:f>
              <c:numCache>
                <c:formatCode>0%</c:formatCode>
                <c:ptCount val="9"/>
                <c:pt idx="0">
                  <c:v>0.63</c:v>
                </c:pt>
                <c:pt idx="1">
                  <c:v>0.66</c:v>
                </c:pt>
                <c:pt idx="2">
                  <c:v>0.68</c:v>
                </c:pt>
                <c:pt idx="3">
                  <c:v>0.71</c:v>
                </c:pt>
                <c:pt idx="4">
                  <c:v>0.7</c:v>
                </c:pt>
                <c:pt idx="5">
                  <c:v>0.67</c:v>
                </c:pt>
                <c:pt idx="6">
                  <c:v>0.67</c:v>
                </c:pt>
                <c:pt idx="7">
                  <c:v>0.69</c:v>
                </c:pt>
                <c:pt idx="8">
                  <c:v>0.71</c:v>
                </c:pt>
              </c:numCache>
            </c:numRef>
          </c:val>
          <c:extLst>
            <c:ext xmlns:c16="http://schemas.microsoft.com/office/drawing/2014/chart" uri="{C3380CC4-5D6E-409C-BE32-E72D297353CC}">
              <c16:uniqueId val="{00000000-99E0-4007-B159-6F7E316E57EA}"/>
            </c:ext>
          </c:extLst>
        </c:ser>
        <c:dLbls>
          <c:showLegendKey val="0"/>
          <c:showVal val="0"/>
          <c:showCatName val="0"/>
          <c:showSerName val="0"/>
          <c:showPercent val="0"/>
          <c:showBubbleSize val="0"/>
        </c:dLbls>
        <c:gapWidth val="50"/>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 estimated</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OAT expsoure</a:t>
                </a:r>
              </a:p>
            </c:rich>
          </c:tx>
          <c:layout>
            <c:manualLayout>
              <c:xMode val="edge"/>
              <c:yMode val="edge"/>
              <c:x val="8.7263185998007215E-3"/>
              <c:y val="0.45076753321591312"/>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7'!$AN$4</c:f>
          <c:strCache>
            <c:ptCount val="1"/>
            <c:pt idx="0">
              <c:v>50-64 year olds: Estimated % OAT exposure in Scotland</c:v>
            </c:pt>
          </c:strCache>
        </c:strRef>
      </c:tx>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4417043026360249"/>
          <c:y val="6.605872181092444E-2"/>
          <c:w val="0.84474896927413734"/>
          <c:h val="0.79750100825463555"/>
        </c:manualLayout>
      </c:layout>
      <c:barChart>
        <c:barDir val="col"/>
        <c:grouping val="clustered"/>
        <c:varyColors val="0"/>
        <c:ser>
          <c:idx val="2"/>
          <c:order val="0"/>
          <c:tx>
            <c:strRef>
              <c:f>'Table 7'!$H$26</c:f>
              <c:strCache>
                <c:ptCount val="1"/>
                <c:pt idx="0">
                  <c:v>50-64</c:v>
                </c:pt>
              </c:strCache>
            </c:strRef>
          </c:tx>
          <c:spPr>
            <a:solidFill>
              <a:schemeClr val="accent3"/>
            </a:solidFill>
            <a:ln>
              <a:noFill/>
            </a:ln>
            <a:effectLst/>
          </c:spPr>
          <c:invertIfNegative val="0"/>
          <c:errBars>
            <c:errBarType val="both"/>
            <c:errValType val="cust"/>
            <c:noEndCap val="0"/>
            <c:plus>
              <c:numRef>
                <c:f>'Table 7'!$P$28:$P$36</c:f>
                <c:numCache>
                  <c:formatCode>General</c:formatCode>
                  <c:ptCount val="9"/>
                  <c:pt idx="0">
                    <c:v>7.0000000000000007E-2</c:v>
                  </c:pt>
                  <c:pt idx="1">
                    <c:v>5.9999999999999942E-2</c:v>
                  </c:pt>
                  <c:pt idx="2">
                    <c:v>4.9999999999999933E-2</c:v>
                  </c:pt>
                  <c:pt idx="3">
                    <c:v>3.9999999999999925E-2</c:v>
                  </c:pt>
                  <c:pt idx="4">
                    <c:v>4.0000000000000036E-2</c:v>
                  </c:pt>
                  <c:pt idx="5">
                    <c:v>3.9999999999999925E-2</c:v>
                  </c:pt>
                  <c:pt idx="6">
                    <c:v>3.0000000000000027E-2</c:v>
                  </c:pt>
                  <c:pt idx="7">
                    <c:v>3.9999999999999925E-2</c:v>
                  </c:pt>
                  <c:pt idx="8">
                    <c:v>4.9999999999999933E-2</c:v>
                  </c:pt>
                </c:numCache>
              </c:numRef>
            </c:plus>
            <c:minus>
              <c:numRef>
                <c:f>'Table 7'!$Q$28:$Q$36</c:f>
                <c:numCache>
                  <c:formatCode>General</c:formatCode>
                  <c:ptCount val="9"/>
                  <c:pt idx="0">
                    <c:v>5.0000000000000044E-2</c:v>
                  </c:pt>
                  <c:pt idx="1">
                    <c:v>5.0000000000000044E-2</c:v>
                  </c:pt>
                  <c:pt idx="2">
                    <c:v>6.0000000000000053E-2</c:v>
                  </c:pt>
                  <c:pt idx="3">
                    <c:v>4.0000000000000036E-2</c:v>
                  </c:pt>
                  <c:pt idx="4">
                    <c:v>4.0000000000000036E-2</c:v>
                  </c:pt>
                  <c:pt idx="5">
                    <c:v>4.0000000000000036E-2</c:v>
                  </c:pt>
                  <c:pt idx="6">
                    <c:v>4.0000000000000036E-2</c:v>
                  </c:pt>
                  <c:pt idx="7">
                    <c:v>4.0000000000000036E-2</c:v>
                  </c:pt>
                  <c:pt idx="8">
                    <c:v>4.0000000000000036E-2</c:v>
                  </c:pt>
                </c:numCache>
              </c:numRef>
            </c:minus>
            <c:spPr>
              <a:noFill/>
              <a:ln w="19050" cap="flat" cmpd="sng" algn="ctr">
                <a:solidFill>
                  <a:schemeClr val="tx1"/>
                </a:solidFill>
                <a:round/>
              </a:ln>
              <a:effectLst/>
            </c:spPr>
          </c:errBars>
          <c:cat>
            <c:strRef>
              <c:f>'Table 7'!$A$28:$A$36</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7'!$I$28:$I$36</c:f>
              <c:numCache>
                <c:formatCode>0%</c:formatCode>
                <c:ptCount val="9"/>
                <c:pt idx="0">
                  <c:v>0.46</c:v>
                </c:pt>
                <c:pt idx="1">
                  <c:v>0.52</c:v>
                </c:pt>
                <c:pt idx="2">
                  <c:v>0.55000000000000004</c:v>
                </c:pt>
                <c:pt idx="3">
                  <c:v>0.65</c:v>
                </c:pt>
                <c:pt idx="4">
                  <c:v>0.63</c:v>
                </c:pt>
                <c:pt idx="5">
                  <c:v>0.65</c:v>
                </c:pt>
                <c:pt idx="6">
                  <c:v>0.63</c:v>
                </c:pt>
                <c:pt idx="7">
                  <c:v>0.66</c:v>
                </c:pt>
                <c:pt idx="8">
                  <c:v>0.67</c:v>
                </c:pt>
              </c:numCache>
            </c:numRef>
          </c:val>
          <c:extLst>
            <c:ext xmlns:c16="http://schemas.microsoft.com/office/drawing/2014/chart" uri="{C3380CC4-5D6E-409C-BE32-E72D297353CC}">
              <c16:uniqueId val="{00000000-B644-4FF8-8F3E-1B86DBD8EEAE}"/>
            </c:ext>
          </c:extLst>
        </c:ser>
        <c:dLbls>
          <c:showLegendKey val="0"/>
          <c:showVal val="0"/>
          <c:showCatName val="0"/>
          <c:showSerName val="0"/>
          <c:showPercent val="0"/>
          <c:showBubbleSize val="0"/>
        </c:dLbls>
        <c:gapWidth val="50"/>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 estimated </a:t>
                </a:r>
              </a:p>
              <a:p>
                <a:pPr>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OAT exposure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8'!$AS$20</c:f>
          <c:strCache>
            <c:ptCount val="1"/>
            <c:pt idx="0">
              <c:v>Males, 15-34 year olds: Estimated OAT composition in Scotland</c:v>
            </c:pt>
          </c:strCache>
        </c:strRef>
      </c:tx>
      <c:layout>
        <c:manualLayout>
          <c:xMode val="edge"/>
          <c:yMode val="edge"/>
          <c:x val="0.39195941887478442"/>
          <c:y val="4.6015476417792987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0.1873574648177064"/>
          <c:y val="0.12718883000276696"/>
          <c:w val="0.73911773652903856"/>
          <c:h val="0.68242863160742373"/>
        </c:manualLayout>
      </c:layout>
      <c:barChart>
        <c:barDir val="col"/>
        <c:grouping val="stacked"/>
        <c:varyColors val="0"/>
        <c:ser>
          <c:idx val="0"/>
          <c:order val="0"/>
          <c:tx>
            <c:strRef>
              <c:f>'Table 8'!$L$1</c:f>
              <c:strCache>
                <c:ptCount val="1"/>
                <c:pt idx="0">
                  <c:v>Observed (on OAT in year)</c:v>
                </c:pt>
              </c:strCache>
            </c:strRef>
          </c:tx>
          <c:spPr>
            <a:solidFill>
              <a:srgbClr val="0078D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8'!$B$13:$B$21</c:f>
              <c:numCache>
                <c:formatCode>#,##0</c:formatCode>
                <c:ptCount val="9"/>
                <c:pt idx="0">
                  <c:v>5226</c:v>
                </c:pt>
                <c:pt idx="1">
                  <c:v>4765</c:v>
                </c:pt>
                <c:pt idx="2">
                  <c:v>4250</c:v>
                </c:pt>
                <c:pt idx="3">
                  <c:v>3793</c:v>
                </c:pt>
                <c:pt idx="4">
                  <c:v>3433</c:v>
                </c:pt>
                <c:pt idx="5">
                  <c:v>3208</c:v>
                </c:pt>
                <c:pt idx="6">
                  <c:v>3104</c:v>
                </c:pt>
                <c:pt idx="7">
                  <c:v>2951</c:v>
                </c:pt>
                <c:pt idx="8">
                  <c:v>2659</c:v>
                </c:pt>
              </c:numCache>
            </c:numRef>
          </c:val>
          <c:extLst>
            <c:ext xmlns:c16="http://schemas.microsoft.com/office/drawing/2014/chart" uri="{C3380CC4-5D6E-409C-BE32-E72D297353CC}">
              <c16:uniqueId val="{00000000-C970-4B7A-8130-CBE19677A5C6}"/>
            </c:ext>
          </c:extLst>
        </c:ser>
        <c:ser>
          <c:idx val="2"/>
          <c:order val="1"/>
          <c:tx>
            <c:strRef>
              <c:f>'Table 8'!$L$2</c:f>
              <c:strCache>
                <c:ptCount val="1"/>
                <c:pt idx="0">
                  <c:v>Observed (on OAT in preceding 4 years)</c:v>
                </c:pt>
              </c:strCache>
            </c:strRef>
          </c:tx>
          <c:spPr>
            <a:solidFill>
              <a:srgbClr val="E6F2FB"/>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8'!$C$13:$C$21</c:f>
              <c:numCache>
                <c:formatCode>#,##0</c:formatCode>
                <c:ptCount val="9"/>
                <c:pt idx="0">
                  <c:v>1394</c:v>
                </c:pt>
                <c:pt idx="1">
                  <c:v>1186</c:v>
                </c:pt>
                <c:pt idx="2">
                  <c:v>986</c:v>
                </c:pt>
                <c:pt idx="3">
                  <c:v>885</c:v>
                </c:pt>
                <c:pt idx="4">
                  <c:v>843</c:v>
                </c:pt>
                <c:pt idx="5">
                  <c:v>823</c:v>
                </c:pt>
                <c:pt idx="6">
                  <c:v>778</c:v>
                </c:pt>
                <c:pt idx="7">
                  <c:v>730</c:v>
                </c:pt>
                <c:pt idx="8">
                  <c:v>757</c:v>
                </c:pt>
              </c:numCache>
            </c:numRef>
          </c:val>
          <c:extLst>
            <c:ext xmlns:c16="http://schemas.microsoft.com/office/drawing/2014/chart" uri="{C3380CC4-5D6E-409C-BE32-E72D297353CC}">
              <c16:uniqueId val="{00000001-C970-4B7A-8130-CBE19677A5C6}"/>
            </c:ext>
          </c:extLst>
        </c:ser>
        <c:ser>
          <c:idx val="1"/>
          <c:order val="2"/>
          <c:tx>
            <c:strRef>
              <c:f>'Table 8'!$L$3</c:f>
              <c:strCache>
                <c:ptCount val="1"/>
                <c:pt idx="0">
                  <c:v>Unobserved (not on OAT this year or preceeding 4 years)</c:v>
                </c:pt>
              </c:strCache>
            </c:strRef>
          </c:tx>
          <c:spPr>
            <a:solidFill>
              <a:srgbClr val="80BCEA"/>
            </a:solidFill>
            <a:ln>
              <a:noFill/>
            </a:ln>
            <a:effectLst/>
          </c:spPr>
          <c:invertIfNegative val="0"/>
          <c:dLbls>
            <c:delete val="1"/>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8'!$D$13:$D$21</c:f>
              <c:numCache>
                <c:formatCode>#,##0</c:formatCode>
                <c:ptCount val="9"/>
                <c:pt idx="0">
                  <c:v>4080</c:v>
                </c:pt>
                <c:pt idx="1">
                  <c:v>3749</c:v>
                </c:pt>
                <c:pt idx="2">
                  <c:v>3264</c:v>
                </c:pt>
                <c:pt idx="3">
                  <c:v>2922</c:v>
                </c:pt>
                <c:pt idx="4">
                  <c:v>3124</c:v>
                </c:pt>
                <c:pt idx="5">
                  <c:v>3869</c:v>
                </c:pt>
                <c:pt idx="6">
                  <c:v>4018</c:v>
                </c:pt>
                <c:pt idx="7">
                  <c:v>3319</c:v>
                </c:pt>
                <c:pt idx="8">
                  <c:v>2484</c:v>
                </c:pt>
              </c:numCache>
            </c:numRef>
          </c:val>
          <c:extLst>
            <c:ext xmlns:c16="http://schemas.microsoft.com/office/drawing/2014/chart" uri="{C3380CC4-5D6E-409C-BE32-E72D297353CC}">
              <c16:uniqueId val="{00000002-C970-4B7A-8130-CBE19677A5C6}"/>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layout>
            <c:manualLayout>
              <c:xMode val="edge"/>
              <c:yMode val="edge"/>
              <c:x val="1.5985531545088118E-2"/>
              <c:y val="0.4816499096659434"/>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8022399596005997"/>
          <c:y val="0.86737893511017794"/>
          <c:w val="0.74551151931671278"/>
          <c:h val="5.6884242323356912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8'!$AS$21</c:f>
          <c:strCache>
            <c:ptCount val="1"/>
            <c:pt idx="0">
              <c:v>Males, 35-49 year olds: Estimated OAT composition in Scotland</c:v>
            </c:pt>
          </c:strCache>
        </c:strRef>
      </c:tx>
      <c:layout>
        <c:manualLayout>
          <c:xMode val="edge"/>
          <c:yMode val="edge"/>
          <c:x val="0.37815106786740327"/>
          <c:y val="1.5509091191679933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841572145246506"/>
          <c:y val="8.8924821428967918E-2"/>
          <c:w val="0.79868451894163195"/>
          <c:h val="0.67151593352950589"/>
        </c:manualLayout>
      </c:layout>
      <c:barChart>
        <c:barDir val="col"/>
        <c:grouping val="stacked"/>
        <c:varyColors val="0"/>
        <c:ser>
          <c:idx val="0"/>
          <c:order val="0"/>
          <c:tx>
            <c:strRef>
              <c:f>'Table 8'!$AS$29</c:f>
              <c:strCache>
                <c:ptCount val="1"/>
                <c:pt idx="0">
                  <c:v>Observed (on OAT in year)</c:v>
                </c:pt>
              </c:strCache>
            </c:strRef>
          </c:tx>
          <c:spPr>
            <a:solidFill>
              <a:srgbClr val="0078D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8'!$E$13:$E$21</c:f>
              <c:numCache>
                <c:formatCode>#,##0</c:formatCode>
                <c:ptCount val="9"/>
                <c:pt idx="0">
                  <c:v>12104</c:v>
                </c:pt>
                <c:pt idx="1">
                  <c:v>12652</c:v>
                </c:pt>
                <c:pt idx="2">
                  <c:v>13101</c:v>
                </c:pt>
                <c:pt idx="3">
                  <c:v>13307</c:v>
                </c:pt>
                <c:pt idx="4">
                  <c:v>13063</c:v>
                </c:pt>
                <c:pt idx="5">
                  <c:v>12624</c:v>
                </c:pt>
                <c:pt idx="6">
                  <c:v>12339</c:v>
                </c:pt>
                <c:pt idx="7">
                  <c:v>12045</c:v>
                </c:pt>
                <c:pt idx="8">
                  <c:v>11436</c:v>
                </c:pt>
              </c:numCache>
            </c:numRef>
          </c:val>
          <c:extLst>
            <c:ext xmlns:c16="http://schemas.microsoft.com/office/drawing/2014/chart" uri="{C3380CC4-5D6E-409C-BE32-E72D297353CC}">
              <c16:uniqueId val="{00000000-C970-4B7A-8130-CBE19677A5C6}"/>
            </c:ext>
          </c:extLst>
        </c:ser>
        <c:ser>
          <c:idx val="2"/>
          <c:order val="1"/>
          <c:tx>
            <c:strRef>
              <c:f>'Table 8'!$AS$30</c:f>
              <c:strCache>
                <c:ptCount val="1"/>
                <c:pt idx="0">
                  <c:v>Observed (on OAT in preceding 4 years)</c:v>
                </c:pt>
              </c:strCache>
            </c:strRef>
          </c:tx>
          <c:spPr>
            <a:solidFill>
              <a:srgbClr val="E6F2FB"/>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8'!$F$13:$F$21</c:f>
              <c:numCache>
                <c:formatCode>#,##0</c:formatCode>
                <c:ptCount val="9"/>
                <c:pt idx="0">
                  <c:v>2754</c:v>
                </c:pt>
                <c:pt idx="1">
                  <c:v>2616</c:v>
                </c:pt>
                <c:pt idx="2">
                  <c:v>2555</c:v>
                </c:pt>
                <c:pt idx="3">
                  <c:v>2512</c:v>
                </c:pt>
                <c:pt idx="4">
                  <c:v>2503</c:v>
                </c:pt>
                <c:pt idx="5">
                  <c:v>2561</c:v>
                </c:pt>
                <c:pt idx="6">
                  <c:v>2499</c:v>
                </c:pt>
                <c:pt idx="7">
                  <c:v>2176</c:v>
                </c:pt>
                <c:pt idx="8">
                  <c:v>2169</c:v>
                </c:pt>
              </c:numCache>
            </c:numRef>
          </c:val>
          <c:extLst>
            <c:ext xmlns:c16="http://schemas.microsoft.com/office/drawing/2014/chart" uri="{C3380CC4-5D6E-409C-BE32-E72D297353CC}">
              <c16:uniqueId val="{00000001-C970-4B7A-8130-CBE19677A5C6}"/>
            </c:ext>
          </c:extLst>
        </c:ser>
        <c:ser>
          <c:idx val="1"/>
          <c:order val="2"/>
          <c:tx>
            <c:strRef>
              <c:f>'Table 8'!$AS$31</c:f>
              <c:strCache>
                <c:ptCount val="1"/>
                <c:pt idx="0">
                  <c:v>Unobserved (not on OAT this year or preceeding 4 years)</c:v>
                </c:pt>
              </c:strCache>
            </c:strRef>
          </c:tx>
          <c:spPr>
            <a:solidFill>
              <a:srgbClr val="80BCEA"/>
            </a:solidFill>
            <a:ln>
              <a:noFill/>
            </a:ln>
            <a:effectLst/>
          </c:spPr>
          <c:invertIfNegative val="0"/>
          <c:dLbls>
            <c:delete val="1"/>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8'!$G$13:$G$21</c:f>
              <c:numCache>
                <c:formatCode>#,##0</c:formatCode>
                <c:ptCount val="9"/>
                <c:pt idx="0">
                  <c:v>4442</c:v>
                </c:pt>
                <c:pt idx="1">
                  <c:v>3832</c:v>
                </c:pt>
                <c:pt idx="2">
                  <c:v>3544</c:v>
                </c:pt>
                <c:pt idx="3">
                  <c:v>3081</c:v>
                </c:pt>
                <c:pt idx="4">
                  <c:v>3234</c:v>
                </c:pt>
                <c:pt idx="5">
                  <c:v>3915</c:v>
                </c:pt>
                <c:pt idx="6">
                  <c:v>4062</c:v>
                </c:pt>
                <c:pt idx="7">
                  <c:v>3479</c:v>
                </c:pt>
                <c:pt idx="8">
                  <c:v>2695</c:v>
                </c:pt>
              </c:numCache>
            </c:numRef>
          </c:val>
          <c:extLst>
            <c:ext xmlns:c16="http://schemas.microsoft.com/office/drawing/2014/chart" uri="{C3380CC4-5D6E-409C-BE32-E72D297353CC}">
              <c16:uniqueId val="{00000002-C970-4B7A-8130-CBE19677A5C6}"/>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8749809139072104"/>
          <c:y val="0.82687062708190906"/>
          <c:w val="0.81130478063329825"/>
          <c:h val="2.7177434216807548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8'!$AS$22</c:f>
          <c:strCache>
            <c:ptCount val="1"/>
            <c:pt idx="0">
              <c:v>Males, 50-64 year olds: Estimated OAT composition in Scotland</c:v>
            </c:pt>
          </c:strCache>
        </c:strRef>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187456140548388"/>
          <c:y val="8.9056662091539243E-2"/>
          <c:w val="0.81764044969119198"/>
          <c:h val="0.72602902843305495"/>
        </c:manualLayout>
      </c:layout>
      <c:barChart>
        <c:barDir val="col"/>
        <c:grouping val="stacked"/>
        <c:varyColors val="0"/>
        <c:ser>
          <c:idx val="0"/>
          <c:order val="0"/>
          <c:tx>
            <c:strRef>
              <c:f>'Table 8'!$L$1</c:f>
              <c:strCache>
                <c:ptCount val="1"/>
                <c:pt idx="0">
                  <c:v>Observed (on OAT in year)</c:v>
                </c:pt>
              </c:strCache>
            </c:strRef>
          </c:tx>
          <c:spPr>
            <a:solidFill>
              <a:srgbClr val="0078D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8'!$H$13:$H$21</c:f>
              <c:numCache>
                <c:formatCode>#,##0</c:formatCode>
                <c:ptCount val="9"/>
                <c:pt idx="0">
                  <c:v>1570</c:v>
                </c:pt>
                <c:pt idx="1">
                  <c:v>1898</c:v>
                </c:pt>
                <c:pt idx="2">
                  <c:v>2308</c:v>
                </c:pt>
                <c:pt idx="3">
                  <c:v>2709</c:v>
                </c:pt>
                <c:pt idx="4">
                  <c:v>3151</c:v>
                </c:pt>
                <c:pt idx="5">
                  <c:v>3605</c:v>
                </c:pt>
                <c:pt idx="6">
                  <c:v>4132</c:v>
                </c:pt>
                <c:pt idx="7">
                  <c:v>4702</c:v>
                </c:pt>
                <c:pt idx="8">
                  <c:v>5207</c:v>
                </c:pt>
              </c:numCache>
            </c:numRef>
          </c:val>
          <c:extLst>
            <c:ext xmlns:c16="http://schemas.microsoft.com/office/drawing/2014/chart" uri="{C3380CC4-5D6E-409C-BE32-E72D297353CC}">
              <c16:uniqueId val="{00000000-C970-4B7A-8130-CBE19677A5C6}"/>
            </c:ext>
          </c:extLst>
        </c:ser>
        <c:ser>
          <c:idx val="2"/>
          <c:order val="1"/>
          <c:tx>
            <c:strRef>
              <c:f>'Table 8'!$L$2</c:f>
              <c:strCache>
                <c:ptCount val="1"/>
                <c:pt idx="0">
                  <c:v>Observed (on OAT in preceding 4 years)</c:v>
                </c:pt>
              </c:strCache>
            </c:strRef>
          </c:tx>
          <c:spPr>
            <a:solidFill>
              <a:srgbClr val="E6F2FB"/>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8'!$I$13:$I$21</c:f>
              <c:numCache>
                <c:formatCode>#,##0</c:formatCode>
                <c:ptCount val="9"/>
                <c:pt idx="0">
                  <c:v>439</c:v>
                </c:pt>
                <c:pt idx="1">
                  <c:v>455</c:v>
                </c:pt>
                <c:pt idx="2">
                  <c:v>516</c:v>
                </c:pt>
                <c:pt idx="3">
                  <c:v>563</c:v>
                </c:pt>
                <c:pt idx="4">
                  <c:v>610</c:v>
                </c:pt>
                <c:pt idx="5">
                  <c:v>728</c:v>
                </c:pt>
                <c:pt idx="6">
                  <c:v>788</c:v>
                </c:pt>
                <c:pt idx="7">
                  <c:v>787</c:v>
                </c:pt>
                <c:pt idx="8">
                  <c:v>851</c:v>
                </c:pt>
              </c:numCache>
            </c:numRef>
          </c:val>
          <c:extLst>
            <c:ext xmlns:c16="http://schemas.microsoft.com/office/drawing/2014/chart" uri="{C3380CC4-5D6E-409C-BE32-E72D297353CC}">
              <c16:uniqueId val="{00000001-C970-4B7A-8130-CBE19677A5C6}"/>
            </c:ext>
          </c:extLst>
        </c:ser>
        <c:ser>
          <c:idx val="1"/>
          <c:order val="2"/>
          <c:tx>
            <c:strRef>
              <c:f>'Table 8'!$L$3</c:f>
              <c:strCache>
                <c:ptCount val="1"/>
                <c:pt idx="0">
                  <c:v>Unobserved (not on OAT this year or preceeding 4 years)</c:v>
                </c:pt>
              </c:strCache>
            </c:strRef>
          </c:tx>
          <c:spPr>
            <a:solidFill>
              <a:srgbClr val="80BCEA"/>
            </a:solidFill>
            <a:ln>
              <a:noFill/>
            </a:ln>
            <a:effectLst/>
          </c:spPr>
          <c:invertIfNegative val="0"/>
          <c:dLbls>
            <c:delete val="1"/>
          </c:dLbls>
          <c:cat>
            <c:strRef>
              <c:f>'Table 8'!$A$13:$A$21</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8'!$J$13:$J$21</c:f>
              <c:numCache>
                <c:formatCode>#,##0</c:formatCode>
                <c:ptCount val="9"/>
                <c:pt idx="0">
                  <c:v>1291</c:v>
                </c:pt>
                <c:pt idx="1">
                  <c:v>1247</c:v>
                </c:pt>
                <c:pt idx="2">
                  <c:v>1376</c:v>
                </c:pt>
                <c:pt idx="3">
                  <c:v>828</c:v>
                </c:pt>
                <c:pt idx="4">
                  <c:v>1139</c:v>
                </c:pt>
                <c:pt idx="5">
                  <c:v>1167</c:v>
                </c:pt>
                <c:pt idx="6">
                  <c:v>1580</c:v>
                </c:pt>
                <c:pt idx="7">
                  <c:v>1511</c:v>
                </c:pt>
                <c:pt idx="8">
                  <c:v>1542</c:v>
                </c:pt>
              </c:numCache>
            </c:numRef>
          </c:val>
          <c:extLst>
            <c:ext xmlns:c16="http://schemas.microsoft.com/office/drawing/2014/chart" uri="{C3380CC4-5D6E-409C-BE32-E72D297353CC}">
              <c16:uniqueId val="{00000002-C970-4B7A-8130-CBE19677A5C6}"/>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7000766782228216"/>
          <c:y val="0.87557187703080341"/>
          <c:w val="0.81060869297596705"/>
          <c:h val="2.7217727701534918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8'!$AZ$20</c:f>
          <c:strCache>
            <c:ptCount val="1"/>
            <c:pt idx="0">
              <c:v>Females, 15-34 year olds: Estimated OAT composition in Scotland</c:v>
            </c:pt>
          </c:strCache>
        </c:strRef>
      </c:tx>
      <c:layout>
        <c:manualLayout>
          <c:xMode val="edge"/>
          <c:yMode val="edge"/>
          <c:x val="0.37428025788449171"/>
          <c:y val="3.2441821850971976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204682778037597"/>
          <c:y val="8.8981276740867629E-2"/>
          <c:w val="0.81745767900845012"/>
          <c:h val="0.69946356042608626"/>
        </c:manualLayout>
      </c:layout>
      <c:barChart>
        <c:barDir val="col"/>
        <c:grouping val="stacked"/>
        <c:varyColors val="0"/>
        <c:ser>
          <c:idx val="3"/>
          <c:order val="0"/>
          <c:tx>
            <c:strRef>
              <c:f>'Table 8'!$AS$29</c:f>
              <c:strCache>
                <c:ptCount val="1"/>
                <c:pt idx="0">
                  <c:v>Observed (on OAT in year)</c:v>
                </c:pt>
              </c:strCache>
            </c:strRef>
          </c:tx>
          <c:spPr>
            <a:solidFill>
              <a:srgbClr val="9B439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8'!$B$25:$B$33</c:f>
              <c:numCache>
                <c:formatCode>#,##0</c:formatCode>
                <c:ptCount val="9"/>
                <c:pt idx="0">
                  <c:v>3952</c:v>
                </c:pt>
                <c:pt idx="1">
                  <c:v>3555</c:v>
                </c:pt>
                <c:pt idx="2">
                  <c:v>3201</c:v>
                </c:pt>
                <c:pt idx="3">
                  <c:v>2871</c:v>
                </c:pt>
                <c:pt idx="4">
                  <c:v>2524</c:v>
                </c:pt>
                <c:pt idx="5">
                  <c:v>2296</c:v>
                </c:pt>
                <c:pt idx="6">
                  <c:v>2143</c:v>
                </c:pt>
                <c:pt idx="7">
                  <c:v>1898</c:v>
                </c:pt>
                <c:pt idx="8">
                  <c:v>1680</c:v>
                </c:pt>
              </c:numCache>
            </c:numRef>
          </c:val>
          <c:extLst>
            <c:ext xmlns:c16="http://schemas.microsoft.com/office/drawing/2014/chart" uri="{C3380CC4-5D6E-409C-BE32-E72D297353CC}">
              <c16:uniqueId val="{00000000-097C-4F9B-B46A-ABE21A8020BD}"/>
            </c:ext>
          </c:extLst>
        </c:ser>
        <c:ser>
          <c:idx val="2"/>
          <c:order val="1"/>
          <c:tx>
            <c:strRef>
              <c:f>'Table 8'!$AS$30</c:f>
              <c:strCache>
                <c:ptCount val="1"/>
                <c:pt idx="0">
                  <c:v>Observed (on OAT in preceding 4 years)</c:v>
                </c:pt>
              </c:strCache>
            </c:strRef>
          </c:tx>
          <c:spPr>
            <a:solidFill>
              <a:srgbClr val="CAC6D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8'!$C$25:$C$33</c:f>
              <c:numCache>
                <c:formatCode>#,##0</c:formatCode>
                <c:ptCount val="9"/>
                <c:pt idx="0">
                  <c:v>955</c:v>
                </c:pt>
                <c:pt idx="1">
                  <c:v>855</c:v>
                </c:pt>
                <c:pt idx="2">
                  <c:v>715</c:v>
                </c:pt>
                <c:pt idx="3">
                  <c:v>616</c:v>
                </c:pt>
                <c:pt idx="4">
                  <c:v>564</c:v>
                </c:pt>
                <c:pt idx="5">
                  <c:v>501</c:v>
                </c:pt>
                <c:pt idx="6">
                  <c:v>453</c:v>
                </c:pt>
                <c:pt idx="7">
                  <c:v>432</c:v>
                </c:pt>
                <c:pt idx="8">
                  <c:v>399</c:v>
                </c:pt>
              </c:numCache>
            </c:numRef>
          </c:val>
          <c:extLst>
            <c:ext xmlns:c16="http://schemas.microsoft.com/office/drawing/2014/chart" uri="{C3380CC4-5D6E-409C-BE32-E72D297353CC}">
              <c16:uniqueId val="{00000001-097C-4F9B-B46A-ABE21A8020BD}"/>
            </c:ext>
          </c:extLst>
        </c:ser>
        <c:ser>
          <c:idx val="1"/>
          <c:order val="2"/>
          <c:tx>
            <c:strRef>
              <c:f>'Table 8'!$AS$31</c:f>
              <c:strCache>
                <c:ptCount val="1"/>
                <c:pt idx="0">
                  <c:v>Unobserved (not on OAT this year or preceeding 4 years)</c:v>
                </c:pt>
              </c:strCache>
            </c:strRef>
          </c:tx>
          <c:spPr>
            <a:solidFill>
              <a:srgbClr val="CDA1C9"/>
            </a:solidFill>
            <a:ln>
              <a:noFill/>
            </a:ln>
            <a:effectLst/>
          </c:spPr>
          <c:invertIfNegative val="0"/>
          <c:dLbls>
            <c:delete val="1"/>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8'!$D$25:$D$33</c:f>
              <c:numCache>
                <c:formatCode>#,##0</c:formatCode>
                <c:ptCount val="9"/>
                <c:pt idx="0">
                  <c:v>1493</c:v>
                </c:pt>
                <c:pt idx="1">
                  <c:v>1290</c:v>
                </c:pt>
                <c:pt idx="2">
                  <c:v>1184</c:v>
                </c:pt>
                <c:pt idx="3">
                  <c:v>1013</c:v>
                </c:pt>
                <c:pt idx="4">
                  <c:v>1112</c:v>
                </c:pt>
                <c:pt idx="5">
                  <c:v>1303</c:v>
                </c:pt>
                <c:pt idx="6">
                  <c:v>1404</c:v>
                </c:pt>
                <c:pt idx="7">
                  <c:v>1170</c:v>
                </c:pt>
                <c:pt idx="8">
                  <c:v>921</c:v>
                </c:pt>
              </c:numCache>
            </c:numRef>
          </c:val>
          <c:extLst>
            <c:ext xmlns:c16="http://schemas.microsoft.com/office/drawing/2014/chart" uri="{C3380CC4-5D6E-409C-BE32-E72D297353CC}">
              <c16:uniqueId val="{00000002-097C-4F9B-B46A-ABE21A8020BD}"/>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6190246379442608"/>
          <c:y val="0.86195099630045502"/>
          <c:w val="0.81557868592869731"/>
          <c:h val="2.7188934462188785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8'!$AZ$21</c:f>
          <c:strCache>
            <c:ptCount val="1"/>
            <c:pt idx="0">
              <c:v>Females, 35-49 year olds: Estimated OAT composition in Scotland</c:v>
            </c:pt>
          </c:strCache>
        </c:strRef>
      </c:tx>
      <c:layout>
        <c:manualLayout>
          <c:xMode val="edge"/>
          <c:yMode val="edge"/>
          <c:x val="0.38198531607624819"/>
          <c:y val="3.2928470591471311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197291417439972"/>
          <c:y val="0.10084307481346264"/>
          <c:w val="0.817536097036765"/>
          <c:h val="0.68241746868851805"/>
        </c:manualLayout>
      </c:layout>
      <c:barChart>
        <c:barDir val="col"/>
        <c:grouping val="stacked"/>
        <c:varyColors val="0"/>
        <c:ser>
          <c:idx val="0"/>
          <c:order val="0"/>
          <c:tx>
            <c:strRef>
              <c:f>'Table 8'!$L$1</c:f>
              <c:strCache>
                <c:ptCount val="1"/>
                <c:pt idx="0">
                  <c:v>Observed (on OAT in year)</c:v>
                </c:pt>
              </c:strCache>
            </c:strRef>
          </c:tx>
          <c:spPr>
            <a:solidFill>
              <a:srgbClr val="9B439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8'!$E$25:$E$33</c:f>
              <c:numCache>
                <c:formatCode>#,##0</c:formatCode>
                <c:ptCount val="9"/>
                <c:pt idx="0">
                  <c:v>4949</c:v>
                </c:pt>
                <c:pt idx="1">
                  <c:v>5256</c:v>
                </c:pt>
                <c:pt idx="2">
                  <c:v>5553</c:v>
                </c:pt>
                <c:pt idx="3">
                  <c:v>5766</c:v>
                </c:pt>
                <c:pt idx="4">
                  <c:v>5832</c:v>
                </c:pt>
                <c:pt idx="5">
                  <c:v>5902</c:v>
                </c:pt>
                <c:pt idx="6">
                  <c:v>5964</c:v>
                </c:pt>
                <c:pt idx="7">
                  <c:v>6048</c:v>
                </c:pt>
                <c:pt idx="8">
                  <c:v>5855</c:v>
                </c:pt>
              </c:numCache>
            </c:numRef>
          </c:val>
          <c:extLst>
            <c:ext xmlns:c16="http://schemas.microsoft.com/office/drawing/2014/chart" uri="{C3380CC4-5D6E-409C-BE32-E72D297353CC}">
              <c16:uniqueId val="{00000000-9A06-412B-8F24-2C2578A6C937}"/>
            </c:ext>
          </c:extLst>
        </c:ser>
        <c:ser>
          <c:idx val="2"/>
          <c:order val="1"/>
          <c:tx>
            <c:strRef>
              <c:f>'Table 8'!$L$2</c:f>
              <c:strCache>
                <c:ptCount val="1"/>
                <c:pt idx="0">
                  <c:v>Observed (on OAT in preceding 4 years)</c:v>
                </c:pt>
              </c:strCache>
            </c:strRef>
          </c:tx>
          <c:spPr>
            <a:solidFill>
              <a:srgbClr val="CAC6D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8'!$F$25:$F$33</c:f>
              <c:numCache>
                <c:formatCode>#,##0</c:formatCode>
                <c:ptCount val="9"/>
                <c:pt idx="0">
                  <c:v>1110</c:v>
                </c:pt>
                <c:pt idx="1">
                  <c:v>1177</c:v>
                </c:pt>
                <c:pt idx="2">
                  <c:v>1176</c:v>
                </c:pt>
                <c:pt idx="3">
                  <c:v>1161</c:v>
                </c:pt>
                <c:pt idx="4">
                  <c:v>1176</c:v>
                </c:pt>
                <c:pt idx="5">
                  <c:v>1157</c:v>
                </c:pt>
                <c:pt idx="6">
                  <c:v>1121</c:v>
                </c:pt>
                <c:pt idx="7">
                  <c:v>993</c:v>
                </c:pt>
                <c:pt idx="8">
                  <c:v>1043</c:v>
                </c:pt>
              </c:numCache>
            </c:numRef>
          </c:val>
          <c:extLst>
            <c:ext xmlns:c16="http://schemas.microsoft.com/office/drawing/2014/chart" uri="{C3380CC4-5D6E-409C-BE32-E72D297353CC}">
              <c16:uniqueId val="{00000001-9A06-412B-8F24-2C2578A6C937}"/>
            </c:ext>
          </c:extLst>
        </c:ser>
        <c:ser>
          <c:idx val="1"/>
          <c:order val="2"/>
          <c:tx>
            <c:strRef>
              <c:f>'Table 8'!$L$3</c:f>
              <c:strCache>
                <c:ptCount val="1"/>
                <c:pt idx="0">
                  <c:v>Unobserved (not on OAT this year or preceeding 4 years)</c:v>
                </c:pt>
              </c:strCache>
            </c:strRef>
          </c:tx>
          <c:spPr>
            <a:solidFill>
              <a:srgbClr val="CDA1C9"/>
            </a:solidFill>
            <a:ln>
              <a:noFill/>
            </a:ln>
            <a:effectLst/>
          </c:spPr>
          <c:invertIfNegative val="0"/>
          <c:dLbls>
            <c:delete val="1"/>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8'!$G$25:$G$33</c:f>
              <c:numCache>
                <c:formatCode>#,##0</c:formatCode>
                <c:ptCount val="9"/>
                <c:pt idx="0">
                  <c:v>1641</c:v>
                </c:pt>
                <c:pt idx="1">
                  <c:v>1467</c:v>
                </c:pt>
                <c:pt idx="2">
                  <c:v>1371</c:v>
                </c:pt>
                <c:pt idx="3">
                  <c:v>1173</c:v>
                </c:pt>
                <c:pt idx="4">
                  <c:v>1192</c:v>
                </c:pt>
                <c:pt idx="5">
                  <c:v>1441</c:v>
                </c:pt>
                <c:pt idx="6">
                  <c:v>1515</c:v>
                </c:pt>
                <c:pt idx="7">
                  <c:v>1259</c:v>
                </c:pt>
                <c:pt idx="8">
                  <c:v>1002</c:v>
                </c:pt>
              </c:numCache>
            </c:numRef>
          </c:val>
          <c:extLst>
            <c:ext xmlns:c16="http://schemas.microsoft.com/office/drawing/2014/chart" uri="{C3380CC4-5D6E-409C-BE32-E72D297353CC}">
              <c16:uniqueId val="{00000002-9A06-412B-8F24-2C2578A6C937}"/>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5923423852450291"/>
          <c:y val="0.84283870378436154"/>
          <c:w val="0.81130478063329825"/>
          <c:h val="2.7596786424767351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8'!$AZ$22</c:f>
          <c:strCache>
            <c:ptCount val="1"/>
            <c:pt idx="0">
              <c:v>Females, 50-64 year olds: Estimated OAT composition in Scotland</c:v>
            </c:pt>
          </c:strCache>
        </c:strRef>
      </c:tx>
      <c:layout>
        <c:manualLayout>
          <c:xMode val="edge"/>
          <c:yMode val="edge"/>
          <c:x val="0.38302312312312314"/>
          <c:y val="3.2441821850971976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7192372372372372"/>
          <c:y val="8.8962450340466986E-2"/>
          <c:w val="0.81758828828828833"/>
          <c:h val="0.70657166244067793"/>
        </c:manualLayout>
      </c:layout>
      <c:barChart>
        <c:barDir val="col"/>
        <c:grouping val="stacked"/>
        <c:varyColors val="0"/>
        <c:ser>
          <c:idx val="0"/>
          <c:order val="0"/>
          <c:tx>
            <c:strRef>
              <c:f>'Table 8'!$L$1</c:f>
              <c:strCache>
                <c:ptCount val="1"/>
                <c:pt idx="0">
                  <c:v>Observed (on OAT in year)</c:v>
                </c:pt>
              </c:strCache>
            </c:strRef>
          </c:tx>
          <c:spPr>
            <a:solidFill>
              <a:srgbClr val="9B439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8'!$H$25:$H$33</c:f>
              <c:numCache>
                <c:formatCode>#,##0</c:formatCode>
                <c:ptCount val="9"/>
                <c:pt idx="0">
                  <c:v>559</c:v>
                </c:pt>
                <c:pt idx="1">
                  <c:v>692</c:v>
                </c:pt>
                <c:pt idx="2">
                  <c:v>807</c:v>
                </c:pt>
                <c:pt idx="3">
                  <c:v>935</c:v>
                </c:pt>
                <c:pt idx="4">
                  <c:v>1069</c:v>
                </c:pt>
                <c:pt idx="5">
                  <c:v>1230</c:v>
                </c:pt>
                <c:pt idx="6">
                  <c:v>1369</c:v>
                </c:pt>
                <c:pt idx="7">
                  <c:v>1568</c:v>
                </c:pt>
                <c:pt idx="8">
                  <c:v>1739</c:v>
                </c:pt>
              </c:numCache>
            </c:numRef>
          </c:val>
          <c:extLst>
            <c:ext xmlns:c16="http://schemas.microsoft.com/office/drawing/2014/chart" uri="{C3380CC4-5D6E-409C-BE32-E72D297353CC}">
              <c16:uniqueId val="{00000000-CB7E-4E13-BDD9-4986CE14D019}"/>
            </c:ext>
          </c:extLst>
        </c:ser>
        <c:ser>
          <c:idx val="2"/>
          <c:order val="1"/>
          <c:tx>
            <c:strRef>
              <c:f>'Table 8'!$L$2</c:f>
              <c:strCache>
                <c:ptCount val="1"/>
                <c:pt idx="0">
                  <c:v>Observed (on OAT in preceding 4 years)</c:v>
                </c:pt>
              </c:strCache>
            </c:strRef>
          </c:tx>
          <c:spPr>
            <a:solidFill>
              <a:srgbClr val="CAC6D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8'!$I$25:$I$33</c:f>
              <c:numCache>
                <c:formatCode>#,##0</c:formatCode>
                <c:ptCount val="9"/>
                <c:pt idx="0">
                  <c:v>190</c:v>
                </c:pt>
                <c:pt idx="1">
                  <c:v>224</c:v>
                </c:pt>
                <c:pt idx="2">
                  <c:v>239</c:v>
                </c:pt>
                <c:pt idx="3">
                  <c:v>239</c:v>
                </c:pt>
                <c:pt idx="4">
                  <c:v>277</c:v>
                </c:pt>
                <c:pt idx="5">
                  <c:v>302</c:v>
                </c:pt>
                <c:pt idx="6">
                  <c:v>309</c:v>
                </c:pt>
                <c:pt idx="7">
                  <c:v>284</c:v>
                </c:pt>
                <c:pt idx="8">
                  <c:v>324</c:v>
                </c:pt>
              </c:numCache>
            </c:numRef>
          </c:val>
          <c:extLst>
            <c:ext xmlns:c16="http://schemas.microsoft.com/office/drawing/2014/chart" uri="{C3380CC4-5D6E-409C-BE32-E72D297353CC}">
              <c16:uniqueId val="{00000001-CB7E-4E13-BDD9-4986CE14D019}"/>
            </c:ext>
          </c:extLst>
        </c:ser>
        <c:ser>
          <c:idx val="1"/>
          <c:order val="2"/>
          <c:tx>
            <c:strRef>
              <c:f>'Table 8'!$L$3</c:f>
              <c:strCache>
                <c:ptCount val="1"/>
                <c:pt idx="0">
                  <c:v>Unobserved (not on OAT this year or preceeding 4 years)</c:v>
                </c:pt>
              </c:strCache>
            </c:strRef>
          </c:tx>
          <c:spPr>
            <a:solidFill>
              <a:srgbClr val="CDA1C9"/>
            </a:solidFill>
            <a:ln>
              <a:noFill/>
            </a:ln>
            <a:effectLst/>
          </c:spPr>
          <c:invertIfNegative val="0"/>
          <c:dLbls>
            <c:delete val="1"/>
          </c:dLbls>
          <c:cat>
            <c:strRef>
              <c:f>'Table 8'!$A$25:$A$33</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8'!$J$25:$J$33</c:f>
              <c:numCache>
                <c:formatCode>#,##0</c:formatCode>
                <c:ptCount val="9"/>
                <c:pt idx="0">
                  <c:v>451</c:v>
                </c:pt>
                <c:pt idx="1">
                  <c:v>484</c:v>
                </c:pt>
                <c:pt idx="2">
                  <c:v>454</c:v>
                </c:pt>
                <c:pt idx="3">
                  <c:v>326</c:v>
                </c:pt>
                <c:pt idx="4">
                  <c:v>454</c:v>
                </c:pt>
                <c:pt idx="5">
                  <c:v>468</c:v>
                </c:pt>
                <c:pt idx="6">
                  <c:v>622</c:v>
                </c:pt>
                <c:pt idx="7">
                  <c:v>648</c:v>
                </c:pt>
                <c:pt idx="8">
                  <c:v>637</c:v>
                </c:pt>
              </c:numCache>
            </c:numRef>
          </c:val>
          <c:extLst>
            <c:ext xmlns:c16="http://schemas.microsoft.com/office/drawing/2014/chart" uri="{C3380CC4-5D6E-409C-BE32-E72D297353CC}">
              <c16:uniqueId val="{00000002-CB7E-4E13-BDD9-4986CE14D019}"/>
            </c:ext>
          </c:extLst>
        </c:ser>
        <c:dLbls>
          <c:dLblPos val="ctr"/>
          <c:showLegendKey val="0"/>
          <c:showVal val="1"/>
          <c:showCatName val="0"/>
          <c:showSerName val="0"/>
          <c:showPercent val="0"/>
          <c:showBubbleSize val="0"/>
        </c:dLbls>
        <c:gapWidth val="50"/>
        <c:overlap val="100"/>
        <c:axId val="1514728031"/>
        <c:axId val="1516237935"/>
      </c:barChart>
      <c:catAx>
        <c:axId val="151472803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sz="1200">
                    <a:solidFill>
                      <a:sysClr val="windowText" lastClr="000000"/>
                    </a:solidFill>
                    <a:latin typeface="Arial" panose="020B0604020202020204" pitchFamily="34" charset="0"/>
                    <a:cs typeface="Arial" panose="020B0604020202020204" pitchFamily="34" charset="0"/>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6237935"/>
        <c:crosses val="autoZero"/>
        <c:auto val="1"/>
        <c:lblAlgn val="ctr"/>
        <c:lblOffset val="100"/>
        <c:noMultiLvlLbl val="0"/>
      </c:catAx>
      <c:valAx>
        <c:axId val="151623793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Number of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people with </a:t>
                </a:r>
              </a:p>
              <a:p>
                <a:pPr>
                  <a:defRPr sz="1200">
                    <a:solidFill>
                      <a:sysClr val="windowText" lastClr="000000"/>
                    </a:solidFill>
                    <a:latin typeface="Arial" panose="020B0604020202020204" pitchFamily="34" charset="0"/>
                    <a:cs typeface="Arial" panose="020B0604020202020204" pitchFamily="34" charset="0"/>
                  </a:defRPr>
                </a:pPr>
                <a:r>
                  <a:rPr lang="en-GB" sz="1200" b="0" i="0" u="none" strike="noStrike" kern="1200" baseline="0">
                    <a:solidFill>
                      <a:sysClr val="windowText" lastClr="000000"/>
                    </a:solidFill>
                    <a:latin typeface="Arial" panose="020B0604020202020204" pitchFamily="34" charset="0"/>
                    <a:cs typeface="Arial" panose="020B0604020202020204" pitchFamily="34" charset="0"/>
                  </a:rPr>
                  <a:t>opioid dependence</a:t>
                </a:r>
              </a:p>
            </c:rich>
          </c:tx>
          <c:layout>
            <c:manualLayout>
              <c:xMode val="edge"/>
              <c:yMode val="edge"/>
              <c:x val="3.2434771307900491E-2"/>
              <c:y val="0.41376441460704599"/>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514728031"/>
        <c:crosses val="autoZero"/>
        <c:crossBetween val="between"/>
      </c:valAx>
      <c:spPr>
        <a:noFill/>
        <a:ln>
          <a:noFill/>
        </a:ln>
        <a:effectLst/>
      </c:spPr>
    </c:plotArea>
    <c:legend>
      <c:legendPos val="t"/>
      <c:layout>
        <c:manualLayout>
          <c:xMode val="edge"/>
          <c:yMode val="edge"/>
          <c:x val="0.16614669669669668"/>
          <c:y val="0.86759305227453709"/>
          <c:w val="0.81072462462462458"/>
          <c:h val="2.7188934462188785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8'!$AS$23</c:f>
          <c:strCache>
            <c:ptCount val="1"/>
            <c:pt idx="0">
              <c:v>Males: Estimated % OAT coverage in Scotland</c:v>
            </c:pt>
          </c:strCache>
        </c:strRef>
      </c:tx>
      <c:layout>
        <c:manualLayout>
          <c:xMode val="edge"/>
          <c:yMode val="edge"/>
          <c:x val="0.42712964559522459"/>
          <c:y val="5.281509522248765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8029471810203868"/>
          <c:y val="0.13693014014694632"/>
          <c:w val="0.81970528189796132"/>
          <c:h val="0.68409726987113151"/>
        </c:manualLayout>
      </c:layout>
      <c:barChart>
        <c:barDir val="col"/>
        <c:grouping val="clustered"/>
        <c:varyColors val="0"/>
        <c:ser>
          <c:idx val="0"/>
          <c:order val="0"/>
          <c:tx>
            <c:strRef>
              <c:f>'Table 8'!$B$38</c:f>
              <c:strCache>
                <c:ptCount val="1"/>
                <c:pt idx="0">
                  <c:v>15-34</c:v>
                </c:pt>
              </c:strCache>
            </c:strRef>
          </c:tx>
          <c:spPr>
            <a:solidFill>
              <a:srgbClr val="0078D4"/>
            </a:solidFill>
            <a:ln>
              <a:noFill/>
            </a:ln>
            <a:effectLst/>
          </c:spPr>
          <c:invertIfNegative val="0"/>
          <c:errBars>
            <c:errBarType val="both"/>
            <c:errValType val="cust"/>
            <c:noEndCap val="0"/>
            <c:plus>
              <c:numRef>
                <c:f>'Table 8'!$L$40:$L$45</c:f>
                <c:numCache>
                  <c:formatCode>General</c:formatCode>
                  <c:ptCount val="6"/>
                  <c:pt idx="0">
                    <c:v>3.0000000000000027E-2</c:v>
                  </c:pt>
                  <c:pt idx="1">
                    <c:v>4.0000000000000036E-2</c:v>
                  </c:pt>
                  <c:pt idx="2">
                    <c:v>4.0000000000000036E-2</c:v>
                  </c:pt>
                  <c:pt idx="3">
                    <c:v>3.0000000000000027E-2</c:v>
                  </c:pt>
                  <c:pt idx="4">
                    <c:v>3.999999999999998E-2</c:v>
                  </c:pt>
                  <c:pt idx="5">
                    <c:v>3.0000000000000027E-2</c:v>
                  </c:pt>
                </c:numCache>
              </c:numRef>
            </c:plus>
            <c:minus>
              <c:numRef>
                <c:f>'Table 8'!$M$40:$M$45</c:f>
                <c:numCache>
                  <c:formatCode>General</c:formatCode>
                  <c:ptCount val="6"/>
                  <c:pt idx="0">
                    <c:v>3.999999999999998E-2</c:v>
                  </c:pt>
                  <c:pt idx="1">
                    <c:v>2.9999999999999971E-2</c:v>
                  </c:pt>
                  <c:pt idx="2">
                    <c:v>3.0000000000000027E-2</c:v>
                  </c:pt>
                  <c:pt idx="3">
                    <c:v>3.0000000000000027E-2</c:v>
                  </c:pt>
                  <c:pt idx="4">
                    <c:v>3.0000000000000027E-2</c:v>
                  </c:pt>
                  <c:pt idx="5">
                    <c:v>2.9999999999999971E-2</c:v>
                  </c:pt>
                </c:numCache>
              </c:numRef>
            </c:minus>
            <c:spPr>
              <a:noFill/>
              <a:ln w="19050" cap="flat" cmpd="sng" algn="ctr">
                <a:solidFill>
                  <a:schemeClr val="tx1"/>
                </a:solidFill>
                <a:round/>
              </a:ln>
              <a:effectLst/>
            </c:spPr>
          </c:errBars>
          <c:cat>
            <c:strRef>
              <c:f>'Table 8'!$A$40:$A$45</c:f>
              <c:strCache>
                <c:ptCount val="6"/>
                <c:pt idx="0">
                  <c:v>2014/15</c:v>
                </c:pt>
                <c:pt idx="1">
                  <c:v>2015/16</c:v>
                </c:pt>
                <c:pt idx="2">
                  <c:v>2016/17</c:v>
                </c:pt>
                <c:pt idx="3">
                  <c:v>2017/18</c:v>
                </c:pt>
                <c:pt idx="4">
                  <c:v>2018/19</c:v>
                </c:pt>
                <c:pt idx="5">
                  <c:v>2019/20</c:v>
                </c:pt>
              </c:strCache>
            </c:strRef>
          </c:cat>
          <c:val>
            <c:numRef>
              <c:f>'Table 8'!$C$40:$C$45</c:f>
              <c:numCache>
                <c:formatCode>0%</c:formatCode>
                <c:ptCount val="6"/>
                <c:pt idx="0">
                  <c:v>0.49</c:v>
                </c:pt>
                <c:pt idx="1">
                  <c:v>0.49</c:v>
                </c:pt>
                <c:pt idx="2">
                  <c:v>0.5</c:v>
                </c:pt>
                <c:pt idx="3">
                  <c:v>0.5</c:v>
                </c:pt>
                <c:pt idx="4">
                  <c:v>0.46</c:v>
                </c:pt>
                <c:pt idx="5">
                  <c:v>0.41</c:v>
                </c:pt>
              </c:numCache>
            </c:numRef>
          </c:val>
          <c:extLst>
            <c:ext xmlns:c16="http://schemas.microsoft.com/office/drawing/2014/chart" uri="{C3380CC4-5D6E-409C-BE32-E72D297353CC}">
              <c16:uniqueId val="{00000000-152A-4A7B-B76D-2763B4967352}"/>
            </c:ext>
          </c:extLst>
        </c:ser>
        <c:ser>
          <c:idx val="1"/>
          <c:order val="1"/>
          <c:tx>
            <c:strRef>
              <c:f>'Table 8'!$E$38</c:f>
              <c:strCache>
                <c:ptCount val="1"/>
                <c:pt idx="0">
                  <c:v>35-49</c:v>
                </c:pt>
              </c:strCache>
            </c:strRef>
          </c:tx>
          <c:spPr>
            <a:solidFill>
              <a:srgbClr val="83BB26"/>
            </a:solidFill>
            <a:ln>
              <a:noFill/>
            </a:ln>
            <a:effectLst/>
          </c:spPr>
          <c:invertIfNegative val="0"/>
          <c:errBars>
            <c:errBarType val="both"/>
            <c:errValType val="cust"/>
            <c:noEndCap val="0"/>
            <c:plus>
              <c:numRef>
                <c:f>'Table 8'!$N$40:$N$45</c:f>
                <c:numCache>
                  <c:formatCode>General</c:formatCode>
                  <c:ptCount val="6"/>
                  <c:pt idx="0">
                    <c:v>2.0000000000000018E-2</c:v>
                  </c:pt>
                  <c:pt idx="1">
                    <c:v>2.9999999999999916E-2</c:v>
                  </c:pt>
                  <c:pt idx="2">
                    <c:v>1.9999999999999907E-2</c:v>
                  </c:pt>
                  <c:pt idx="3">
                    <c:v>2.0000000000000018E-2</c:v>
                  </c:pt>
                  <c:pt idx="4">
                    <c:v>3.0000000000000027E-2</c:v>
                  </c:pt>
                  <c:pt idx="5">
                    <c:v>2.0000000000000018E-2</c:v>
                  </c:pt>
                </c:numCache>
              </c:numRef>
            </c:plus>
            <c:minus>
              <c:numRef>
                <c:f>'Table 8'!$O$40:$O$45</c:f>
                <c:numCache>
                  <c:formatCode>General</c:formatCode>
                  <c:ptCount val="6"/>
                  <c:pt idx="0">
                    <c:v>3.0000000000000027E-2</c:v>
                  </c:pt>
                  <c:pt idx="1">
                    <c:v>2.0000000000000018E-2</c:v>
                  </c:pt>
                  <c:pt idx="2">
                    <c:v>2.0000000000000018E-2</c:v>
                  </c:pt>
                  <c:pt idx="3">
                    <c:v>1.9999999999999907E-2</c:v>
                  </c:pt>
                  <c:pt idx="4">
                    <c:v>9.9999999999998979E-3</c:v>
                  </c:pt>
                  <c:pt idx="5">
                    <c:v>2.0000000000000018E-2</c:v>
                  </c:pt>
                </c:numCache>
              </c:numRef>
            </c:minus>
            <c:spPr>
              <a:noFill/>
              <a:ln w="19050" cap="flat" cmpd="sng" algn="ctr">
                <a:solidFill>
                  <a:schemeClr val="tx1"/>
                </a:solidFill>
                <a:round/>
              </a:ln>
              <a:effectLst/>
            </c:spPr>
          </c:errBars>
          <c:cat>
            <c:strRef>
              <c:f>'Table 8'!$A$40:$A$45</c:f>
              <c:strCache>
                <c:ptCount val="6"/>
                <c:pt idx="0">
                  <c:v>2014/15</c:v>
                </c:pt>
                <c:pt idx="1">
                  <c:v>2015/16</c:v>
                </c:pt>
                <c:pt idx="2">
                  <c:v>2016/17</c:v>
                </c:pt>
                <c:pt idx="3">
                  <c:v>2017/18</c:v>
                </c:pt>
                <c:pt idx="4">
                  <c:v>2018/19</c:v>
                </c:pt>
                <c:pt idx="5">
                  <c:v>2019/20</c:v>
                </c:pt>
              </c:strCache>
            </c:strRef>
          </c:cat>
          <c:val>
            <c:numRef>
              <c:f>'Table 8'!$F$40:$F$45</c:f>
              <c:numCache>
                <c:formatCode>0%</c:formatCode>
                <c:ptCount val="6"/>
                <c:pt idx="0">
                  <c:v>0.63</c:v>
                </c:pt>
                <c:pt idx="1">
                  <c:v>0.66</c:v>
                </c:pt>
                <c:pt idx="2">
                  <c:v>0.68</c:v>
                </c:pt>
                <c:pt idx="3">
                  <c:v>0.7</c:v>
                </c:pt>
                <c:pt idx="4">
                  <c:v>0.69</c:v>
                </c:pt>
                <c:pt idx="5">
                  <c:v>0.66</c:v>
                </c:pt>
              </c:numCache>
            </c:numRef>
          </c:val>
          <c:extLst>
            <c:ext xmlns:c16="http://schemas.microsoft.com/office/drawing/2014/chart" uri="{C3380CC4-5D6E-409C-BE32-E72D297353CC}">
              <c16:uniqueId val="{00000001-152A-4A7B-B76D-2763B4967352}"/>
            </c:ext>
          </c:extLst>
        </c:ser>
        <c:ser>
          <c:idx val="2"/>
          <c:order val="2"/>
          <c:tx>
            <c:strRef>
              <c:f>'Table 8'!$H$38</c:f>
              <c:strCache>
                <c:ptCount val="1"/>
                <c:pt idx="0">
                  <c:v>50-64</c:v>
                </c:pt>
              </c:strCache>
            </c:strRef>
          </c:tx>
          <c:spPr>
            <a:solidFill>
              <a:srgbClr val="1E7F84"/>
            </a:solidFill>
            <a:ln>
              <a:noFill/>
            </a:ln>
            <a:effectLst/>
          </c:spPr>
          <c:invertIfNegative val="0"/>
          <c:errBars>
            <c:errBarType val="both"/>
            <c:errValType val="cust"/>
            <c:noEndCap val="0"/>
            <c:plus>
              <c:numRef>
                <c:f>'Table 8'!$P$40:$P$45</c:f>
                <c:numCache>
                  <c:formatCode>General</c:formatCode>
                  <c:ptCount val="6"/>
                  <c:pt idx="0">
                    <c:v>6.0000000000000053E-2</c:v>
                  </c:pt>
                  <c:pt idx="1">
                    <c:v>5.9999999999999942E-2</c:v>
                  </c:pt>
                  <c:pt idx="2">
                    <c:v>5.9999999999999942E-2</c:v>
                  </c:pt>
                  <c:pt idx="3">
                    <c:v>2.9999999999999916E-2</c:v>
                  </c:pt>
                  <c:pt idx="4">
                    <c:v>4.9999999999999933E-2</c:v>
                  </c:pt>
                  <c:pt idx="5">
                    <c:v>2.9999999999999916E-2</c:v>
                  </c:pt>
                </c:numCache>
              </c:numRef>
            </c:plus>
            <c:minus>
              <c:numRef>
                <c:f>'Table 8'!$Q$40:$Q$45</c:f>
                <c:numCache>
                  <c:formatCode>General</c:formatCode>
                  <c:ptCount val="6"/>
                  <c:pt idx="0">
                    <c:v>7.0000000000000007E-2</c:v>
                  </c:pt>
                  <c:pt idx="1">
                    <c:v>6.0000000000000053E-2</c:v>
                  </c:pt>
                  <c:pt idx="2">
                    <c:v>5.0000000000000044E-2</c:v>
                  </c:pt>
                  <c:pt idx="3">
                    <c:v>4.0000000000000036E-2</c:v>
                  </c:pt>
                  <c:pt idx="4">
                    <c:v>3.0000000000000027E-2</c:v>
                  </c:pt>
                  <c:pt idx="5">
                    <c:v>4.0000000000000036E-2</c:v>
                  </c:pt>
                </c:numCache>
              </c:numRef>
            </c:minus>
            <c:spPr>
              <a:noFill/>
              <a:ln w="19050" cap="flat" cmpd="sng" algn="ctr">
                <a:solidFill>
                  <a:schemeClr val="tx1"/>
                </a:solidFill>
                <a:round/>
              </a:ln>
              <a:effectLst/>
            </c:spPr>
          </c:errBars>
          <c:cat>
            <c:strRef>
              <c:f>'Table 8'!$A$40:$A$45</c:f>
              <c:strCache>
                <c:ptCount val="6"/>
                <c:pt idx="0">
                  <c:v>2014/15</c:v>
                </c:pt>
                <c:pt idx="1">
                  <c:v>2015/16</c:v>
                </c:pt>
                <c:pt idx="2">
                  <c:v>2016/17</c:v>
                </c:pt>
                <c:pt idx="3">
                  <c:v>2017/18</c:v>
                </c:pt>
                <c:pt idx="4">
                  <c:v>2018/19</c:v>
                </c:pt>
                <c:pt idx="5">
                  <c:v>2019/20</c:v>
                </c:pt>
              </c:strCache>
            </c:strRef>
          </c:cat>
          <c:val>
            <c:numRef>
              <c:f>'Table 8'!$I$40:$I$45</c:f>
              <c:numCache>
                <c:formatCode>0%</c:formatCode>
                <c:ptCount val="6"/>
                <c:pt idx="0">
                  <c:v>0.48</c:v>
                </c:pt>
                <c:pt idx="1">
                  <c:v>0.53</c:v>
                </c:pt>
                <c:pt idx="2">
                  <c:v>0.55000000000000004</c:v>
                </c:pt>
                <c:pt idx="3">
                  <c:v>0.66</c:v>
                </c:pt>
                <c:pt idx="4">
                  <c:v>0.64</c:v>
                </c:pt>
                <c:pt idx="5">
                  <c:v>0.66</c:v>
                </c:pt>
              </c:numCache>
            </c:numRef>
          </c:val>
          <c:extLst>
            <c:ext xmlns:c16="http://schemas.microsoft.com/office/drawing/2014/chart" uri="{C3380CC4-5D6E-409C-BE32-E72D297353CC}">
              <c16:uniqueId val="{00000002-152A-4A7B-B76D-2763B4967352}"/>
            </c:ext>
          </c:extLst>
        </c:ser>
        <c:dLbls>
          <c:showLegendKey val="0"/>
          <c:showVal val="0"/>
          <c:showCatName val="0"/>
          <c:showSerName val="0"/>
          <c:showPercent val="0"/>
          <c:showBubbleSize val="0"/>
        </c:dLbls>
        <c:gapWidth val="219"/>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a:t>% estimated </a:t>
                </a:r>
              </a:p>
              <a:p>
                <a:pPr>
                  <a:defRPr/>
                </a:pPr>
                <a:r>
                  <a:rPr lang="en-US"/>
                  <a:t>OAT coverage</a:t>
                </a:r>
              </a:p>
            </c:rich>
          </c:tx>
          <c:layout>
            <c:manualLayout>
              <c:xMode val="edge"/>
              <c:yMode val="edge"/>
              <c:x val="2.108766423233438E-2"/>
              <c:y val="0.48867658546958481"/>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legend>
      <c:legendPos val="t"/>
      <c:layout>
        <c:manualLayout>
          <c:xMode val="edge"/>
          <c:yMode val="edge"/>
          <c:x val="0.51018974908282411"/>
          <c:y val="0.88602894680994548"/>
          <c:w val="0.1422672742869413"/>
          <c:h val="3.1074905037758949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'Table 8'!$AZ$23</c:f>
          <c:strCache>
            <c:ptCount val="1"/>
            <c:pt idx="0">
              <c:v>Females: Estimated % OAT coverage in Scotland</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2806012895509112"/>
          <c:y val="0.1007166931351569"/>
          <c:w val="0.76123188024697108"/>
          <c:h val="0.72879282218597063"/>
        </c:manualLayout>
      </c:layout>
      <c:barChart>
        <c:barDir val="col"/>
        <c:grouping val="clustered"/>
        <c:varyColors val="0"/>
        <c:ser>
          <c:idx val="0"/>
          <c:order val="0"/>
          <c:tx>
            <c:strRef>
              <c:f>'Table 8'!$B$50</c:f>
              <c:strCache>
                <c:ptCount val="1"/>
                <c:pt idx="0">
                  <c:v>15-34</c:v>
                </c:pt>
              </c:strCache>
            </c:strRef>
          </c:tx>
          <c:spPr>
            <a:solidFill>
              <a:srgbClr val="3F3685"/>
            </a:solidFill>
            <a:ln>
              <a:noFill/>
            </a:ln>
            <a:effectLst/>
          </c:spPr>
          <c:invertIfNegative val="0"/>
          <c:errBars>
            <c:errBarType val="both"/>
            <c:errValType val="cust"/>
            <c:noEndCap val="0"/>
            <c:plus>
              <c:numRef>
                <c:f>'Table 8'!$L$52:$L$57</c:f>
                <c:numCache>
                  <c:formatCode>General</c:formatCode>
                  <c:ptCount val="6"/>
                  <c:pt idx="0">
                    <c:v>3.0000000000000027E-2</c:v>
                  </c:pt>
                  <c:pt idx="1">
                    <c:v>3.0000000000000027E-2</c:v>
                  </c:pt>
                  <c:pt idx="2">
                    <c:v>4.0000000000000036E-2</c:v>
                  </c:pt>
                  <c:pt idx="3">
                    <c:v>3.0000000000000027E-2</c:v>
                  </c:pt>
                  <c:pt idx="4">
                    <c:v>3.0000000000000027E-2</c:v>
                  </c:pt>
                  <c:pt idx="5">
                    <c:v>2.9999999999999916E-2</c:v>
                  </c:pt>
                </c:numCache>
              </c:numRef>
            </c:plus>
            <c:minus>
              <c:numRef>
                <c:f>'Table 8'!$M$52:$M$57</c:f>
                <c:numCache>
                  <c:formatCode>General</c:formatCode>
                  <c:ptCount val="6"/>
                  <c:pt idx="0">
                    <c:v>3.0000000000000027E-2</c:v>
                  </c:pt>
                  <c:pt idx="1">
                    <c:v>3.0000000000000027E-2</c:v>
                  </c:pt>
                  <c:pt idx="2">
                    <c:v>3.0000000000000027E-2</c:v>
                  </c:pt>
                  <c:pt idx="3">
                    <c:v>3.0000000000000027E-2</c:v>
                  </c:pt>
                  <c:pt idx="4">
                    <c:v>3.0000000000000027E-2</c:v>
                  </c:pt>
                  <c:pt idx="5">
                    <c:v>4.0000000000000036E-2</c:v>
                  </c:pt>
                </c:numCache>
              </c:numRef>
            </c:minus>
            <c:spPr>
              <a:noFill/>
              <a:ln w="19050" cap="flat" cmpd="sng" algn="ctr">
                <a:solidFill>
                  <a:schemeClr val="tx1"/>
                </a:solidFill>
                <a:round/>
              </a:ln>
              <a:effectLst/>
            </c:spPr>
          </c:errBars>
          <c:cat>
            <c:strRef>
              <c:f>'Table 8'!$A$52:$A$57</c:f>
              <c:strCache>
                <c:ptCount val="6"/>
                <c:pt idx="0">
                  <c:v>2014/15</c:v>
                </c:pt>
                <c:pt idx="1">
                  <c:v>2015/16</c:v>
                </c:pt>
                <c:pt idx="2">
                  <c:v>2016/17</c:v>
                </c:pt>
                <c:pt idx="3">
                  <c:v>2017/18</c:v>
                </c:pt>
                <c:pt idx="4">
                  <c:v>2018/19</c:v>
                </c:pt>
                <c:pt idx="5">
                  <c:v>2019/20</c:v>
                </c:pt>
              </c:strCache>
            </c:strRef>
          </c:cat>
          <c:val>
            <c:numRef>
              <c:f>'Table 8'!$C$52:$C$57</c:f>
              <c:numCache>
                <c:formatCode>0%</c:formatCode>
                <c:ptCount val="6"/>
                <c:pt idx="0">
                  <c:v>0.62</c:v>
                </c:pt>
                <c:pt idx="1">
                  <c:v>0.62</c:v>
                </c:pt>
                <c:pt idx="2">
                  <c:v>0.63</c:v>
                </c:pt>
                <c:pt idx="3">
                  <c:v>0.64</c:v>
                </c:pt>
                <c:pt idx="4">
                  <c:v>0.6</c:v>
                </c:pt>
                <c:pt idx="5">
                  <c:v>0.56000000000000005</c:v>
                </c:pt>
              </c:numCache>
            </c:numRef>
          </c:val>
          <c:extLst>
            <c:ext xmlns:c16="http://schemas.microsoft.com/office/drawing/2014/chart" uri="{C3380CC4-5D6E-409C-BE32-E72D297353CC}">
              <c16:uniqueId val="{00000000-EDFA-44C1-999C-16C28E7703E4}"/>
            </c:ext>
          </c:extLst>
        </c:ser>
        <c:ser>
          <c:idx val="1"/>
          <c:order val="1"/>
          <c:tx>
            <c:strRef>
              <c:f>'Table 8'!$E$50</c:f>
              <c:strCache>
                <c:ptCount val="1"/>
                <c:pt idx="0">
                  <c:v>35-49</c:v>
                </c:pt>
              </c:strCache>
            </c:strRef>
          </c:tx>
          <c:spPr>
            <a:solidFill>
              <a:srgbClr val="9B4393"/>
            </a:solidFill>
            <a:ln>
              <a:noFill/>
            </a:ln>
            <a:effectLst/>
          </c:spPr>
          <c:invertIfNegative val="0"/>
          <c:errBars>
            <c:errBarType val="both"/>
            <c:errValType val="cust"/>
            <c:noEndCap val="0"/>
            <c:plus>
              <c:numRef>
                <c:f>'Table 8'!$N$52:$N$57</c:f>
                <c:numCache>
                  <c:formatCode>General</c:formatCode>
                  <c:ptCount val="6"/>
                  <c:pt idx="0">
                    <c:v>3.0000000000000027E-2</c:v>
                  </c:pt>
                  <c:pt idx="1">
                    <c:v>1.9999999999999907E-2</c:v>
                  </c:pt>
                  <c:pt idx="2">
                    <c:v>2.0000000000000018E-2</c:v>
                  </c:pt>
                  <c:pt idx="3">
                    <c:v>3.0000000000000027E-2</c:v>
                  </c:pt>
                  <c:pt idx="4">
                    <c:v>2.0000000000000018E-2</c:v>
                  </c:pt>
                  <c:pt idx="5">
                    <c:v>3.0000000000000027E-2</c:v>
                  </c:pt>
                </c:numCache>
              </c:numRef>
            </c:plus>
            <c:minus>
              <c:numRef>
                <c:f>'Table 8'!$O$52:$O$57</c:f>
                <c:numCache>
                  <c:formatCode>General</c:formatCode>
                  <c:ptCount val="6"/>
                  <c:pt idx="0">
                    <c:v>3.0000000000000027E-2</c:v>
                  </c:pt>
                  <c:pt idx="1">
                    <c:v>3.0000000000000027E-2</c:v>
                  </c:pt>
                  <c:pt idx="2">
                    <c:v>2.9999999999999916E-2</c:v>
                  </c:pt>
                  <c:pt idx="3">
                    <c:v>2.0000000000000018E-2</c:v>
                  </c:pt>
                  <c:pt idx="4">
                    <c:v>2.0000000000000018E-2</c:v>
                  </c:pt>
                  <c:pt idx="5">
                    <c:v>1.9999999999999907E-2</c:v>
                  </c:pt>
                </c:numCache>
              </c:numRef>
            </c:minus>
            <c:spPr>
              <a:noFill/>
              <a:ln w="19050" cap="flat" cmpd="sng" algn="ctr">
                <a:solidFill>
                  <a:schemeClr val="tx1"/>
                </a:solidFill>
                <a:round/>
              </a:ln>
              <a:effectLst/>
            </c:spPr>
          </c:errBars>
          <c:cat>
            <c:strRef>
              <c:f>'Table 8'!$A$52:$A$57</c:f>
              <c:strCache>
                <c:ptCount val="6"/>
                <c:pt idx="0">
                  <c:v>2014/15</c:v>
                </c:pt>
                <c:pt idx="1">
                  <c:v>2015/16</c:v>
                </c:pt>
                <c:pt idx="2">
                  <c:v>2016/17</c:v>
                </c:pt>
                <c:pt idx="3">
                  <c:v>2017/18</c:v>
                </c:pt>
                <c:pt idx="4">
                  <c:v>2018/19</c:v>
                </c:pt>
                <c:pt idx="5">
                  <c:v>2019/20</c:v>
                </c:pt>
              </c:strCache>
            </c:strRef>
          </c:cat>
          <c:val>
            <c:numRef>
              <c:f>'Table 8'!$F$52:$F$57</c:f>
              <c:numCache>
                <c:formatCode>0%</c:formatCode>
                <c:ptCount val="6"/>
                <c:pt idx="0">
                  <c:v>0.64</c:v>
                </c:pt>
                <c:pt idx="1">
                  <c:v>0.67</c:v>
                </c:pt>
                <c:pt idx="2">
                  <c:v>0.69</c:v>
                </c:pt>
                <c:pt idx="3">
                  <c:v>0.71</c:v>
                </c:pt>
                <c:pt idx="4">
                  <c:v>0.71</c:v>
                </c:pt>
                <c:pt idx="5">
                  <c:v>0.69</c:v>
                </c:pt>
              </c:numCache>
            </c:numRef>
          </c:val>
          <c:extLst>
            <c:ext xmlns:c16="http://schemas.microsoft.com/office/drawing/2014/chart" uri="{C3380CC4-5D6E-409C-BE32-E72D297353CC}">
              <c16:uniqueId val="{00000001-EDFA-44C1-999C-16C28E7703E4}"/>
            </c:ext>
          </c:extLst>
        </c:ser>
        <c:ser>
          <c:idx val="2"/>
          <c:order val="2"/>
          <c:tx>
            <c:strRef>
              <c:f>'Table 8'!$H$50</c:f>
              <c:strCache>
                <c:ptCount val="1"/>
                <c:pt idx="0">
                  <c:v>50-64</c:v>
                </c:pt>
              </c:strCache>
            </c:strRef>
          </c:tx>
          <c:spPr>
            <a:solidFill>
              <a:srgbClr val="948DA3"/>
            </a:solidFill>
            <a:ln>
              <a:noFill/>
            </a:ln>
            <a:effectLst/>
          </c:spPr>
          <c:invertIfNegative val="0"/>
          <c:errBars>
            <c:errBarType val="both"/>
            <c:errValType val="cust"/>
            <c:noEndCap val="0"/>
            <c:plus>
              <c:numRef>
                <c:f>'Table 8'!$P$52:$P$57</c:f>
                <c:numCache>
                  <c:formatCode>General</c:formatCode>
                  <c:ptCount val="6"/>
                  <c:pt idx="0">
                    <c:v>4.0000000000000036E-2</c:v>
                  </c:pt>
                  <c:pt idx="1">
                    <c:v>8.9999999999999969E-2</c:v>
                  </c:pt>
                  <c:pt idx="2">
                    <c:v>3.9999999999999925E-2</c:v>
                  </c:pt>
                  <c:pt idx="3">
                    <c:v>5.0000000000000044E-2</c:v>
                  </c:pt>
                  <c:pt idx="4">
                    <c:v>4.0000000000000036E-2</c:v>
                  </c:pt>
                  <c:pt idx="5">
                    <c:v>6.0000000000000053E-2</c:v>
                  </c:pt>
                </c:numCache>
              </c:numRef>
            </c:plus>
            <c:minus>
              <c:numRef>
                <c:f>'Table 8'!$Q$52:$Q$57</c:f>
                <c:numCache>
                  <c:formatCode>General</c:formatCode>
                  <c:ptCount val="6"/>
                  <c:pt idx="0">
                    <c:v>6.9999999999999951E-2</c:v>
                  </c:pt>
                  <c:pt idx="1">
                    <c:v>2.9999999999999971E-2</c:v>
                  </c:pt>
                  <c:pt idx="2">
                    <c:v>7.0000000000000062E-2</c:v>
                  </c:pt>
                  <c:pt idx="3">
                    <c:v>4.0000000000000036E-2</c:v>
                  </c:pt>
                  <c:pt idx="4">
                    <c:v>2.9999999999999916E-2</c:v>
                  </c:pt>
                  <c:pt idx="5">
                    <c:v>3.0000000000000027E-2</c:v>
                  </c:pt>
                </c:numCache>
              </c:numRef>
            </c:minus>
            <c:spPr>
              <a:noFill/>
              <a:ln w="19050" cap="flat" cmpd="sng" algn="ctr">
                <a:solidFill>
                  <a:schemeClr val="tx1"/>
                </a:solidFill>
                <a:round/>
              </a:ln>
              <a:effectLst/>
            </c:spPr>
          </c:errBars>
          <c:cat>
            <c:strRef>
              <c:f>'Table 8'!$A$52:$A$57</c:f>
              <c:strCache>
                <c:ptCount val="6"/>
                <c:pt idx="0">
                  <c:v>2014/15</c:v>
                </c:pt>
                <c:pt idx="1">
                  <c:v>2015/16</c:v>
                </c:pt>
                <c:pt idx="2">
                  <c:v>2016/17</c:v>
                </c:pt>
                <c:pt idx="3">
                  <c:v>2017/18</c:v>
                </c:pt>
                <c:pt idx="4">
                  <c:v>2018/19</c:v>
                </c:pt>
                <c:pt idx="5">
                  <c:v>2019/20</c:v>
                </c:pt>
              </c:strCache>
            </c:strRef>
          </c:cat>
          <c:val>
            <c:numRef>
              <c:f>'Table 8'!$I$52:$I$57</c:f>
              <c:numCache>
                <c:formatCode>0%</c:formatCode>
                <c:ptCount val="6"/>
                <c:pt idx="0">
                  <c:v>0.47</c:v>
                </c:pt>
                <c:pt idx="1">
                  <c:v>0.49</c:v>
                </c:pt>
                <c:pt idx="2">
                  <c:v>0.54</c:v>
                </c:pt>
                <c:pt idx="3">
                  <c:v>0.62</c:v>
                </c:pt>
                <c:pt idx="4">
                  <c:v>0.59</c:v>
                </c:pt>
                <c:pt idx="5">
                  <c:v>0.62</c:v>
                </c:pt>
              </c:numCache>
            </c:numRef>
          </c:val>
          <c:extLst>
            <c:ext xmlns:c16="http://schemas.microsoft.com/office/drawing/2014/chart" uri="{C3380CC4-5D6E-409C-BE32-E72D297353CC}">
              <c16:uniqueId val="{00000002-EDFA-44C1-999C-16C28E7703E4}"/>
            </c:ext>
          </c:extLst>
        </c:ser>
        <c:dLbls>
          <c:showLegendKey val="0"/>
          <c:showVal val="0"/>
          <c:showCatName val="0"/>
          <c:showSerName val="0"/>
          <c:showPercent val="0"/>
          <c:showBubbleSize val="0"/>
        </c:dLbls>
        <c:gapWidth val="219"/>
        <c:overlap val="-27"/>
        <c:axId val="2002023024"/>
        <c:axId val="1414260032"/>
      </c:barChart>
      <c:catAx>
        <c:axId val="2002023024"/>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414260032"/>
        <c:crosses val="autoZero"/>
        <c:auto val="1"/>
        <c:lblAlgn val="ctr"/>
        <c:lblOffset val="100"/>
        <c:noMultiLvlLbl val="0"/>
      </c:catAx>
      <c:valAx>
        <c:axId val="141426003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200" b="0" i="0" u="none" strike="noStrike" kern="1200" baseline="0">
                    <a:solidFill>
                      <a:sysClr val="windowText" lastClr="000000"/>
                    </a:solidFill>
                    <a:latin typeface="Arial" panose="020B0604020202020204" pitchFamily="34" charset="0"/>
                    <a:cs typeface="Arial" panose="020B0604020202020204" pitchFamily="34" charset="0"/>
                  </a:rPr>
                  <a:t>% estimated </a:t>
                </a:r>
              </a:p>
              <a:p>
                <a:pPr>
                  <a:defRPr/>
                </a:pPr>
                <a:r>
                  <a:rPr lang="en-US" sz="1200" b="0" i="0" u="none" strike="noStrike" kern="1200" baseline="0">
                    <a:solidFill>
                      <a:sysClr val="windowText" lastClr="000000"/>
                    </a:solidFill>
                    <a:latin typeface="Arial" panose="020B0604020202020204" pitchFamily="34" charset="0"/>
                    <a:cs typeface="Arial" panose="020B0604020202020204" pitchFamily="34" charset="0"/>
                  </a:rPr>
                  <a:t>OAT coverage</a:t>
                </a:r>
              </a:p>
            </c:rich>
          </c:tx>
          <c:layout>
            <c:manualLayout>
              <c:xMode val="edge"/>
              <c:yMode val="edge"/>
              <c:x val="7.5491840452868691E-2"/>
              <c:y val="0.45357393192683704"/>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2002023024"/>
        <c:crosses val="autoZero"/>
        <c:crossBetween val="between"/>
      </c:valAx>
      <c:spPr>
        <a:noFill/>
        <a:ln>
          <a:noFill/>
        </a:ln>
        <a:effectLst/>
      </c:spPr>
    </c:plotArea>
    <c:legend>
      <c:legendPos val="t"/>
      <c:layout>
        <c:manualLayout>
          <c:xMode val="edge"/>
          <c:yMode val="edge"/>
          <c:x val="0.48444979339647248"/>
          <c:y val="0.89716849219296213"/>
          <c:w val="0.14986472032773107"/>
          <c:h val="3.1272163528259969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US"/>
              <a:t>Number of opioid related deaths by financial year and OAT status</a:t>
            </a:r>
          </a:p>
        </c:rich>
      </c:tx>
      <c:layout>
        <c:manualLayout>
          <c:xMode val="edge"/>
          <c:yMode val="edge"/>
          <c:x val="0.29491376685371479"/>
          <c:y val="6.1131693530176084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4045029715334557"/>
          <c:y val="0.19409435321423188"/>
          <c:w val="0.74346250518196755"/>
          <c:h val="0.60134405772164856"/>
        </c:manualLayout>
      </c:layout>
      <c:barChart>
        <c:barDir val="col"/>
        <c:grouping val="stacked"/>
        <c:varyColors val="0"/>
        <c:ser>
          <c:idx val="0"/>
          <c:order val="0"/>
          <c:tx>
            <c:strRef>
              <c:f>'Table 9'!$AA$5</c:f>
              <c:strCache>
                <c:ptCount val="1"/>
                <c:pt idx="0">
                  <c:v>Observed (on OAT in year)</c:v>
                </c:pt>
              </c:strCache>
            </c:strRef>
          </c:tx>
          <c:spPr>
            <a:solidFill>
              <a:srgbClr val="C73918"/>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9'!$A$7:$A$15</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9'!$B$7:$B$15</c:f>
              <c:numCache>
                <c:formatCode>#,##0</c:formatCode>
                <c:ptCount val="9"/>
                <c:pt idx="0">
                  <c:v>64</c:v>
                </c:pt>
                <c:pt idx="1">
                  <c:v>80</c:v>
                </c:pt>
                <c:pt idx="2">
                  <c:v>124</c:v>
                </c:pt>
                <c:pt idx="3">
                  <c:v>184</c:v>
                </c:pt>
                <c:pt idx="4">
                  <c:v>199</c:v>
                </c:pt>
                <c:pt idx="5">
                  <c:v>198</c:v>
                </c:pt>
                <c:pt idx="6">
                  <c:v>225</c:v>
                </c:pt>
                <c:pt idx="7">
                  <c:v>227</c:v>
                </c:pt>
                <c:pt idx="8">
                  <c:v>163</c:v>
                </c:pt>
              </c:numCache>
            </c:numRef>
          </c:val>
          <c:extLst>
            <c:ext xmlns:c16="http://schemas.microsoft.com/office/drawing/2014/chart" uri="{C3380CC4-5D6E-409C-BE32-E72D297353CC}">
              <c16:uniqueId val="{00000000-3811-4347-827E-1ECBF1C75B6A}"/>
            </c:ext>
          </c:extLst>
        </c:ser>
        <c:ser>
          <c:idx val="1"/>
          <c:order val="1"/>
          <c:tx>
            <c:strRef>
              <c:f>'Table 9'!$AA$6</c:f>
              <c:strCache>
                <c:ptCount val="1"/>
                <c:pt idx="0">
                  <c:v>Observed (on OAT in preceding 4 years)</c:v>
                </c:pt>
              </c:strCache>
            </c:strRef>
          </c:tx>
          <c:spPr>
            <a:solidFill>
              <a:srgbClr val="F9EBE8"/>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9'!$A$7:$A$15</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9'!$C$7:$C$15</c:f>
              <c:numCache>
                <c:formatCode>#,##0</c:formatCode>
                <c:ptCount val="9"/>
                <c:pt idx="0">
                  <c:v>135</c:v>
                </c:pt>
                <c:pt idx="1">
                  <c:v>147</c:v>
                </c:pt>
                <c:pt idx="2">
                  <c:v>182</c:v>
                </c:pt>
                <c:pt idx="3">
                  <c:v>218</c:v>
                </c:pt>
                <c:pt idx="4">
                  <c:v>279</c:v>
                </c:pt>
                <c:pt idx="5">
                  <c:v>249</c:v>
                </c:pt>
                <c:pt idx="6">
                  <c:v>307</c:v>
                </c:pt>
                <c:pt idx="7">
                  <c:v>212</c:v>
                </c:pt>
                <c:pt idx="8">
                  <c:v>204</c:v>
                </c:pt>
              </c:numCache>
            </c:numRef>
          </c:val>
          <c:extLst>
            <c:ext xmlns:c16="http://schemas.microsoft.com/office/drawing/2014/chart" uri="{C3380CC4-5D6E-409C-BE32-E72D297353CC}">
              <c16:uniqueId val="{00000001-3811-4347-827E-1ECBF1C75B6A}"/>
            </c:ext>
          </c:extLst>
        </c:ser>
        <c:ser>
          <c:idx val="2"/>
          <c:order val="2"/>
          <c:tx>
            <c:strRef>
              <c:f>'Table 9'!$AA$7</c:f>
              <c:strCache>
                <c:ptCount val="1"/>
                <c:pt idx="0">
                  <c:v>Unobserved (not on OAT this year or preceeding 4 years)</c:v>
                </c:pt>
              </c:strCache>
            </c:strRef>
          </c:tx>
          <c:spPr>
            <a:solidFill>
              <a:srgbClr val="E39C8C"/>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9'!$A$7:$A$15</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9'!$D$7:$D$15</c:f>
              <c:numCache>
                <c:formatCode>#,##0</c:formatCode>
                <c:ptCount val="9"/>
                <c:pt idx="0">
                  <c:v>168</c:v>
                </c:pt>
                <c:pt idx="1">
                  <c:v>156</c:v>
                </c:pt>
                <c:pt idx="2">
                  <c:v>168</c:v>
                </c:pt>
                <c:pt idx="3">
                  <c:v>219</c:v>
                </c:pt>
                <c:pt idx="4">
                  <c:v>269</c:v>
                </c:pt>
                <c:pt idx="5">
                  <c:v>285</c:v>
                </c:pt>
                <c:pt idx="6">
                  <c:v>369</c:v>
                </c:pt>
                <c:pt idx="7">
                  <c:v>247</c:v>
                </c:pt>
                <c:pt idx="8">
                  <c:v>178</c:v>
                </c:pt>
              </c:numCache>
            </c:numRef>
          </c:val>
          <c:extLst>
            <c:ext xmlns:c16="http://schemas.microsoft.com/office/drawing/2014/chart" uri="{C3380CC4-5D6E-409C-BE32-E72D297353CC}">
              <c16:uniqueId val="{00000002-3811-4347-827E-1ECBF1C75B6A}"/>
            </c:ext>
          </c:extLst>
        </c:ser>
        <c:dLbls>
          <c:dLblPos val="ctr"/>
          <c:showLegendKey val="0"/>
          <c:showVal val="1"/>
          <c:showCatName val="0"/>
          <c:showSerName val="0"/>
          <c:showPercent val="0"/>
          <c:showBubbleSize val="0"/>
        </c:dLbls>
        <c:gapWidth val="50"/>
        <c:overlap val="100"/>
        <c:axId val="1066129440"/>
        <c:axId val="1382589631"/>
      </c:barChart>
      <c:catAx>
        <c:axId val="1066129440"/>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382589631"/>
        <c:crosses val="autoZero"/>
        <c:auto val="1"/>
        <c:lblAlgn val="ctr"/>
        <c:lblOffset val="100"/>
        <c:noMultiLvlLbl val="0"/>
      </c:catAx>
      <c:valAx>
        <c:axId val="138258963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Number of opioid related deaths</a:t>
                </a:r>
              </a:p>
            </c:rich>
          </c:tx>
          <c:layout>
            <c:manualLayout>
              <c:xMode val="edge"/>
              <c:yMode val="edge"/>
              <c:x val="1.8194280352191842E-2"/>
              <c:y val="0.41243703525355441"/>
            </c:manualLayout>
          </c:layout>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066129440"/>
        <c:crosses val="autoZero"/>
        <c:crossBetween val="between"/>
      </c:valAx>
      <c:spPr>
        <a:noFill/>
        <a:ln>
          <a:noFill/>
        </a:ln>
        <a:effectLst/>
      </c:spPr>
    </c:plotArea>
    <c:legend>
      <c:legendPos val="t"/>
      <c:layout>
        <c:manualLayout>
          <c:xMode val="edge"/>
          <c:yMode val="edge"/>
          <c:x val="0.12202896848339788"/>
          <c:y val="0.89743028221046472"/>
          <c:w val="0.87797103151660205"/>
          <c:h val="4.9583136006696255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US"/>
              <a:t>Number of opioid related hospital admissions by financial year and OAT status</a:t>
            </a:r>
          </a:p>
        </c:rich>
      </c:tx>
      <c:layout>
        <c:manualLayout>
          <c:xMode val="edge"/>
          <c:yMode val="edge"/>
          <c:x val="0.22763083658790514"/>
          <c:y val="4.8167906221355777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21471587576176582"/>
          <c:y val="0.14135649803650716"/>
          <c:w val="0.76602268999287404"/>
          <c:h val="0.59520774686274258"/>
        </c:manualLayout>
      </c:layout>
      <c:barChart>
        <c:barDir val="col"/>
        <c:grouping val="stacked"/>
        <c:varyColors val="0"/>
        <c:ser>
          <c:idx val="0"/>
          <c:order val="0"/>
          <c:tx>
            <c:strRef>
              <c:f>'Table 10'!$Y$5</c:f>
              <c:strCache>
                <c:ptCount val="1"/>
                <c:pt idx="0">
                  <c:v>Observed (on OAT in year)</c:v>
                </c:pt>
              </c:strCache>
            </c:strRef>
          </c:tx>
          <c:spPr>
            <a:solidFill>
              <a:srgbClr val="C73918"/>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9'!$A$7:$A$15</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10'!$B$7:$B$15</c:f>
              <c:numCache>
                <c:formatCode>#,##0</c:formatCode>
                <c:ptCount val="9"/>
                <c:pt idx="0">
                  <c:v>223</c:v>
                </c:pt>
                <c:pt idx="1">
                  <c:v>253</c:v>
                </c:pt>
                <c:pt idx="2">
                  <c:v>347</c:v>
                </c:pt>
                <c:pt idx="3">
                  <c:v>398</c:v>
                </c:pt>
                <c:pt idx="4">
                  <c:v>478</c:v>
                </c:pt>
                <c:pt idx="5">
                  <c:v>435</c:v>
                </c:pt>
                <c:pt idx="6">
                  <c:v>321</c:v>
                </c:pt>
                <c:pt idx="7">
                  <c:v>304</c:v>
                </c:pt>
                <c:pt idx="8">
                  <c:v>175</c:v>
                </c:pt>
              </c:numCache>
            </c:numRef>
          </c:val>
          <c:extLst>
            <c:ext xmlns:c16="http://schemas.microsoft.com/office/drawing/2014/chart" uri="{C3380CC4-5D6E-409C-BE32-E72D297353CC}">
              <c16:uniqueId val="{00000000-847A-46FB-A026-EA486AE97B55}"/>
            </c:ext>
          </c:extLst>
        </c:ser>
        <c:ser>
          <c:idx val="1"/>
          <c:order val="1"/>
          <c:tx>
            <c:strRef>
              <c:f>'Table 10'!$Y$6</c:f>
              <c:strCache>
                <c:ptCount val="1"/>
                <c:pt idx="0">
                  <c:v>Observed (on OAT in preceding 4 years)</c:v>
                </c:pt>
              </c:strCache>
            </c:strRef>
          </c:tx>
          <c:spPr>
            <a:solidFill>
              <a:srgbClr val="F9EBE8"/>
            </a:solidFill>
            <a:ln>
              <a:noFill/>
            </a:ln>
            <a:effectLst/>
          </c:spPr>
          <c:invertIfNegative val="0"/>
          <c:dLbls>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9'!$A$7:$A$15</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10'!$C$7:$C$15</c:f>
              <c:numCache>
                <c:formatCode>#,##0</c:formatCode>
                <c:ptCount val="9"/>
                <c:pt idx="0">
                  <c:v>142</c:v>
                </c:pt>
                <c:pt idx="1">
                  <c:v>157</c:v>
                </c:pt>
                <c:pt idx="2">
                  <c:v>150</c:v>
                </c:pt>
                <c:pt idx="3">
                  <c:v>181</c:v>
                </c:pt>
                <c:pt idx="4">
                  <c:v>195</c:v>
                </c:pt>
                <c:pt idx="5">
                  <c:v>171</c:v>
                </c:pt>
                <c:pt idx="6">
                  <c:v>156</c:v>
                </c:pt>
                <c:pt idx="7">
                  <c:v>102</c:v>
                </c:pt>
                <c:pt idx="8">
                  <c:v>95</c:v>
                </c:pt>
              </c:numCache>
            </c:numRef>
          </c:val>
          <c:extLst>
            <c:ext xmlns:c16="http://schemas.microsoft.com/office/drawing/2014/chart" uri="{C3380CC4-5D6E-409C-BE32-E72D297353CC}">
              <c16:uniqueId val="{00000001-847A-46FB-A026-EA486AE97B55}"/>
            </c:ext>
          </c:extLst>
        </c:ser>
        <c:ser>
          <c:idx val="2"/>
          <c:order val="2"/>
          <c:tx>
            <c:strRef>
              <c:f>'Table 10'!$Y$7</c:f>
              <c:strCache>
                <c:ptCount val="1"/>
                <c:pt idx="0">
                  <c:v>Unobserved (not on OAT this year or preceeding 4 years)</c:v>
                </c:pt>
              </c:strCache>
            </c:strRef>
          </c:tx>
          <c:spPr>
            <a:solidFill>
              <a:srgbClr val="E39C8C"/>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'Table 9'!$A$7:$A$15</c:f>
              <c:strCache>
                <c:ptCount val="9"/>
                <c:pt idx="0">
                  <c:v>2014/15</c:v>
                </c:pt>
                <c:pt idx="1">
                  <c:v>2015/16</c:v>
                </c:pt>
                <c:pt idx="2">
                  <c:v>2016/17</c:v>
                </c:pt>
                <c:pt idx="3">
                  <c:v>2017/18</c:v>
                </c:pt>
                <c:pt idx="4">
                  <c:v>2018/19</c:v>
                </c:pt>
                <c:pt idx="5">
                  <c:v>2019/20</c:v>
                </c:pt>
                <c:pt idx="6">
                  <c:v>2020/21</c:v>
                </c:pt>
                <c:pt idx="7">
                  <c:v>2021/22</c:v>
                </c:pt>
                <c:pt idx="8">
                  <c:v>2022/23</c:v>
                </c:pt>
              </c:strCache>
            </c:strRef>
          </c:cat>
          <c:val>
            <c:numRef>
              <c:f>'Table 10'!$D$7:$D$15</c:f>
              <c:numCache>
                <c:formatCode>#,##0</c:formatCode>
                <c:ptCount val="9"/>
                <c:pt idx="0">
                  <c:v>147</c:v>
                </c:pt>
                <c:pt idx="1">
                  <c:v>168</c:v>
                </c:pt>
                <c:pt idx="2">
                  <c:v>165</c:v>
                </c:pt>
                <c:pt idx="3">
                  <c:v>156</c:v>
                </c:pt>
                <c:pt idx="4">
                  <c:v>194</c:v>
                </c:pt>
                <c:pt idx="5">
                  <c:v>200</c:v>
                </c:pt>
                <c:pt idx="6">
                  <c:v>207</c:v>
                </c:pt>
                <c:pt idx="7">
                  <c:v>115</c:v>
                </c:pt>
                <c:pt idx="8">
                  <c:v>60</c:v>
                </c:pt>
              </c:numCache>
            </c:numRef>
          </c:val>
          <c:extLst>
            <c:ext xmlns:c16="http://schemas.microsoft.com/office/drawing/2014/chart" uri="{C3380CC4-5D6E-409C-BE32-E72D297353CC}">
              <c16:uniqueId val="{00000002-847A-46FB-A026-EA486AE97B55}"/>
            </c:ext>
          </c:extLst>
        </c:ser>
        <c:dLbls>
          <c:dLblPos val="ctr"/>
          <c:showLegendKey val="0"/>
          <c:showVal val="1"/>
          <c:showCatName val="0"/>
          <c:showSerName val="0"/>
          <c:showPercent val="0"/>
          <c:showBubbleSize val="0"/>
        </c:dLbls>
        <c:gapWidth val="50"/>
        <c:overlap val="100"/>
        <c:axId val="1066129440"/>
        <c:axId val="1382589631"/>
      </c:barChart>
      <c:catAx>
        <c:axId val="1066129440"/>
        <c:scaling>
          <c:orientation val="minMax"/>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Financial Year</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382589631"/>
        <c:crosses val="autoZero"/>
        <c:auto val="1"/>
        <c:lblAlgn val="ctr"/>
        <c:lblOffset val="100"/>
        <c:noMultiLvlLbl val="0"/>
      </c:catAx>
      <c:valAx>
        <c:axId val="138258963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a:t>Number of opioid related </a:t>
                </a:r>
              </a:p>
              <a:p>
                <a:pPr>
                  <a:defRPr/>
                </a:pPr>
                <a:r>
                  <a:rPr lang="en-GB"/>
                  <a:t>hospitalisations</a:t>
                </a:r>
              </a:p>
            </c:rich>
          </c:tx>
          <c:overlay val="0"/>
          <c:spPr>
            <a:noFill/>
            <a:ln>
              <a:noFill/>
            </a:ln>
            <a:effectLst/>
          </c:spPr>
          <c:txPr>
            <a:bodyPr rot="0" spcFirstLastPara="1" vertOverflow="ellipsis"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066129440"/>
        <c:crosses val="autoZero"/>
        <c:crossBetween val="between"/>
        <c:majorUnit val="200"/>
      </c:valAx>
      <c:spPr>
        <a:noFill/>
        <a:ln>
          <a:noFill/>
        </a:ln>
        <a:effectLst/>
      </c:spPr>
    </c:plotArea>
    <c:legend>
      <c:legendPos val="t"/>
      <c:layout>
        <c:manualLayout>
          <c:xMode val="edge"/>
          <c:yMode val="edge"/>
          <c:x val="0.11547960839730576"/>
          <c:y val="0.82036838477137031"/>
          <c:w val="0.88087759142366973"/>
          <c:h val="6.264294637032651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Style="combo" dx="26" fmlaLink="$AM$9" fmlaRange="$AI$9:$AI$16" noThreeD="1" sel="1" val="0"/>
</file>

<file path=xl/ctrlProps/ctrlProp2.xml><?xml version="1.0" encoding="utf-8"?>
<formControlPr xmlns="http://schemas.microsoft.com/office/spreadsheetml/2009/9/main" objectType="Drop" dropStyle="combo" dx="26" fmlaLink="$AM$9" fmlaRange="$AI$9:$AI$16" noThreeD="1" sel="1" val="0"/>
</file>

<file path=xl/ctrlProps/ctrlProp3.xml><?xml version="1.0" encoding="utf-8"?>
<formControlPr xmlns="http://schemas.microsoft.com/office/spreadsheetml/2009/9/main" objectType="Drop" dropStyle="combo" dx="26" fmlaLink="$AR$9" fmlaRange="$AN$9:$AN$16" noThreeD="1" sel="1" val="0"/>
</file>

<file path=xl/ctrlProps/ctrlProp4.xml><?xml version="1.0" encoding="utf-8"?>
<formControlPr xmlns="http://schemas.microsoft.com/office/spreadsheetml/2009/9/main" objectType="Drop" dropStyle="combo" dx="26" fmlaLink="$AD$9" fmlaRange="$Z$9:$Z$16" noThreeD="1" sel="1" val="0"/>
</file>

<file path=xl/ctrlProps/ctrlProp5.xml><?xml version="1.0" encoding="utf-8"?>
<formControlPr xmlns="http://schemas.microsoft.com/office/spreadsheetml/2009/9/main" objectType="Drop" dropStyle="combo" dx="26" fmlaLink="$AD$8" fmlaRange="$Z$8:$Z$15" noThreeD="1" sel="1" val="0"/>
</file>

<file path=xl/ctrlProps/ctrlProp6.xml><?xml version="1.0" encoding="utf-8"?>
<formControlPr xmlns="http://schemas.microsoft.com/office/spreadsheetml/2009/9/main" objectType="Drop" dropStyle="combo" dx="26" fmlaLink="$Q$9" fmlaRange="$M$9:$M$16" noThreeD="1" sel="1" val="0"/>
</file>

<file path=xl/ctrlProps/ctrlProp7.xml><?xml version="1.0" encoding="utf-8"?>
<formControlPr xmlns="http://schemas.microsoft.com/office/spreadsheetml/2009/9/main" objectType="Drop" dropStyle="combo" dx="26" fmlaLink="$AA$9" fmlaRange="$X$9:$X$16" noThreeD="1" sel="1" val="0"/>
</file>

<file path=xl/ctrlProps/ctrlProp8.xml><?xml version="1.0" encoding="utf-8"?>
<formControlPr xmlns="http://schemas.microsoft.com/office/spreadsheetml/2009/9/main" objectType="Drop" dropStyle="combo" dx="26" fmlaLink="$AW$9" fmlaRange="$AS$9:$AS$16" noThreeD="1" sel="1" val="0"/>
</file>

<file path=xl/ctrlProps/ctrlProp9.xml><?xml version="1.0" encoding="utf-8"?>
<formControlPr xmlns="http://schemas.microsoft.com/office/spreadsheetml/2009/9/main" objectType="Drop" dropStyle="combo" dx="26" fmlaLink="$BB$9" fmlaRange="$AX$9:$AX$16"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17.xml.rels><?xml version="1.0" encoding="UTF-8" standalone="yes"?>
<Relationships xmlns="http://schemas.openxmlformats.org/package/2006/relationships"><Relationship Id="rId3" Type="http://schemas.openxmlformats.org/officeDocument/2006/relationships/chart" Target="../charts/chart13.xml"/><Relationship Id="rId2" Type="http://schemas.openxmlformats.org/officeDocument/2006/relationships/chart" Target="../charts/chart12.xml"/><Relationship Id="rId1" Type="http://schemas.openxmlformats.org/officeDocument/2006/relationships/chart" Target="../charts/chart11.xml"/><Relationship Id="rId4" Type="http://schemas.openxmlformats.org/officeDocument/2006/relationships/chart" Target="../charts/chart14.xml"/></Relationships>
</file>

<file path=xl/drawings/_rels/drawing22.xml.rels><?xml version="1.0" encoding="UTF-8" standalone="yes"?>
<Relationships xmlns="http://schemas.openxmlformats.org/package/2006/relationships"><Relationship Id="rId3" Type="http://schemas.openxmlformats.org/officeDocument/2006/relationships/chart" Target="../charts/chart17.xml"/><Relationship Id="rId2" Type="http://schemas.openxmlformats.org/officeDocument/2006/relationships/chart" Target="../charts/chart16.xml"/><Relationship Id="rId1" Type="http://schemas.openxmlformats.org/officeDocument/2006/relationships/chart" Target="../charts/chart15.xml"/><Relationship Id="rId6" Type="http://schemas.openxmlformats.org/officeDocument/2006/relationships/chart" Target="../charts/chart20.xml"/><Relationship Id="rId5" Type="http://schemas.openxmlformats.org/officeDocument/2006/relationships/chart" Target="../charts/chart19.xml"/><Relationship Id="rId4" Type="http://schemas.openxmlformats.org/officeDocument/2006/relationships/chart" Target="../charts/chart18.xml"/></Relationships>
</file>

<file path=xl/drawings/_rels/drawing29.xml.rels><?xml version="1.0" encoding="UTF-8" standalone="yes"?>
<Relationships xmlns="http://schemas.openxmlformats.org/package/2006/relationships"><Relationship Id="rId8" Type="http://schemas.openxmlformats.org/officeDocument/2006/relationships/chart" Target="../charts/chart28.xml"/><Relationship Id="rId3" Type="http://schemas.openxmlformats.org/officeDocument/2006/relationships/chart" Target="../charts/chart23.xml"/><Relationship Id="rId7" Type="http://schemas.openxmlformats.org/officeDocument/2006/relationships/chart" Target="../charts/chart27.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chart" Target="../charts/chart26.xml"/><Relationship Id="rId5" Type="http://schemas.openxmlformats.org/officeDocument/2006/relationships/chart" Target="../charts/chart25.xml"/><Relationship Id="rId4" Type="http://schemas.openxmlformats.org/officeDocument/2006/relationships/chart" Target="../charts/chart24.xml"/></Relationships>
</file>

<file path=xl/drawings/_rels/drawing38.xml.rels><?xml version="1.0" encoding="UTF-8" standalone="yes"?>
<Relationships xmlns="http://schemas.openxmlformats.org/package/2006/relationships"><Relationship Id="rId1" Type="http://schemas.openxmlformats.org/officeDocument/2006/relationships/chart" Target="../charts/chart29.xml"/></Relationships>
</file>

<file path=xl/drawings/_rels/drawing39.xml.rels><?xml version="1.0" encoding="UTF-8" standalone="yes"?>
<Relationships xmlns="http://schemas.openxmlformats.org/package/2006/relationships"><Relationship Id="rId1" Type="http://schemas.openxmlformats.org/officeDocument/2006/relationships/chart" Target="../charts/chart30.xml"/></Relationships>
</file>

<file path=xl/drawings/drawing1.xml><?xml version="1.0" encoding="utf-8"?>
<xdr:wsDr xmlns:xdr="http://schemas.openxmlformats.org/drawingml/2006/spreadsheetDrawing" xmlns:a="http://schemas.openxmlformats.org/drawingml/2006/main">
  <xdr:twoCellAnchor>
    <xdr:from>
      <xdr:col>12</xdr:col>
      <xdr:colOff>64770</xdr:colOff>
      <xdr:row>0</xdr:row>
      <xdr:rowOff>28575</xdr:rowOff>
    </xdr:from>
    <xdr:to>
      <xdr:col>16</xdr:col>
      <xdr:colOff>209127</xdr:colOff>
      <xdr:row>4</xdr:row>
      <xdr:rowOff>153529</xdr:rowOff>
    </xdr:to>
    <xdr:pic>
      <xdr:nvPicPr>
        <xdr:cNvPr id="2" name="Picture 2" descr="Public Health Scotland logo">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22845" y="28575"/>
          <a:ext cx="2582757" cy="9155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247293</xdr:colOff>
      <xdr:row>4</xdr:row>
      <xdr:rowOff>192288</xdr:rowOff>
    </xdr:from>
    <xdr:to>
      <xdr:col>16</xdr:col>
      <xdr:colOff>2044700</xdr:colOff>
      <xdr:row>34</xdr:row>
      <xdr:rowOff>28575</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368630</xdr:colOff>
      <xdr:row>35</xdr:row>
      <xdr:rowOff>111788</xdr:rowOff>
    </xdr:from>
    <xdr:to>
      <xdr:col>16</xdr:col>
      <xdr:colOff>1993899</xdr:colOff>
      <xdr:row>54</xdr:row>
      <xdr:rowOff>0</xdr:rowOff>
    </xdr:to>
    <xdr:graphicFrame macro="">
      <xdr:nvGraphicFramePr>
        <xdr:cNvPr id="3" name="Chart 2">
          <a:extLst>
            <a:ext uri="{FF2B5EF4-FFF2-40B4-BE49-F238E27FC236}">
              <a16:creationId xmlns:a16="http://schemas.microsoft.com/office/drawing/2014/main" id="{00000000-0008-0000-01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editAs="oneCell">
        <xdr:from>
          <xdr:col>0</xdr:col>
          <xdr:colOff>38100</xdr:colOff>
          <xdr:row>5</xdr:row>
          <xdr:rowOff>25400</xdr:rowOff>
        </xdr:from>
        <xdr:to>
          <xdr:col>1</xdr:col>
          <xdr:colOff>101600</xdr:colOff>
          <xdr:row>6</xdr:row>
          <xdr:rowOff>101600</xdr:rowOff>
        </xdr:to>
        <xdr:sp macro="" textlink="">
          <xdr:nvSpPr>
            <xdr:cNvPr id="41987" name="Drop Down 3" hidden="1">
              <a:extLst>
                <a:ext uri="{63B3BB69-23CF-44E3-9099-C40C66FF867C}">
                  <a14:compatExt spid="_x0000_s41987"/>
                </a:ext>
                <a:ext uri="{FF2B5EF4-FFF2-40B4-BE49-F238E27FC236}">
                  <a16:creationId xmlns:a16="http://schemas.microsoft.com/office/drawing/2014/main" id="{00000000-0008-0000-0100-000003A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5</xdr:row>
          <xdr:rowOff>25400</xdr:rowOff>
        </xdr:from>
        <xdr:to>
          <xdr:col>1</xdr:col>
          <xdr:colOff>101600</xdr:colOff>
          <xdr:row>6</xdr:row>
          <xdr:rowOff>101600</xdr:rowOff>
        </xdr:to>
        <xdr:sp macro="" textlink="">
          <xdr:nvSpPr>
            <xdr:cNvPr id="41988" name="Drop Down 4" hidden="1">
              <a:extLst>
                <a:ext uri="{63B3BB69-23CF-44E3-9099-C40C66FF867C}">
                  <a14:compatExt spid="_x0000_s41988"/>
                </a:ext>
                <a:ext uri="{FF2B5EF4-FFF2-40B4-BE49-F238E27FC236}">
                  <a16:creationId xmlns:a16="http://schemas.microsoft.com/office/drawing/2014/main" id="{00000000-0008-0000-0100-000004A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c:userShapes xmlns:c="http://schemas.openxmlformats.org/drawingml/2006/chart">
  <cdr:relSizeAnchor xmlns:cdr="http://schemas.openxmlformats.org/drawingml/2006/chartDrawing">
    <cdr:from>
      <cdr:x>0.43473</cdr:x>
      <cdr:y>0.94008</cdr:y>
    </cdr:from>
    <cdr:to>
      <cdr:x>0.85796</cdr:x>
      <cdr:y>0.98974</cdr:y>
    </cdr:to>
    <cdr:sp macro="" textlink="">
      <cdr:nvSpPr>
        <cdr:cNvPr id="2" name="TextBox 1">
          <a:extLst xmlns:a="http://schemas.openxmlformats.org/drawingml/2006/main">
            <a:ext uri="{FF2B5EF4-FFF2-40B4-BE49-F238E27FC236}">
              <a16:creationId xmlns:a16="http://schemas.microsoft.com/office/drawing/2014/main" id="{7F90D1DE-90BC-4430-77F5-8AEC4520605F}"/>
            </a:ext>
          </a:extLst>
        </cdr:cNvPr>
        <cdr:cNvSpPr txBox="1"/>
      </cdr:nvSpPr>
      <cdr:spPr>
        <a:xfrm xmlns:a="http://schemas.openxmlformats.org/drawingml/2006/main">
          <a:off x="3176187" y="5239713"/>
          <a:ext cx="3092172" cy="276751"/>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0.42945</cdr:x>
      <cdr:y>0.8919</cdr:y>
    </cdr:from>
    <cdr:to>
      <cdr:x>0.85207</cdr:x>
      <cdr:y>0.93992</cdr:y>
    </cdr:to>
    <cdr:sp macro="" textlink="">
      <cdr:nvSpPr>
        <cdr:cNvPr id="2" name="TextBox 1">
          <a:extLst xmlns:a="http://schemas.openxmlformats.org/drawingml/2006/main">
            <a:ext uri="{FF2B5EF4-FFF2-40B4-BE49-F238E27FC236}">
              <a16:creationId xmlns:a16="http://schemas.microsoft.com/office/drawing/2014/main" id="{CC694EE4-BFBE-4190-1F7B-0BB5CFFB43C8}"/>
            </a:ext>
          </a:extLst>
        </cdr:cNvPr>
        <cdr:cNvSpPr txBox="1"/>
      </cdr:nvSpPr>
      <cdr:spPr>
        <a:xfrm xmlns:a="http://schemas.openxmlformats.org/drawingml/2006/main">
          <a:off x="3142987" y="5144654"/>
          <a:ext cx="3092977" cy="27702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1</xdr:col>
          <xdr:colOff>101600</xdr:colOff>
          <xdr:row>6</xdr:row>
          <xdr:rowOff>139700</xdr:rowOff>
        </xdr:to>
        <xdr:sp macro="" textlink="">
          <xdr:nvSpPr>
            <xdr:cNvPr id="13313" name="Drop Down 1" hidden="1">
              <a:extLst>
                <a:ext uri="{63B3BB69-23CF-44E3-9099-C40C66FF867C}">
                  <a14:compatExt spid="_x0000_s13313"/>
                </a:ext>
                <a:ext uri="{FF2B5EF4-FFF2-40B4-BE49-F238E27FC236}">
                  <a16:creationId xmlns:a16="http://schemas.microsoft.com/office/drawing/2014/main" id="{00000000-0008-0000-0200-000001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8</xdr:col>
      <xdr:colOff>247293</xdr:colOff>
      <xdr:row>3</xdr:row>
      <xdr:rowOff>135138</xdr:rowOff>
    </xdr:from>
    <xdr:to>
      <xdr:col>47</xdr:col>
      <xdr:colOff>73233</xdr:colOff>
      <xdr:row>35</xdr:row>
      <xdr:rowOff>21424</xdr:rowOff>
    </xdr:to>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388316</xdr:colOff>
      <xdr:row>35</xdr:row>
      <xdr:rowOff>92102</xdr:rowOff>
    </xdr:from>
    <xdr:to>
      <xdr:col>47</xdr:col>
      <xdr:colOff>225425</xdr:colOff>
      <xdr:row>59</xdr:row>
      <xdr:rowOff>107766</xdr:rowOff>
    </xdr:to>
    <xdr:graphicFrame macro="">
      <xdr:nvGraphicFramePr>
        <xdr:cNvPr id="3" name="Chart 2">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0.43473</cdr:x>
      <cdr:y>0.94008</cdr:y>
    </cdr:from>
    <cdr:to>
      <cdr:x>0.85796</cdr:x>
      <cdr:y>0.98974</cdr:y>
    </cdr:to>
    <cdr:sp macro="" textlink="">
      <cdr:nvSpPr>
        <cdr:cNvPr id="2" name="TextBox 1">
          <a:extLst xmlns:a="http://schemas.openxmlformats.org/drawingml/2006/main">
            <a:ext uri="{FF2B5EF4-FFF2-40B4-BE49-F238E27FC236}">
              <a16:creationId xmlns:a16="http://schemas.microsoft.com/office/drawing/2014/main" id="{7F90D1DE-90BC-4430-77F5-8AEC4520605F}"/>
            </a:ext>
          </a:extLst>
        </cdr:cNvPr>
        <cdr:cNvSpPr txBox="1"/>
      </cdr:nvSpPr>
      <cdr:spPr>
        <a:xfrm xmlns:a="http://schemas.openxmlformats.org/drawingml/2006/main">
          <a:off x="3176187" y="5239713"/>
          <a:ext cx="3092172" cy="276751"/>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0.42945</cdr:x>
      <cdr:y>0.8919</cdr:y>
    </cdr:from>
    <cdr:to>
      <cdr:x>0.85207</cdr:x>
      <cdr:y>0.93992</cdr:y>
    </cdr:to>
    <cdr:sp macro="" textlink="">
      <cdr:nvSpPr>
        <cdr:cNvPr id="2" name="TextBox 1">
          <a:extLst xmlns:a="http://schemas.openxmlformats.org/drawingml/2006/main">
            <a:ext uri="{FF2B5EF4-FFF2-40B4-BE49-F238E27FC236}">
              <a16:creationId xmlns:a16="http://schemas.microsoft.com/office/drawing/2014/main" id="{CC694EE4-BFBE-4190-1F7B-0BB5CFFB43C8}"/>
            </a:ext>
          </a:extLst>
        </cdr:cNvPr>
        <cdr:cNvSpPr txBox="1"/>
      </cdr:nvSpPr>
      <cdr:spPr>
        <a:xfrm xmlns:a="http://schemas.openxmlformats.org/drawingml/2006/main">
          <a:off x="3142987" y="5144654"/>
          <a:ext cx="3092977" cy="27702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1</xdr:col>
          <xdr:colOff>254000</xdr:colOff>
          <xdr:row>6</xdr:row>
          <xdr:rowOff>139700</xdr:rowOff>
        </xdr:to>
        <xdr:sp macro="" textlink="">
          <xdr:nvSpPr>
            <xdr:cNvPr id="19457" name="Drop Down 1" hidden="1">
              <a:extLst>
                <a:ext uri="{63B3BB69-23CF-44E3-9099-C40C66FF867C}">
                  <a14:compatExt spid="_x0000_s19457"/>
                </a:ext>
                <a:ext uri="{FF2B5EF4-FFF2-40B4-BE49-F238E27FC236}">
                  <a16:creationId xmlns:a16="http://schemas.microsoft.com/office/drawing/2014/main" id="{00000000-0008-0000-0300-000001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34</xdr:col>
      <xdr:colOff>17780</xdr:colOff>
      <xdr:row>40</xdr:row>
      <xdr:rowOff>342083</xdr:rowOff>
    </xdr:from>
    <xdr:to>
      <xdr:col>55</xdr:col>
      <xdr:colOff>85725</xdr:colOff>
      <xdr:row>72</xdr:row>
      <xdr:rowOff>135132</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33</xdr:col>
      <xdr:colOff>545465</xdr:colOff>
      <xdr:row>6</xdr:row>
      <xdr:rowOff>169545</xdr:rowOff>
    </xdr:from>
    <xdr:to>
      <xdr:col>55</xdr:col>
      <xdr:colOff>133350</xdr:colOff>
      <xdr:row>40</xdr:row>
      <xdr:rowOff>380999</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c:userShapes xmlns:c="http://schemas.openxmlformats.org/drawingml/2006/chart">
  <cdr:relSizeAnchor xmlns:cdr="http://schemas.openxmlformats.org/drawingml/2006/chartDrawing">
    <cdr:from>
      <cdr:x>0.45106</cdr:x>
      <cdr:y>0.9397</cdr:y>
    </cdr:from>
    <cdr:to>
      <cdr:x>0.87949</cdr:x>
      <cdr:y>0.98684</cdr:y>
    </cdr:to>
    <cdr:sp macro="" textlink="">
      <cdr:nvSpPr>
        <cdr:cNvPr id="3" name="TextBox 1">
          <a:extLst xmlns:a="http://schemas.openxmlformats.org/drawingml/2006/main">
            <a:ext uri="{FF2B5EF4-FFF2-40B4-BE49-F238E27FC236}">
              <a16:creationId xmlns:a16="http://schemas.microsoft.com/office/drawing/2014/main" id="{5B8B4A01-AAB5-9036-97D7-ED4C80130C22}"/>
            </a:ext>
          </a:extLst>
        </cdr:cNvPr>
        <cdr:cNvSpPr txBox="1"/>
      </cdr:nvSpPr>
      <cdr:spPr>
        <a:xfrm xmlns:a="http://schemas.openxmlformats.org/drawingml/2006/main">
          <a:off x="3292062" y="6486199"/>
          <a:ext cx="3126926" cy="32538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0.45705</cdr:x>
      <cdr:y>0.9186</cdr:y>
    </cdr:from>
    <cdr:to>
      <cdr:x>0.88995</cdr:x>
      <cdr:y>0.9653</cdr:y>
    </cdr:to>
    <cdr:sp macro="" textlink="">
      <cdr:nvSpPr>
        <cdr:cNvPr id="2" name="TextBox 1">
          <a:extLst xmlns:a="http://schemas.openxmlformats.org/drawingml/2006/main">
            <a:ext uri="{FF2B5EF4-FFF2-40B4-BE49-F238E27FC236}">
              <a16:creationId xmlns:a16="http://schemas.microsoft.com/office/drawing/2014/main" id="{472FF227-FA01-B3F3-856B-CE3A2B2C6F1D}"/>
            </a:ext>
          </a:extLst>
        </cdr:cNvPr>
        <cdr:cNvSpPr txBox="1"/>
      </cdr:nvSpPr>
      <cdr:spPr>
        <a:xfrm xmlns:a="http://schemas.openxmlformats.org/drawingml/2006/main">
          <a:off x="3301395" y="6400800"/>
          <a:ext cx="3126926" cy="32538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1</xdr:col>
          <xdr:colOff>0</xdr:colOff>
          <xdr:row>6</xdr:row>
          <xdr:rowOff>139700</xdr:rowOff>
        </xdr:to>
        <xdr:sp macro="" textlink="">
          <xdr:nvSpPr>
            <xdr:cNvPr id="9217" name="Drop Down 1" hidden="1">
              <a:extLst>
                <a:ext uri="{63B3BB69-23CF-44E3-9099-C40C66FF867C}">
                  <a14:compatExt spid="_x0000_s9217"/>
                </a:ext>
                <a:ext uri="{FF2B5EF4-FFF2-40B4-BE49-F238E27FC236}">
                  <a16:creationId xmlns:a16="http://schemas.microsoft.com/office/drawing/2014/main" id="{00000000-0008-0000-0400-000001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40</xdr:col>
      <xdr:colOff>388111</xdr:colOff>
      <xdr:row>6</xdr:row>
      <xdr:rowOff>187955</xdr:rowOff>
    </xdr:from>
    <xdr:to>
      <xdr:col>71</xdr:col>
      <xdr:colOff>66675</xdr:colOff>
      <xdr:row>37</xdr:row>
      <xdr:rowOff>276226</xdr:rowOff>
    </xdr:to>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40</xdr:col>
      <xdr:colOff>522802</xdr:colOff>
      <xdr:row>38</xdr:row>
      <xdr:rowOff>121307</xdr:rowOff>
    </xdr:from>
    <xdr:to>
      <xdr:col>60</xdr:col>
      <xdr:colOff>577850</xdr:colOff>
      <xdr:row>65</xdr:row>
      <xdr:rowOff>361950</xdr:rowOff>
    </xdr:to>
    <xdr:graphicFrame macro="">
      <xdr:nvGraphicFramePr>
        <xdr:cNvPr id="4" name="Chart 3">
          <a:extLst>
            <a:ext uri="{FF2B5EF4-FFF2-40B4-BE49-F238E27FC236}">
              <a16:creationId xmlns:a16="http://schemas.microsoft.com/office/drawing/2014/main" id="{00000000-0008-0000-04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0.46282</cdr:x>
      <cdr:y>0.8956</cdr:y>
    </cdr:from>
    <cdr:to>
      <cdr:x>0.71426</cdr:x>
      <cdr:y>0.95312</cdr:y>
    </cdr:to>
    <cdr:sp macro="" textlink="">
      <cdr:nvSpPr>
        <cdr:cNvPr id="3" name="TextBox 1">
          <a:extLst xmlns:a="http://schemas.openxmlformats.org/drawingml/2006/main">
            <a:ext uri="{FF2B5EF4-FFF2-40B4-BE49-F238E27FC236}">
              <a16:creationId xmlns:a16="http://schemas.microsoft.com/office/drawing/2014/main" id="{6B47D3C4-E675-4F3A-2BC3-15640D648970}"/>
            </a:ext>
          </a:extLst>
        </cdr:cNvPr>
        <cdr:cNvSpPr txBox="1"/>
      </cdr:nvSpPr>
      <cdr:spPr>
        <a:xfrm xmlns:a="http://schemas.openxmlformats.org/drawingml/2006/main">
          <a:off x="5798963" y="6299314"/>
          <a:ext cx="3150439" cy="40456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0.4661</cdr:x>
      <cdr:y>0.93091</cdr:y>
    </cdr:from>
    <cdr:to>
      <cdr:x>0.71765</cdr:x>
      <cdr:y>0.98481</cdr:y>
    </cdr:to>
    <cdr:sp macro="" textlink="">
      <cdr:nvSpPr>
        <cdr:cNvPr id="2" name="TextBox 1">
          <a:extLst xmlns:a="http://schemas.openxmlformats.org/drawingml/2006/main">
            <a:ext uri="{FF2B5EF4-FFF2-40B4-BE49-F238E27FC236}">
              <a16:creationId xmlns:a16="http://schemas.microsoft.com/office/drawing/2014/main" id="{3713D865-B3A7-86F4-2AA1-7427D4689A8E}"/>
            </a:ext>
          </a:extLst>
        </cdr:cNvPr>
        <cdr:cNvSpPr txBox="1"/>
      </cdr:nvSpPr>
      <cdr:spPr>
        <a:xfrm xmlns:a="http://schemas.openxmlformats.org/drawingml/2006/main">
          <a:off x="5801264" y="6036877"/>
          <a:ext cx="3130837" cy="349537"/>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intervals</a:t>
          </a:r>
          <a:endParaRPr lang="en-GB" sz="1200">
            <a:latin typeface="+mn-lt"/>
          </a:endParaRPr>
        </a:p>
      </cdr:txBody>
    </cdr:sp>
  </cdr:relSizeAnchor>
</c:userShapes>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1</xdr:col>
          <xdr:colOff>139700</xdr:colOff>
          <xdr:row>6</xdr:row>
          <xdr:rowOff>127000</xdr:rowOff>
        </xdr:to>
        <xdr:sp macro="" textlink="">
          <xdr:nvSpPr>
            <xdr:cNvPr id="43010" name="Drop Down 2" hidden="1">
              <a:extLst>
                <a:ext uri="{63B3BB69-23CF-44E3-9099-C40C66FF867C}">
                  <a14:compatExt spid="_x0000_s43010"/>
                </a:ext>
                <a:ext uri="{FF2B5EF4-FFF2-40B4-BE49-F238E27FC236}">
                  <a16:creationId xmlns:a16="http://schemas.microsoft.com/office/drawing/2014/main" id="{00000000-0008-0000-0500-000002A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20</xdr:col>
      <xdr:colOff>248180</xdr:colOff>
      <xdr:row>5</xdr:row>
      <xdr:rowOff>4169</xdr:rowOff>
    </xdr:from>
    <xdr:to>
      <xdr:col>42</xdr:col>
      <xdr:colOff>405979</xdr:colOff>
      <xdr:row>48</xdr:row>
      <xdr:rowOff>80963</xdr:rowOff>
    </xdr:to>
    <xdr:graphicFrame macro="">
      <xdr:nvGraphicFramePr>
        <xdr:cNvPr id="4" name="Chart 3">
          <a:extLst>
            <a:ext uri="{FF2B5EF4-FFF2-40B4-BE49-F238E27FC236}">
              <a16:creationId xmlns:a16="http://schemas.microsoft.com/office/drawing/2014/main" id="{00000000-0008-0000-05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20</xdr:col>
      <xdr:colOff>68036</xdr:colOff>
      <xdr:row>49</xdr:row>
      <xdr:rowOff>27214</xdr:rowOff>
    </xdr:from>
    <xdr:to>
      <xdr:col>42</xdr:col>
      <xdr:colOff>582782</xdr:colOff>
      <xdr:row>86</xdr:row>
      <xdr:rowOff>36541</xdr:rowOff>
    </xdr:to>
    <xdr:graphicFrame macro="">
      <xdr:nvGraphicFramePr>
        <xdr:cNvPr id="5" name="Chart 4">
          <a:extLst>
            <a:ext uri="{FF2B5EF4-FFF2-40B4-BE49-F238E27FC236}">
              <a16:creationId xmlns:a16="http://schemas.microsoft.com/office/drawing/2014/main" id="{00000000-0008-0000-05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0.17502</cdr:x>
      <cdr:y>0.89161</cdr:y>
    </cdr:from>
    <cdr:to>
      <cdr:x>0.89356</cdr:x>
      <cdr:y>0.95502</cdr:y>
    </cdr:to>
    <cdr:sp macro="" textlink="">
      <cdr:nvSpPr>
        <cdr:cNvPr id="2" name="TextBox 1">
          <a:extLst xmlns:a="http://schemas.openxmlformats.org/drawingml/2006/main">
            <a:ext uri="{FF2B5EF4-FFF2-40B4-BE49-F238E27FC236}">
              <a16:creationId xmlns:a16="http://schemas.microsoft.com/office/drawing/2014/main" id="{8892356C-530D-F446-73BE-E625CD3F9BB5}"/>
            </a:ext>
          </a:extLst>
        </cdr:cNvPr>
        <cdr:cNvSpPr txBox="1"/>
      </cdr:nvSpPr>
      <cdr:spPr>
        <a:xfrm xmlns:a="http://schemas.openxmlformats.org/drawingml/2006/main">
          <a:off x="2361510" y="9317683"/>
          <a:ext cx="9695116" cy="66265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effectLst/>
              <a:latin typeface="Arial" panose="020B0604020202020204" pitchFamily="34" charset="0"/>
              <a:ea typeface="+mn-ea"/>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endParaRPr lang="en-GB" sz="1200">
            <a:effectLst/>
            <a:latin typeface="Arial" panose="020B0604020202020204" pitchFamily="34" charset="0"/>
            <a:cs typeface="Arial" panose="020B0604020202020204" pitchFamily="34" charset="0"/>
          </a:endParaRPr>
        </a:p>
      </cdr:txBody>
    </cdr:sp>
  </cdr:relSizeAnchor>
  <cdr:relSizeAnchor xmlns:cdr="http://schemas.openxmlformats.org/drawingml/2006/chartDrawing">
    <cdr:from>
      <cdr:x>0.00376</cdr:x>
      <cdr:y>0.00486</cdr:y>
    </cdr:from>
    <cdr:to>
      <cdr:x>0.71473</cdr:x>
      <cdr:y>0.07501</cdr:y>
    </cdr:to>
    <cdr:sp macro="" textlink="">
      <cdr:nvSpPr>
        <cdr:cNvPr id="3" name="TextBox 1">
          <a:extLst xmlns:a="http://schemas.openxmlformats.org/drawingml/2006/main">
            <a:ext uri="{FF2B5EF4-FFF2-40B4-BE49-F238E27FC236}">
              <a16:creationId xmlns:a16="http://schemas.microsoft.com/office/drawing/2014/main" id="{58BA9BAA-D57A-CBA9-D64E-79696CFD828E}"/>
            </a:ext>
          </a:extLst>
        </cdr:cNvPr>
        <cdr:cNvSpPr txBox="1"/>
      </cdr:nvSpPr>
      <cdr:spPr>
        <a:xfrm xmlns:a="http://schemas.openxmlformats.org/drawingml/2006/main">
          <a:off x="50800" y="50800"/>
          <a:ext cx="9592969" cy="73307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GB" sz="1100"/>
        </a:p>
      </cdr:txBody>
    </cdr:sp>
  </cdr:relSizeAnchor>
</c:userShapes>
</file>

<file path=xl/drawings/drawing16.xml><?xml version="1.0" encoding="utf-8"?>
<c:userShapes xmlns:c="http://schemas.openxmlformats.org/drawingml/2006/chart">
  <cdr:relSizeAnchor xmlns:cdr="http://schemas.openxmlformats.org/drawingml/2006/chartDrawing">
    <cdr:from>
      <cdr:x>0.4556</cdr:x>
      <cdr:y>0.89726</cdr:y>
    </cdr:from>
    <cdr:to>
      <cdr:x>0.70529</cdr:x>
      <cdr:y>0.95839</cdr:y>
    </cdr:to>
    <cdr:sp macro="" textlink="">
      <cdr:nvSpPr>
        <cdr:cNvPr id="2" name="TextBox 1">
          <a:extLst xmlns:a="http://schemas.openxmlformats.org/drawingml/2006/main">
            <a:ext uri="{FF2B5EF4-FFF2-40B4-BE49-F238E27FC236}">
              <a16:creationId xmlns:a16="http://schemas.microsoft.com/office/drawing/2014/main" id="{21C86A46-BB37-9FD5-B71D-D4BC4E659B10}"/>
            </a:ext>
          </a:extLst>
        </cdr:cNvPr>
        <cdr:cNvSpPr txBox="1"/>
      </cdr:nvSpPr>
      <cdr:spPr>
        <a:xfrm xmlns:a="http://schemas.openxmlformats.org/drawingml/2006/main">
          <a:off x="5748481" y="6348611"/>
          <a:ext cx="3150438" cy="43249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intervales</a:t>
          </a:r>
          <a:endParaRPr lang="en-GB" sz="1200">
            <a:latin typeface="+mn-lt"/>
          </a:endParaRPr>
        </a:p>
      </cdr:txBody>
    </cdr:sp>
  </cdr:relSizeAnchor>
</c:userShapes>
</file>

<file path=xl/drawings/drawing1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0</xdr:col>
          <xdr:colOff>1441450</xdr:colOff>
          <xdr:row>6</xdr:row>
          <xdr:rowOff>101600</xdr:rowOff>
        </xdr:to>
        <xdr:sp macro="" textlink="">
          <xdr:nvSpPr>
            <xdr:cNvPr id="33793" name="Drop Down 1" hidden="1">
              <a:extLst>
                <a:ext uri="{63B3BB69-23CF-44E3-9099-C40C66FF867C}">
                  <a14:compatExt spid="_x0000_s33793"/>
                </a:ext>
                <a:ext uri="{FF2B5EF4-FFF2-40B4-BE49-F238E27FC236}">
                  <a16:creationId xmlns:a16="http://schemas.microsoft.com/office/drawing/2014/main" id="{00000000-0008-0000-0600-0000018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35</xdr:col>
      <xdr:colOff>287655</xdr:colOff>
      <xdr:row>2</xdr:row>
      <xdr:rowOff>57153</xdr:rowOff>
    </xdr:from>
    <xdr:to>
      <xdr:col>58</xdr:col>
      <xdr:colOff>58534</xdr:colOff>
      <xdr:row>45</xdr:row>
      <xdr:rowOff>17318</xdr:rowOff>
    </xdr:to>
    <xdr:graphicFrame macro="">
      <xdr:nvGraphicFramePr>
        <xdr:cNvPr id="6" name="Chart 5">
          <a:extLst>
            <a:ext uri="{FF2B5EF4-FFF2-40B4-BE49-F238E27FC236}">
              <a16:creationId xmlns:a16="http://schemas.microsoft.com/office/drawing/2014/main" id="{00000000-0008-0000-0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35</xdr:col>
      <xdr:colOff>191885</xdr:colOff>
      <xdr:row>46</xdr:row>
      <xdr:rowOff>70658</xdr:rowOff>
    </xdr:from>
    <xdr:to>
      <xdr:col>56</xdr:col>
      <xdr:colOff>528549</xdr:colOff>
      <xdr:row>76</xdr:row>
      <xdr:rowOff>30654</xdr:rowOff>
    </xdr:to>
    <xdr:graphicFrame macro="">
      <xdr:nvGraphicFramePr>
        <xdr:cNvPr id="7" name="Chart 6">
          <a:extLst>
            <a:ext uri="{FF2B5EF4-FFF2-40B4-BE49-F238E27FC236}">
              <a16:creationId xmlns:a16="http://schemas.microsoft.com/office/drawing/2014/main" id="{00000000-0008-0000-06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57</xdr:col>
      <xdr:colOff>77931</xdr:colOff>
      <xdr:row>0</xdr:row>
      <xdr:rowOff>0</xdr:rowOff>
    </xdr:from>
    <xdr:to>
      <xdr:col>79</xdr:col>
      <xdr:colOff>436701</xdr:colOff>
      <xdr:row>44</xdr:row>
      <xdr:rowOff>26324</xdr:rowOff>
    </xdr:to>
    <xdr:graphicFrame macro="">
      <xdr:nvGraphicFramePr>
        <xdr:cNvPr id="8" name="Chart 7">
          <a:extLst>
            <a:ext uri="{FF2B5EF4-FFF2-40B4-BE49-F238E27FC236}">
              <a16:creationId xmlns:a16="http://schemas.microsoft.com/office/drawing/2014/main" id="{00000000-0008-0000-06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57</xdr:col>
      <xdr:colOff>152054</xdr:colOff>
      <xdr:row>46</xdr:row>
      <xdr:rowOff>108932</xdr:rowOff>
    </xdr:from>
    <xdr:to>
      <xdr:col>79</xdr:col>
      <xdr:colOff>381976</xdr:colOff>
      <xdr:row>76</xdr:row>
      <xdr:rowOff>68857</xdr:rowOff>
    </xdr:to>
    <xdr:graphicFrame macro="">
      <xdr:nvGraphicFramePr>
        <xdr:cNvPr id="9" name="Chart 8">
          <a:extLst>
            <a:ext uri="{FF2B5EF4-FFF2-40B4-BE49-F238E27FC236}">
              <a16:creationId xmlns:a16="http://schemas.microsoft.com/office/drawing/2014/main" id="{00000000-0008-0000-06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8.xml><?xml version="1.0" encoding="utf-8"?>
<c:userShapes xmlns:c="http://schemas.openxmlformats.org/drawingml/2006/chart">
  <cdr:relSizeAnchor xmlns:cdr="http://schemas.openxmlformats.org/drawingml/2006/chartDrawing">
    <cdr:from>
      <cdr:x>0.21462</cdr:x>
      <cdr:y>0.89313</cdr:y>
    </cdr:from>
    <cdr:to>
      <cdr:x>0.91423</cdr:x>
      <cdr:y>0.9697</cdr:y>
    </cdr:to>
    <cdr:sp macro="" textlink="">
      <cdr:nvSpPr>
        <cdr:cNvPr id="2" name="TextBox 1">
          <a:extLst xmlns:a="http://schemas.openxmlformats.org/drawingml/2006/main">
            <a:ext uri="{FF2B5EF4-FFF2-40B4-BE49-F238E27FC236}">
              <a16:creationId xmlns:a16="http://schemas.microsoft.com/office/drawing/2014/main" id="{E57EEF46-F376-CC8E-18EB-7D62A5A0BD45}"/>
            </a:ext>
          </a:extLst>
        </cdr:cNvPr>
        <cdr:cNvSpPr txBox="1"/>
      </cdr:nvSpPr>
      <cdr:spPr>
        <a:xfrm xmlns:a="http://schemas.openxmlformats.org/drawingml/2006/main">
          <a:off x="2942937" y="9189808"/>
          <a:ext cx="9592969" cy="78788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19.xml><?xml version="1.0" encoding="utf-8"?>
<c:userShapes xmlns:c="http://schemas.openxmlformats.org/drawingml/2006/chart">
  <cdr:relSizeAnchor xmlns:cdr="http://schemas.openxmlformats.org/drawingml/2006/chartDrawing">
    <cdr:from>
      <cdr:x>0.45455</cdr:x>
      <cdr:y>0.9093</cdr:y>
    </cdr:from>
    <cdr:to>
      <cdr:x>0.72312</cdr:x>
      <cdr:y>0.97317</cdr:y>
    </cdr:to>
    <cdr:sp macro="" textlink="">
      <cdr:nvSpPr>
        <cdr:cNvPr id="2" name="TextBox 1">
          <a:extLst xmlns:a="http://schemas.openxmlformats.org/drawingml/2006/main">
            <a:ext uri="{FF2B5EF4-FFF2-40B4-BE49-F238E27FC236}">
              <a16:creationId xmlns:a16="http://schemas.microsoft.com/office/drawing/2014/main" id="{6A53CC8C-9463-7312-6339-5B50478E88C4}"/>
            </a:ext>
          </a:extLst>
        </cdr:cNvPr>
        <cdr:cNvSpPr txBox="1"/>
      </cdr:nvSpPr>
      <cdr:spPr>
        <a:xfrm xmlns:a="http://schemas.openxmlformats.org/drawingml/2006/main">
          <a:off x="5764020" y="6148897"/>
          <a:ext cx="3405612" cy="431903"/>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Error bars represent</a:t>
          </a:r>
          <a:r>
            <a:rPr lang="en-GB" sz="1200" baseline="0">
              <a:latin typeface="Arial" panose="020B0604020202020204" pitchFamily="34" charset="0"/>
              <a:cs typeface="Arial" panose="020B0604020202020204" pitchFamily="34" charset="0"/>
            </a:rPr>
            <a:t> 95% credible intervals</a:t>
          </a:r>
          <a:endParaRPr lang="en-GB" sz="1200">
            <a:latin typeface="Arial" panose="020B0604020202020204" pitchFamily="34" charset="0"/>
            <a:cs typeface="Arial" panose="020B0604020202020204" pitchFamily="34" charset="0"/>
          </a:endParaRPr>
        </a:p>
      </cdr:txBody>
    </cdr:sp>
  </cdr:relSizeAnchor>
</c:userShapes>
</file>

<file path=xl/drawings/drawing20.xml><?xml version="1.0" encoding="utf-8"?>
<c:userShapes xmlns:c="http://schemas.openxmlformats.org/drawingml/2006/chart">
  <cdr:relSizeAnchor xmlns:cdr="http://schemas.openxmlformats.org/drawingml/2006/chartDrawing">
    <cdr:from>
      <cdr:x>0.1883</cdr:x>
      <cdr:y>0.91063</cdr:y>
    </cdr:from>
    <cdr:to>
      <cdr:x>0.88864</cdr:x>
      <cdr:y>0.98542</cdr:y>
    </cdr:to>
    <cdr:sp macro="" textlink="">
      <cdr:nvSpPr>
        <cdr:cNvPr id="2" name="TextBox 1">
          <a:extLst xmlns:a="http://schemas.openxmlformats.org/drawingml/2006/main">
            <a:ext uri="{FF2B5EF4-FFF2-40B4-BE49-F238E27FC236}">
              <a16:creationId xmlns:a16="http://schemas.microsoft.com/office/drawing/2014/main" id="{4C63F636-E0F9-47B1-09DD-A843E5F2D9D9}"/>
            </a:ext>
          </a:extLst>
        </cdr:cNvPr>
        <cdr:cNvSpPr txBox="1"/>
      </cdr:nvSpPr>
      <cdr:spPr>
        <a:xfrm xmlns:a="http://schemas.openxmlformats.org/drawingml/2006/main">
          <a:off x="2579255" y="9593118"/>
          <a:ext cx="9592969" cy="78788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21.xml><?xml version="1.0" encoding="utf-8"?>
<c:userShapes xmlns:c="http://schemas.openxmlformats.org/drawingml/2006/chart">
  <cdr:relSizeAnchor xmlns:cdr="http://schemas.openxmlformats.org/drawingml/2006/chartDrawing">
    <cdr:from>
      <cdr:x>0.43122</cdr:x>
      <cdr:y>0.93884</cdr:y>
    </cdr:from>
    <cdr:to>
      <cdr:x>0.67624</cdr:x>
      <cdr:y>0.98575</cdr:y>
    </cdr:to>
    <cdr:sp macro="" textlink="">
      <cdr:nvSpPr>
        <cdr:cNvPr id="2" name="TextBox 1">
          <a:extLst xmlns:a="http://schemas.openxmlformats.org/drawingml/2006/main">
            <a:ext uri="{FF2B5EF4-FFF2-40B4-BE49-F238E27FC236}">
              <a16:creationId xmlns:a16="http://schemas.microsoft.com/office/drawing/2014/main" id="{6A53CC8C-9463-7312-6339-5B50478E88C4}"/>
            </a:ext>
          </a:extLst>
        </cdr:cNvPr>
        <cdr:cNvSpPr txBox="1"/>
      </cdr:nvSpPr>
      <cdr:spPr>
        <a:xfrm xmlns:a="http://schemas.openxmlformats.org/drawingml/2006/main">
          <a:off x="5643136" y="6337338"/>
          <a:ext cx="3206454" cy="316654"/>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Error bars represent</a:t>
          </a:r>
          <a:r>
            <a:rPr lang="en-GB" sz="1200" baseline="0">
              <a:latin typeface="Arial" panose="020B0604020202020204" pitchFamily="34" charset="0"/>
              <a:cs typeface="Arial" panose="020B0604020202020204" pitchFamily="34" charset="0"/>
            </a:rPr>
            <a:t> 95% credible intervals</a:t>
          </a:r>
          <a:endParaRPr lang="en-GB" sz="1200">
            <a:latin typeface="Arial" panose="020B0604020202020204" pitchFamily="34" charset="0"/>
            <a:cs typeface="Arial" panose="020B0604020202020204" pitchFamily="34" charset="0"/>
          </a:endParaRPr>
        </a:p>
      </cdr:txBody>
    </cdr:sp>
  </cdr:relSizeAnchor>
</c:userShapes>
</file>

<file path=xl/drawings/drawing2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1</xdr:col>
          <xdr:colOff>139700</xdr:colOff>
          <xdr:row>6</xdr:row>
          <xdr:rowOff>127000</xdr:rowOff>
        </xdr:to>
        <xdr:sp macro="" textlink="">
          <xdr:nvSpPr>
            <xdr:cNvPr id="34817" name="Drop Down 1" hidden="1">
              <a:extLst>
                <a:ext uri="{63B3BB69-23CF-44E3-9099-C40C66FF867C}">
                  <a14:compatExt spid="_x0000_s34817"/>
                </a:ext>
                <a:ext uri="{FF2B5EF4-FFF2-40B4-BE49-F238E27FC236}">
                  <a16:creationId xmlns:a16="http://schemas.microsoft.com/office/drawing/2014/main" id="{00000000-0008-0000-0700-0000018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17</xdr:col>
      <xdr:colOff>425333</xdr:colOff>
      <xdr:row>4</xdr:row>
      <xdr:rowOff>159942</xdr:rowOff>
    </xdr:from>
    <xdr:to>
      <xdr:col>51</xdr:col>
      <xdr:colOff>583102</xdr:colOff>
      <xdr:row>49</xdr:row>
      <xdr:rowOff>82432</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52</xdr:col>
      <xdr:colOff>499290</xdr:colOff>
      <xdr:row>5</xdr:row>
      <xdr:rowOff>117809</xdr:rowOff>
    </xdr:from>
    <xdr:to>
      <xdr:col>75</xdr:col>
      <xdr:colOff>41255</xdr:colOff>
      <xdr:row>51</xdr:row>
      <xdr:rowOff>60960</xdr:rowOff>
    </xdr:to>
    <xdr:graphicFrame macro="">
      <xdr:nvGraphicFramePr>
        <xdr:cNvPr id="5" name="Chart 4">
          <a:extLst>
            <a:ext uri="{FF2B5EF4-FFF2-40B4-BE49-F238E27FC236}">
              <a16:creationId xmlns:a16="http://schemas.microsoft.com/office/drawing/2014/main" id="{00000000-0008-0000-07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76</xdr:col>
      <xdr:colOff>210759</xdr:colOff>
      <xdr:row>6</xdr:row>
      <xdr:rowOff>75606</xdr:rowOff>
    </xdr:from>
    <xdr:to>
      <xdr:col>98</xdr:col>
      <xdr:colOff>368559</xdr:colOff>
      <xdr:row>51</xdr:row>
      <xdr:rowOff>152400</xdr:rowOff>
    </xdr:to>
    <xdr:graphicFrame macro="">
      <xdr:nvGraphicFramePr>
        <xdr:cNvPr id="6" name="Chart 5">
          <a:extLst>
            <a:ext uri="{FF2B5EF4-FFF2-40B4-BE49-F238E27FC236}">
              <a16:creationId xmlns:a16="http://schemas.microsoft.com/office/drawing/2014/main" id="{00000000-0008-0000-07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17</xdr:col>
      <xdr:colOff>311727</xdr:colOff>
      <xdr:row>50</xdr:row>
      <xdr:rowOff>68059</xdr:rowOff>
    </xdr:from>
    <xdr:to>
      <xdr:col>52</xdr:col>
      <xdr:colOff>392951</xdr:colOff>
      <xdr:row>84</xdr:row>
      <xdr:rowOff>92998</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53</xdr:col>
      <xdr:colOff>571501</xdr:colOff>
      <xdr:row>51</xdr:row>
      <xdr:rowOff>103088</xdr:rowOff>
    </xdr:from>
    <xdr:to>
      <xdr:col>75</xdr:col>
      <xdr:colOff>315585</xdr:colOff>
      <xdr:row>85</xdr:row>
      <xdr:rowOff>162272</xdr:rowOff>
    </xdr:to>
    <xdr:graphicFrame macro="">
      <xdr:nvGraphicFramePr>
        <xdr:cNvPr id="8" name="Chart 7">
          <a:extLst>
            <a:ext uri="{FF2B5EF4-FFF2-40B4-BE49-F238E27FC236}">
              <a16:creationId xmlns:a16="http://schemas.microsoft.com/office/drawing/2014/main" id="{00000000-0008-0000-07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77</xdr:col>
      <xdr:colOff>512197</xdr:colOff>
      <xdr:row>51</xdr:row>
      <xdr:rowOff>62814</xdr:rowOff>
    </xdr:from>
    <xdr:to>
      <xdr:col>98</xdr:col>
      <xdr:colOff>385239</xdr:colOff>
      <xdr:row>85</xdr:row>
      <xdr:rowOff>143047</xdr:rowOff>
    </xdr:to>
    <xdr:graphicFrame macro="">
      <xdr:nvGraphicFramePr>
        <xdr:cNvPr id="10" name="Chart 9">
          <a:extLst>
            <a:ext uri="{FF2B5EF4-FFF2-40B4-BE49-F238E27FC236}">
              <a16:creationId xmlns:a16="http://schemas.microsoft.com/office/drawing/2014/main" id="{00000000-0008-0000-07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23.xml><?xml version="1.0" encoding="utf-8"?>
<c:userShapes xmlns:c="http://schemas.openxmlformats.org/drawingml/2006/chart">
  <cdr:relSizeAnchor xmlns:cdr="http://schemas.openxmlformats.org/drawingml/2006/chartDrawing">
    <cdr:from>
      <cdr:x>0.21429</cdr:x>
      <cdr:y>0.90498</cdr:y>
    </cdr:from>
    <cdr:to>
      <cdr:x>0.92536</cdr:x>
      <cdr:y>0.97619</cdr:y>
    </cdr:to>
    <cdr:sp macro="" textlink="">
      <cdr:nvSpPr>
        <cdr:cNvPr id="3" name="TextBox 1">
          <a:extLst xmlns:a="http://schemas.openxmlformats.org/drawingml/2006/main">
            <a:ext uri="{FF2B5EF4-FFF2-40B4-BE49-F238E27FC236}">
              <a16:creationId xmlns:a16="http://schemas.microsoft.com/office/drawing/2014/main" id="{58BA9BAA-D57A-CBA9-D64E-79696CFD828E}"/>
            </a:ext>
          </a:extLst>
        </cdr:cNvPr>
        <cdr:cNvSpPr txBox="1"/>
      </cdr:nvSpPr>
      <cdr:spPr>
        <a:xfrm xmlns:a="http://schemas.openxmlformats.org/drawingml/2006/main">
          <a:off x="2890982" y="9316027"/>
          <a:ext cx="9592969" cy="73307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24.xml><?xml version="1.0" encoding="utf-8"?>
<c:userShapes xmlns:c="http://schemas.openxmlformats.org/drawingml/2006/chart">
  <cdr:relSizeAnchor xmlns:cdr="http://schemas.openxmlformats.org/drawingml/2006/chartDrawing">
    <cdr:from>
      <cdr:x>0.22187</cdr:x>
      <cdr:y>0.89372</cdr:y>
    </cdr:from>
    <cdr:to>
      <cdr:x>0.93254</cdr:x>
      <cdr:y>0.9634</cdr:y>
    </cdr:to>
    <cdr:sp macro="" textlink="">
      <cdr:nvSpPr>
        <cdr:cNvPr id="2" name="TextBox 1">
          <a:extLst xmlns:a="http://schemas.openxmlformats.org/drawingml/2006/main">
            <a:ext uri="{FF2B5EF4-FFF2-40B4-BE49-F238E27FC236}">
              <a16:creationId xmlns:a16="http://schemas.microsoft.com/office/drawing/2014/main" id="{58BA9BAA-D57A-CBA9-D64E-79696CFD828E}"/>
            </a:ext>
          </a:extLst>
        </cdr:cNvPr>
        <cdr:cNvSpPr txBox="1"/>
      </cdr:nvSpPr>
      <cdr:spPr>
        <a:xfrm xmlns:a="http://schemas.openxmlformats.org/drawingml/2006/main">
          <a:off x="2994891" y="9402618"/>
          <a:ext cx="9592969" cy="73307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25.xml><?xml version="1.0" encoding="utf-8"?>
<c:userShapes xmlns:c="http://schemas.openxmlformats.org/drawingml/2006/chart">
  <cdr:relSizeAnchor xmlns:cdr="http://schemas.openxmlformats.org/drawingml/2006/chartDrawing">
    <cdr:from>
      <cdr:x>0.17502</cdr:x>
      <cdr:y>0.89161</cdr:y>
    </cdr:from>
    <cdr:to>
      <cdr:x>0.89356</cdr:x>
      <cdr:y>0.95502</cdr:y>
    </cdr:to>
    <cdr:sp macro="" textlink="">
      <cdr:nvSpPr>
        <cdr:cNvPr id="2" name="TextBox 1">
          <a:extLst xmlns:a="http://schemas.openxmlformats.org/drawingml/2006/main">
            <a:ext uri="{FF2B5EF4-FFF2-40B4-BE49-F238E27FC236}">
              <a16:creationId xmlns:a16="http://schemas.microsoft.com/office/drawing/2014/main" id="{8892356C-530D-F446-73BE-E625CD3F9BB5}"/>
            </a:ext>
          </a:extLst>
        </cdr:cNvPr>
        <cdr:cNvSpPr txBox="1"/>
      </cdr:nvSpPr>
      <cdr:spPr>
        <a:xfrm xmlns:a="http://schemas.openxmlformats.org/drawingml/2006/main">
          <a:off x="2361510" y="9317683"/>
          <a:ext cx="9695116" cy="66265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effectLst/>
              <a:latin typeface="Arial" panose="020B0604020202020204" pitchFamily="34" charset="0"/>
              <a:ea typeface="+mn-ea"/>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endParaRPr lang="en-GB" sz="1200">
            <a:effectLst/>
            <a:latin typeface="Arial" panose="020B0604020202020204" pitchFamily="34" charset="0"/>
            <a:cs typeface="Arial" panose="020B0604020202020204" pitchFamily="34" charset="0"/>
          </a:endParaRPr>
        </a:p>
      </cdr:txBody>
    </cdr:sp>
  </cdr:relSizeAnchor>
  <cdr:relSizeAnchor xmlns:cdr="http://schemas.openxmlformats.org/drawingml/2006/chartDrawing">
    <cdr:from>
      <cdr:x>0.00376</cdr:x>
      <cdr:y>0.00486</cdr:y>
    </cdr:from>
    <cdr:to>
      <cdr:x>0.71473</cdr:x>
      <cdr:y>0.07501</cdr:y>
    </cdr:to>
    <cdr:sp macro="" textlink="">
      <cdr:nvSpPr>
        <cdr:cNvPr id="3" name="TextBox 1">
          <a:extLst xmlns:a="http://schemas.openxmlformats.org/drawingml/2006/main">
            <a:ext uri="{FF2B5EF4-FFF2-40B4-BE49-F238E27FC236}">
              <a16:creationId xmlns:a16="http://schemas.microsoft.com/office/drawing/2014/main" id="{58BA9BAA-D57A-CBA9-D64E-79696CFD828E}"/>
            </a:ext>
          </a:extLst>
        </cdr:cNvPr>
        <cdr:cNvSpPr txBox="1"/>
      </cdr:nvSpPr>
      <cdr:spPr>
        <a:xfrm xmlns:a="http://schemas.openxmlformats.org/drawingml/2006/main">
          <a:off x="50800" y="50800"/>
          <a:ext cx="9592969" cy="73307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GB" sz="1100"/>
        </a:p>
      </cdr:txBody>
    </cdr:sp>
  </cdr:relSizeAnchor>
</c:userShapes>
</file>

<file path=xl/drawings/drawing26.xml><?xml version="1.0" encoding="utf-8"?>
<c:userShapes xmlns:c="http://schemas.openxmlformats.org/drawingml/2006/chart">
  <cdr:relSizeAnchor xmlns:cdr="http://schemas.openxmlformats.org/drawingml/2006/chartDrawing">
    <cdr:from>
      <cdr:x>0.4556</cdr:x>
      <cdr:y>0.89726</cdr:y>
    </cdr:from>
    <cdr:to>
      <cdr:x>0.70529</cdr:x>
      <cdr:y>0.95839</cdr:y>
    </cdr:to>
    <cdr:sp macro="" textlink="">
      <cdr:nvSpPr>
        <cdr:cNvPr id="2" name="TextBox 1">
          <a:extLst xmlns:a="http://schemas.openxmlformats.org/drawingml/2006/main">
            <a:ext uri="{FF2B5EF4-FFF2-40B4-BE49-F238E27FC236}">
              <a16:creationId xmlns:a16="http://schemas.microsoft.com/office/drawing/2014/main" id="{21C86A46-BB37-9FD5-B71D-D4BC4E659B10}"/>
            </a:ext>
          </a:extLst>
        </cdr:cNvPr>
        <cdr:cNvSpPr txBox="1"/>
      </cdr:nvSpPr>
      <cdr:spPr>
        <a:xfrm xmlns:a="http://schemas.openxmlformats.org/drawingml/2006/main">
          <a:off x="5748481" y="6348611"/>
          <a:ext cx="3150438" cy="43249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intervales</a:t>
          </a:r>
          <a:endParaRPr lang="en-GB" sz="1200">
            <a:latin typeface="+mn-lt"/>
          </a:endParaRPr>
        </a:p>
      </cdr:txBody>
    </cdr:sp>
  </cdr:relSizeAnchor>
</c:userShapes>
</file>

<file path=xl/drawings/drawing27.xml><?xml version="1.0" encoding="utf-8"?>
<c:userShapes xmlns:c="http://schemas.openxmlformats.org/drawingml/2006/chart">
  <cdr:relSizeAnchor xmlns:cdr="http://schemas.openxmlformats.org/drawingml/2006/chartDrawing">
    <cdr:from>
      <cdr:x>0.45575</cdr:x>
      <cdr:y>0.91736</cdr:y>
    </cdr:from>
    <cdr:to>
      <cdr:x>0.70552</cdr:x>
      <cdr:y>0.97407</cdr:y>
    </cdr:to>
    <cdr:sp macro="" textlink="">
      <cdr:nvSpPr>
        <cdr:cNvPr id="2" name="TextBox 1">
          <a:extLst xmlns:a="http://schemas.openxmlformats.org/drawingml/2006/main">
            <a:ext uri="{FF2B5EF4-FFF2-40B4-BE49-F238E27FC236}">
              <a16:creationId xmlns:a16="http://schemas.microsoft.com/office/drawing/2014/main" id="{21C86A46-BB37-9FD5-B71D-D4BC4E659B10}"/>
            </a:ext>
          </a:extLst>
        </cdr:cNvPr>
        <cdr:cNvSpPr txBox="1"/>
      </cdr:nvSpPr>
      <cdr:spPr>
        <a:xfrm xmlns:a="http://schemas.openxmlformats.org/drawingml/2006/main">
          <a:off x="5748482" y="6545118"/>
          <a:ext cx="3150438" cy="40456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intervales</a:t>
          </a:r>
          <a:endParaRPr lang="en-GB" sz="1200">
            <a:latin typeface="+mn-lt"/>
          </a:endParaRPr>
        </a:p>
      </cdr:txBody>
    </cdr:sp>
  </cdr:relSizeAnchor>
</c:userShapes>
</file>

<file path=xl/drawings/drawing28.xml><?xml version="1.0" encoding="utf-8"?>
<c:userShapes xmlns:c="http://schemas.openxmlformats.org/drawingml/2006/chart">
  <cdr:relSizeAnchor xmlns:cdr="http://schemas.openxmlformats.org/drawingml/2006/chartDrawing">
    <cdr:from>
      <cdr:x>0.4642</cdr:x>
      <cdr:y>0.93872</cdr:y>
    </cdr:from>
    <cdr:to>
      <cdr:x>0.71419</cdr:x>
      <cdr:y>1</cdr:y>
    </cdr:to>
    <cdr:sp macro="" textlink="">
      <cdr:nvSpPr>
        <cdr:cNvPr id="2" name="TextBox 1">
          <a:extLst xmlns:a="http://schemas.openxmlformats.org/drawingml/2006/main">
            <a:ext uri="{FF2B5EF4-FFF2-40B4-BE49-F238E27FC236}">
              <a16:creationId xmlns:a16="http://schemas.microsoft.com/office/drawing/2014/main" id="{21C86A46-BB37-9FD5-B71D-D4BC4E659B10}"/>
            </a:ext>
          </a:extLst>
        </cdr:cNvPr>
        <cdr:cNvSpPr txBox="1"/>
      </cdr:nvSpPr>
      <cdr:spPr>
        <a:xfrm xmlns:a="http://schemas.openxmlformats.org/drawingml/2006/main">
          <a:off x="5852414" y="6724365"/>
          <a:ext cx="3151867" cy="439004"/>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intervales</a:t>
          </a:r>
          <a:endParaRPr lang="en-GB" sz="1200">
            <a:latin typeface="+mn-lt"/>
          </a:endParaRPr>
        </a:p>
      </cdr:txBody>
    </cdr:sp>
  </cdr:relSizeAnchor>
</c:userShapes>
</file>

<file path=xl/drawings/drawing2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5</xdr:row>
          <xdr:rowOff>63500</xdr:rowOff>
        </xdr:from>
        <xdr:to>
          <xdr:col>0</xdr:col>
          <xdr:colOff>1441450</xdr:colOff>
          <xdr:row>6</xdr:row>
          <xdr:rowOff>152400</xdr:rowOff>
        </xdr:to>
        <xdr:sp macro="" textlink="">
          <xdr:nvSpPr>
            <xdr:cNvPr id="35841" name="Drop Down 1" hidden="1">
              <a:extLst>
                <a:ext uri="{63B3BB69-23CF-44E3-9099-C40C66FF867C}">
                  <a14:compatExt spid="_x0000_s35841"/>
                </a:ext>
                <a:ext uri="{FF2B5EF4-FFF2-40B4-BE49-F238E27FC236}">
                  <a16:creationId xmlns:a16="http://schemas.microsoft.com/office/drawing/2014/main" id="{00000000-0008-0000-0800-0000018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18</xdr:col>
      <xdr:colOff>592800</xdr:colOff>
      <xdr:row>5</xdr:row>
      <xdr:rowOff>21301</xdr:rowOff>
    </xdr:from>
    <xdr:to>
      <xdr:col>40</xdr:col>
      <xdr:colOff>130926</xdr:colOff>
      <xdr:row>38</xdr:row>
      <xdr:rowOff>11335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19</xdr:col>
      <xdr:colOff>41512</xdr:colOff>
      <xdr:row>40</xdr:row>
      <xdr:rowOff>92278</xdr:rowOff>
    </xdr:from>
    <xdr:to>
      <xdr:col>39</xdr:col>
      <xdr:colOff>133176</xdr:colOff>
      <xdr:row>90</xdr:row>
      <xdr:rowOff>171967</xdr:rowOff>
    </xdr:to>
    <xdr:graphicFrame macro="">
      <xdr:nvGraphicFramePr>
        <xdr:cNvPr id="5" name="Chart 4">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xdr:col>
      <xdr:colOff>397874</xdr:colOff>
      <xdr:row>91</xdr:row>
      <xdr:rowOff>69073</xdr:rowOff>
    </xdr:from>
    <xdr:to>
      <xdr:col>40</xdr:col>
      <xdr:colOff>384779</xdr:colOff>
      <xdr:row>138</xdr:row>
      <xdr:rowOff>111763</xdr:rowOff>
    </xdr:to>
    <xdr:graphicFrame macro="">
      <xdr:nvGraphicFramePr>
        <xdr:cNvPr id="6" name="Chart 5">
          <a:extLst>
            <a:ext uri="{FF2B5EF4-FFF2-40B4-BE49-F238E27FC236}">
              <a16:creationId xmlns:a16="http://schemas.microsoft.com/office/drawing/2014/main" id="{00000000-0008-0000-08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58</xdr:col>
      <xdr:colOff>318133</xdr:colOff>
      <xdr:row>6</xdr:row>
      <xdr:rowOff>38619</xdr:rowOff>
    </xdr:from>
    <xdr:to>
      <xdr:col>80</xdr:col>
      <xdr:colOff>286334</xdr:colOff>
      <xdr:row>38</xdr:row>
      <xdr:rowOff>228600</xdr:rowOff>
    </xdr:to>
    <xdr:graphicFrame macro="">
      <xdr:nvGraphicFramePr>
        <xdr:cNvPr id="3" name="Chart 2">
          <a:extLst>
            <a:ext uri="{FF2B5EF4-FFF2-40B4-BE49-F238E27FC236}">
              <a16:creationId xmlns:a16="http://schemas.microsoft.com/office/drawing/2014/main"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59</xdr:col>
      <xdr:colOff>225137</xdr:colOff>
      <xdr:row>40</xdr:row>
      <xdr:rowOff>3266</xdr:rowOff>
    </xdr:from>
    <xdr:to>
      <xdr:col>81</xdr:col>
      <xdr:colOff>209739</xdr:colOff>
      <xdr:row>89</xdr:row>
      <xdr:rowOff>103128</xdr:rowOff>
    </xdr:to>
    <xdr:graphicFrame macro="">
      <xdr:nvGraphicFramePr>
        <xdr:cNvPr id="4" name="Chart 3">
          <a:extLst>
            <a:ext uri="{FF2B5EF4-FFF2-40B4-BE49-F238E27FC236}">
              <a16:creationId xmlns:a16="http://schemas.microsoft.com/office/drawing/2014/main" id="{00000000-0008-0000-08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60</xdr:col>
      <xdr:colOff>308263</xdr:colOff>
      <xdr:row>90</xdr:row>
      <xdr:rowOff>66478</xdr:rowOff>
    </xdr:from>
    <xdr:to>
      <xdr:col>82</xdr:col>
      <xdr:colOff>169718</xdr:colOff>
      <xdr:row>140</xdr:row>
      <xdr:rowOff>95249</xdr:rowOff>
    </xdr:to>
    <xdr:graphicFrame macro="">
      <xdr:nvGraphicFramePr>
        <xdr:cNvPr id="12" name="Chart 11">
          <a:extLst>
            <a:ext uri="{FF2B5EF4-FFF2-40B4-BE49-F238E27FC236}">
              <a16:creationId xmlns:a16="http://schemas.microsoft.com/office/drawing/2014/main" id="{00000000-0008-0000-08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19</xdr:col>
      <xdr:colOff>325064</xdr:colOff>
      <xdr:row>154</xdr:row>
      <xdr:rowOff>115335</xdr:rowOff>
    </xdr:from>
    <xdr:to>
      <xdr:col>41</xdr:col>
      <xdr:colOff>211628</xdr:colOff>
      <xdr:row>198</xdr:row>
      <xdr:rowOff>48142</xdr:rowOff>
    </xdr:to>
    <xdr:graphicFrame macro="">
      <xdr:nvGraphicFramePr>
        <xdr:cNvPr id="13" name="Chart 12">
          <a:extLst>
            <a:ext uri="{FF2B5EF4-FFF2-40B4-BE49-F238E27FC236}">
              <a16:creationId xmlns:a16="http://schemas.microsoft.com/office/drawing/2014/main" id="{00000000-0008-0000-08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56</xdr:col>
      <xdr:colOff>481099</xdr:colOff>
      <xdr:row>155</xdr:row>
      <xdr:rowOff>115512</xdr:rowOff>
    </xdr:from>
    <xdr:to>
      <xdr:col>80</xdr:col>
      <xdr:colOff>3115</xdr:colOff>
      <xdr:row>198</xdr:row>
      <xdr:rowOff>63558</xdr:rowOff>
    </xdr:to>
    <xdr:graphicFrame macro="">
      <xdr:nvGraphicFramePr>
        <xdr:cNvPr id="14" name="Chart 13">
          <a:extLst>
            <a:ext uri="{FF2B5EF4-FFF2-40B4-BE49-F238E27FC236}">
              <a16:creationId xmlns:a16="http://schemas.microsoft.com/office/drawing/2014/main" id="{00000000-0008-0000-08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59</xdr:col>
      <xdr:colOff>67368</xdr:colOff>
      <xdr:row>107</xdr:row>
      <xdr:rowOff>123132</xdr:rowOff>
    </xdr:from>
    <xdr:to>
      <xdr:col>80</xdr:col>
      <xdr:colOff>554182</xdr:colOff>
      <xdr:row>154</xdr:row>
      <xdr:rowOff>155863</xdr:rowOff>
    </xdr:to>
    <xdr:sp macro="" textlink="">
      <xdr:nvSpPr>
        <xdr:cNvPr id="7" name="GraphCover" hidden="1">
          <a:extLst>
            <a:ext uri="{FF2B5EF4-FFF2-40B4-BE49-F238E27FC236}">
              <a16:creationId xmlns:a16="http://schemas.microsoft.com/office/drawing/2014/main" id="{00000000-0008-0000-0800-000007000000}"/>
            </a:ext>
          </a:extLst>
        </xdr:cNvPr>
        <xdr:cNvSpPr/>
      </xdr:nvSpPr>
      <xdr:spPr>
        <a:xfrm>
          <a:off x="45510277" y="21199359"/>
          <a:ext cx="13215678" cy="8986231"/>
        </a:xfrm>
        <a:prstGeom prst="rect">
          <a:avLst/>
        </a:prstGeom>
        <a:solidFill>
          <a:schemeClr val="bg1"/>
        </a:solidFill>
        <a:ln>
          <a:solidFill>
            <a:schemeClr val="bg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100">
              <a:solidFill>
                <a:schemeClr val="tx1"/>
              </a:solidFill>
              <a:latin typeface="Arial" panose="020B0604020202020204" pitchFamily="34" charset="0"/>
              <a:cs typeface="Arial" panose="020B0604020202020204" pitchFamily="34" charset="0"/>
            </a:rPr>
            <a:t>Graph not generated due to stratifications with an estimated size of 100 people not being described in the corresponding tables</a:t>
          </a:r>
        </a:p>
      </xdr:txBody>
    </xdr:sp>
    <xdr:clientData/>
  </xdr:twoCellAnchor>
</xdr:wsDr>
</file>

<file path=xl/drawings/drawing30.xml><?xml version="1.0" encoding="utf-8"?>
<c:userShapes xmlns:c="http://schemas.openxmlformats.org/drawingml/2006/chart">
  <cdr:relSizeAnchor xmlns:cdr="http://schemas.openxmlformats.org/drawingml/2006/chartDrawing">
    <cdr:from>
      <cdr:x>0.1903</cdr:x>
      <cdr:y>0.92802</cdr:y>
    </cdr:from>
    <cdr:to>
      <cdr:x>0.92744</cdr:x>
      <cdr:y>1</cdr:y>
    </cdr:to>
    <cdr:sp macro="" textlink="">
      <cdr:nvSpPr>
        <cdr:cNvPr id="2" name="TextBox 1">
          <a:extLst xmlns:a="http://schemas.openxmlformats.org/drawingml/2006/main">
            <a:ext uri="{FF2B5EF4-FFF2-40B4-BE49-F238E27FC236}">
              <a16:creationId xmlns:a16="http://schemas.microsoft.com/office/drawing/2014/main" id="{26DCA42E-3D92-3B06-BD73-011B2A123E7C}"/>
            </a:ext>
          </a:extLst>
        </cdr:cNvPr>
        <cdr:cNvSpPr txBox="1"/>
      </cdr:nvSpPr>
      <cdr:spPr>
        <a:xfrm xmlns:a="http://schemas.openxmlformats.org/drawingml/2006/main">
          <a:off x="2476501" y="9451745"/>
          <a:ext cx="9592969" cy="73307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31.xml><?xml version="1.0" encoding="utf-8"?>
<c:userShapes xmlns:c="http://schemas.openxmlformats.org/drawingml/2006/chart">
  <cdr:relSizeAnchor xmlns:cdr="http://schemas.openxmlformats.org/drawingml/2006/chartDrawing">
    <cdr:from>
      <cdr:x>0.20632</cdr:x>
      <cdr:y>0.86687</cdr:y>
    </cdr:from>
    <cdr:to>
      <cdr:x>1</cdr:x>
      <cdr:y>0.92091</cdr:y>
    </cdr:to>
    <cdr:sp macro="" textlink="">
      <cdr:nvSpPr>
        <cdr:cNvPr id="2" name="TextBox 1">
          <a:extLst xmlns:a="http://schemas.openxmlformats.org/drawingml/2006/main">
            <a:ext uri="{FF2B5EF4-FFF2-40B4-BE49-F238E27FC236}">
              <a16:creationId xmlns:a16="http://schemas.microsoft.com/office/drawing/2014/main" id="{E1759B32-ABB6-3EB3-7C24-B5D3124D8CFA}"/>
            </a:ext>
          </a:extLst>
        </cdr:cNvPr>
        <cdr:cNvSpPr txBox="1"/>
      </cdr:nvSpPr>
      <cdr:spPr>
        <a:xfrm xmlns:a="http://schemas.openxmlformats.org/drawingml/2006/main">
          <a:off x="2520859" y="8298410"/>
          <a:ext cx="9697342" cy="51731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32.xml><?xml version="1.0" encoding="utf-8"?>
<c:userShapes xmlns:c="http://schemas.openxmlformats.org/drawingml/2006/chart">
  <cdr:relSizeAnchor xmlns:cdr="http://schemas.openxmlformats.org/drawingml/2006/chartDrawing">
    <cdr:from>
      <cdr:x>0.19893</cdr:x>
      <cdr:y>0.90956</cdr:y>
    </cdr:from>
    <cdr:to>
      <cdr:x>0.94779</cdr:x>
      <cdr:y>1</cdr:y>
    </cdr:to>
    <cdr:sp macro="" textlink="">
      <cdr:nvSpPr>
        <cdr:cNvPr id="2" name="TextBox 1">
          <a:extLst xmlns:a="http://schemas.openxmlformats.org/drawingml/2006/main">
            <a:ext uri="{FF2B5EF4-FFF2-40B4-BE49-F238E27FC236}">
              <a16:creationId xmlns:a16="http://schemas.microsoft.com/office/drawing/2014/main" id="{4E87AEE6-37FC-19C6-5726-6B8335D2489B}"/>
            </a:ext>
          </a:extLst>
        </cdr:cNvPr>
        <cdr:cNvSpPr txBox="1"/>
      </cdr:nvSpPr>
      <cdr:spPr>
        <a:xfrm xmlns:a="http://schemas.openxmlformats.org/drawingml/2006/main">
          <a:off x="2573581" y="8182600"/>
          <a:ext cx="9688136" cy="8135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33.xml><?xml version="1.0" encoding="utf-8"?>
<c:userShapes xmlns:c="http://schemas.openxmlformats.org/drawingml/2006/chart">
  <cdr:relSizeAnchor xmlns:cdr="http://schemas.openxmlformats.org/drawingml/2006/chartDrawing">
    <cdr:from>
      <cdr:x>0.24726</cdr:x>
      <cdr:y>0.91542</cdr:y>
    </cdr:from>
    <cdr:to>
      <cdr:x>0.97601</cdr:x>
      <cdr:y>0.96949</cdr:y>
    </cdr:to>
    <cdr:sp macro="" textlink="">
      <cdr:nvSpPr>
        <cdr:cNvPr id="2" name="TextBox 1">
          <a:extLst xmlns:a="http://schemas.openxmlformats.org/drawingml/2006/main">
            <a:ext uri="{FF2B5EF4-FFF2-40B4-BE49-F238E27FC236}">
              <a16:creationId xmlns:a16="http://schemas.microsoft.com/office/drawing/2014/main" id="{ECA23CCB-1374-BA8E-2E17-55571A4081A0}"/>
            </a:ext>
          </a:extLst>
        </cdr:cNvPr>
        <cdr:cNvSpPr txBox="1"/>
      </cdr:nvSpPr>
      <cdr:spPr>
        <a:xfrm xmlns:a="http://schemas.openxmlformats.org/drawingml/2006/main">
          <a:off x="3289300" y="8242300"/>
          <a:ext cx="9694372" cy="48681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34.xml><?xml version="1.0" encoding="utf-8"?>
<c:userShapes xmlns:c="http://schemas.openxmlformats.org/drawingml/2006/chart">
  <cdr:relSizeAnchor xmlns:cdr="http://schemas.openxmlformats.org/drawingml/2006/chartDrawing">
    <cdr:from>
      <cdr:x>0.28066</cdr:x>
      <cdr:y>0.90265</cdr:y>
    </cdr:from>
    <cdr:to>
      <cdr:x>1</cdr:x>
      <cdr:y>0.99488</cdr:y>
    </cdr:to>
    <cdr:sp macro="" textlink="">
      <cdr:nvSpPr>
        <cdr:cNvPr id="2" name="TextBox 1">
          <a:extLst xmlns:a="http://schemas.openxmlformats.org/drawingml/2006/main">
            <a:ext uri="{FF2B5EF4-FFF2-40B4-BE49-F238E27FC236}">
              <a16:creationId xmlns:a16="http://schemas.microsoft.com/office/drawing/2014/main" id="{10F9D7A2-8CD7-F138-DA4A-AFEEFD34998B}"/>
            </a:ext>
          </a:extLst>
        </cdr:cNvPr>
        <cdr:cNvSpPr txBox="1"/>
      </cdr:nvSpPr>
      <cdr:spPr>
        <a:xfrm xmlns:a="http://schemas.openxmlformats.org/drawingml/2006/main">
          <a:off x="3737263" y="8493177"/>
          <a:ext cx="9578529" cy="86784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35.xml><?xml version="1.0" encoding="utf-8"?>
<c:userShapes xmlns:c="http://schemas.openxmlformats.org/drawingml/2006/chart">
  <cdr:relSizeAnchor xmlns:cdr="http://schemas.openxmlformats.org/drawingml/2006/chartDrawing">
    <cdr:from>
      <cdr:x>0.23264</cdr:x>
      <cdr:y>0.90581</cdr:y>
    </cdr:from>
    <cdr:to>
      <cdr:x>0.96066</cdr:x>
      <cdr:y>0.95991</cdr:y>
    </cdr:to>
    <cdr:sp macro="" textlink="">
      <cdr:nvSpPr>
        <cdr:cNvPr id="2" name="TextBox 1">
          <a:extLst xmlns:a="http://schemas.openxmlformats.org/drawingml/2006/main">
            <a:ext uri="{FF2B5EF4-FFF2-40B4-BE49-F238E27FC236}">
              <a16:creationId xmlns:a16="http://schemas.microsoft.com/office/drawing/2014/main" id="{47AFB62C-E18C-47BF-3EDA-B1101B215A97}"/>
            </a:ext>
          </a:extLst>
        </cdr:cNvPr>
        <cdr:cNvSpPr txBox="1"/>
      </cdr:nvSpPr>
      <cdr:spPr>
        <a:xfrm xmlns:a="http://schemas.openxmlformats.org/drawingml/2006/main">
          <a:off x="3098800" y="8155710"/>
          <a:ext cx="9697147" cy="48712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Arial" panose="020B0604020202020204" pitchFamily="34" charset="0"/>
              <a:cs typeface="Arial" panose="020B0604020202020204" pitchFamily="34" charset="0"/>
            </a:rPr>
            <a:t>All numbers displayed for the ‘unobserved’ groups are defined as the rounded (to the nearest 100) population size estimate minus the number of people in the 'observed' cohort (i.e. the sum of the number of people 'On OAT in year' and 'On OAT in preceding 4 years'). As such, this is an approximation arising from statistical modelling and should not be interepreted as a reliable count of the number of people with opioid dependency who are not in contact with services. </a:t>
          </a:r>
        </a:p>
      </cdr:txBody>
    </cdr:sp>
  </cdr:relSizeAnchor>
</c:userShapes>
</file>

<file path=xl/drawings/drawing36.xml><?xml version="1.0" encoding="utf-8"?>
<c:userShapes xmlns:c="http://schemas.openxmlformats.org/drawingml/2006/chart">
  <cdr:relSizeAnchor xmlns:cdr="http://schemas.openxmlformats.org/drawingml/2006/chartDrawing">
    <cdr:from>
      <cdr:x>0.48668</cdr:x>
      <cdr:y>0.91392</cdr:y>
    </cdr:from>
    <cdr:to>
      <cdr:x>0.9025</cdr:x>
      <cdr:y>0.96379</cdr:y>
    </cdr:to>
    <cdr:sp macro="" textlink="">
      <cdr:nvSpPr>
        <cdr:cNvPr id="2" name="TextBox 1">
          <a:extLst xmlns:a="http://schemas.openxmlformats.org/drawingml/2006/main">
            <a:ext uri="{FF2B5EF4-FFF2-40B4-BE49-F238E27FC236}">
              <a16:creationId xmlns:a16="http://schemas.microsoft.com/office/drawing/2014/main" id="{6A53CC8C-9463-7312-6339-5B50478E88C4}"/>
            </a:ext>
          </a:extLst>
        </cdr:cNvPr>
        <cdr:cNvSpPr txBox="1"/>
      </cdr:nvSpPr>
      <cdr:spPr>
        <a:xfrm xmlns:a="http://schemas.openxmlformats.org/drawingml/2006/main">
          <a:off x="6692144" y="7609511"/>
          <a:ext cx="5717788" cy="415229"/>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intervales</a:t>
          </a:r>
          <a:endParaRPr lang="en-GB" sz="1200">
            <a:latin typeface="+mn-lt"/>
          </a:endParaRPr>
        </a:p>
      </cdr:txBody>
    </cdr:sp>
  </cdr:relSizeAnchor>
</c:userShapes>
</file>

<file path=xl/drawings/drawing37.xml><?xml version="1.0" encoding="utf-8"?>
<c:userShapes xmlns:c="http://schemas.openxmlformats.org/drawingml/2006/chart">
  <cdr:relSizeAnchor xmlns:cdr="http://schemas.openxmlformats.org/drawingml/2006/chartDrawing">
    <cdr:from>
      <cdr:x>0.46346</cdr:x>
      <cdr:y>0.92888</cdr:y>
    </cdr:from>
    <cdr:to>
      <cdr:x>0.87896</cdr:x>
      <cdr:y>0.97873</cdr:y>
    </cdr:to>
    <cdr:sp macro="" textlink="">
      <cdr:nvSpPr>
        <cdr:cNvPr id="2" name="TextBox 1">
          <a:extLst xmlns:a="http://schemas.openxmlformats.org/drawingml/2006/main">
            <a:ext uri="{FF2B5EF4-FFF2-40B4-BE49-F238E27FC236}">
              <a16:creationId xmlns:a16="http://schemas.microsoft.com/office/drawing/2014/main" id="{6A53CC8C-9463-7312-6339-5B50478E88C4}"/>
            </a:ext>
          </a:extLst>
        </cdr:cNvPr>
        <cdr:cNvSpPr txBox="1"/>
      </cdr:nvSpPr>
      <cdr:spPr>
        <a:xfrm xmlns:a="http://schemas.openxmlformats.org/drawingml/2006/main">
          <a:off x="6049932" y="7562418"/>
          <a:ext cx="5423906" cy="40585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1200">
              <a:latin typeface="+mn-lt"/>
            </a:rPr>
            <a:t>Error bars represent</a:t>
          </a:r>
          <a:r>
            <a:rPr lang="en-GB" sz="1200" baseline="0">
              <a:latin typeface="+mn-lt"/>
            </a:rPr>
            <a:t> 95% credible intervales</a:t>
          </a:r>
          <a:endParaRPr lang="en-GB" sz="1200">
            <a:latin typeface="+mn-lt"/>
          </a:endParaRPr>
        </a:p>
      </cdr:txBody>
    </cdr:sp>
  </cdr:relSizeAnchor>
</c:userShapes>
</file>

<file path=xl/drawings/drawing38.xml><?xml version="1.0" encoding="utf-8"?>
<xdr:wsDr xmlns:xdr="http://schemas.openxmlformats.org/drawingml/2006/spreadsheetDrawing" xmlns:a="http://schemas.openxmlformats.org/drawingml/2006/main">
  <xdr:twoCellAnchor>
    <xdr:from>
      <xdr:col>6</xdr:col>
      <xdr:colOff>640601</xdr:colOff>
      <xdr:row>3</xdr:row>
      <xdr:rowOff>91915</xdr:rowOff>
    </xdr:from>
    <xdr:to>
      <xdr:col>27</xdr:col>
      <xdr:colOff>447674</xdr:colOff>
      <xdr:row>28</xdr:row>
      <xdr:rowOff>31368</xdr:rowOff>
    </xdr:to>
    <xdr:graphicFrame macro="">
      <xdr:nvGraphicFramePr>
        <xdr:cNvPr id="3" name="Chart 2">
          <a:extLst>
            <a:ext uri="{FF2B5EF4-FFF2-40B4-BE49-F238E27FC236}">
              <a16:creationId xmlns:a16="http://schemas.microsoft.com/office/drawing/2014/main" id="{00000000-0008-0000-09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9.xml><?xml version="1.0" encoding="utf-8"?>
<xdr:wsDr xmlns:xdr="http://schemas.openxmlformats.org/drawingml/2006/spreadsheetDrawing" xmlns:a="http://schemas.openxmlformats.org/drawingml/2006/main">
  <xdr:twoCellAnchor>
    <xdr:from>
      <xdr:col>6</xdr:col>
      <xdr:colOff>345437</xdr:colOff>
      <xdr:row>4</xdr:row>
      <xdr:rowOff>18001</xdr:rowOff>
    </xdr:from>
    <xdr:to>
      <xdr:col>23</xdr:col>
      <xdr:colOff>504264</xdr:colOff>
      <xdr:row>29</xdr:row>
      <xdr:rowOff>22411</xdr:rowOff>
    </xdr:to>
    <xdr:graphicFrame macro="">
      <xdr:nvGraphicFramePr>
        <xdr:cNvPr id="2" name="Chart 1">
          <a:extLst>
            <a:ext uri="{FF2B5EF4-FFF2-40B4-BE49-F238E27FC236}">
              <a16:creationId xmlns:a16="http://schemas.microsoft.com/office/drawing/2014/main" id="{00000000-0008-0000-0A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2.xml"/><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printerSettings" Target="../printerSettings/printerSettings1.bin"/><Relationship Id="rId4" Type="http://schemas.openxmlformats.org/officeDocument/2006/relationships/ctrlProp" Target="../ctrlProps/ctrlProp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3.vml"/><Relationship Id="rId1" Type="http://schemas.openxmlformats.org/officeDocument/2006/relationships/drawing" Target="../drawings/drawing8.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4.vml"/><Relationship Id="rId1" Type="http://schemas.openxmlformats.org/officeDocument/2006/relationships/drawing" Target="../drawings/drawing11.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5.vml"/><Relationship Id="rId1" Type="http://schemas.openxmlformats.org/officeDocument/2006/relationships/drawing" Target="../drawings/drawing14.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6.vml"/><Relationship Id="rId1" Type="http://schemas.openxmlformats.org/officeDocument/2006/relationships/drawing" Target="../drawings/drawing1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7.vml"/><Relationship Id="rId1" Type="http://schemas.openxmlformats.org/officeDocument/2006/relationships/drawing" Target="../drawings/drawing22.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8.vml"/><Relationship Id="rId1" Type="http://schemas.openxmlformats.org/officeDocument/2006/relationships/drawing" Target="../drawings/drawing2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38.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3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CED582-7B68-4D12-AA15-A6A3A0444ECB}">
  <sheetPr codeName="Sheet1"/>
  <dimension ref="A1:R29"/>
  <sheetViews>
    <sheetView showGridLines="0" tabSelected="1" workbookViewId="0">
      <selection sqref="A1:XFD1"/>
    </sheetView>
  </sheetViews>
  <sheetFormatPr defaultColWidth="8.81640625" defaultRowHeight="15.5" x14ac:dyDescent="0.35"/>
  <cols>
    <col min="1" max="1" width="11" style="5" customWidth="1"/>
    <col min="2" max="16384" width="8.81640625" style="5"/>
  </cols>
  <sheetData>
    <row r="1" spans="1:2" ht="18" x14ac:dyDescent="0.35">
      <c r="A1" s="161"/>
    </row>
    <row r="2" spans="1:2" x14ac:dyDescent="0.35">
      <c r="A2" s="157" t="s">
        <v>116</v>
      </c>
    </row>
    <row r="3" spans="1:2" x14ac:dyDescent="0.35">
      <c r="A3" s="157" t="s">
        <v>0</v>
      </c>
    </row>
    <row r="4" spans="1:2" x14ac:dyDescent="0.35">
      <c r="A4" s="158"/>
    </row>
    <row r="5" spans="1:2" x14ac:dyDescent="0.35">
      <c r="A5" s="159" t="s">
        <v>122</v>
      </c>
    </row>
    <row r="6" spans="1:2" x14ac:dyDescent="0.35">
      <c r="A6" s="24"/>
    </row>
    <row r="7" spans="1:2" x14ac:dyDescent="0.35">
      <c r="A7" s="159" t="s">
        <v>1</v>
      </c>
    </row>
    <row r="8" spans="1:2" x14ac:dyDescent="0.35">
      <c r="A8" s="24" t="s">
        <v>2</v>
      </c>
    </row>
    <row r="10" spans="1:2" x14ac:dyDescent="0.35">
      <c r="A10" s="160" t="s">
        <v>3</v>
      </c>
      <c r="B10" s="5" t="s">
        <v>117</v>
      </c>
    </row>
    <row r="11" spans="1:2" x14ac:dyDescent="0.35">
      <c r="A11" s="160" t="s">
        <v>4</v>
      </c>
      <c r="B11" s="5" t="s">
        <v>118</v>
      </c>
    </row>
    <row r="12" spans="1:2" x14ac:dyDescent="0.35">
      <c r="A12" s="160" t="s">
        <v>5</v>
      </c>
      <c r="B12" s="5" t="s">
        <v>119</v>
      </c>
    </row>
    <row r="13" spans="1:2" x14ac:dyDescent="0.35">
      <c r="A13" s="160" t="s">
        <v>6</v>
      </c>
      <c r="B13" s="5" t="s">
        <v>120</v>
      </c>
    </row>
    <row r="14" spans="1:2" x14ac:dyDescent="0.35">
      <c r="A14" s="160" t="s">
        <v>7</v>
      </c>
      <c r="B14" s="5" t="s">
        <v>8</v>
      </c>
    </row>
    <row r="15" spans="1:2" x14ac:dyDescent="0.35">
      <c r="A15" s="160" t="s">
        <v>9</v>
      </c>
      <c r="B15" s="5" t="s">
        <v>10</v>
      </c>
    </row>
    <row r="16" spans="1:2" x14ac:dyDescent="0.35">
      <c r="A16" s="160" t="s">
        <v>11</v>
      </c>
      <c r="B16" s="5" t="s">
        <v>12</v>
      </c>
    </row>
    <row r="17" spans="1:18" x14ac:dyDescent="0.35">
      <c r="A17" s="160" t="s">
        <v>13</v>
      </c>
      <c r="B17" s="5" t="s">
        <v>14</v>
      </c>
    </row>
    <row r="18" spans="1:18" x14ac:dyDescent="0.35">
      <c r="A18" s="160" t="s">
        <v>15</v>
      </c>
      <c r="B18" s="5" t="s">
        <v>16</v>
      </c>
    </row>
    <row r="19" spans="1:18" x14ac:dyDescent="0.35">
      <c r="A19" s="6" t="s">
        <v>17</v>
      </c>
      <c r="B19" s="5" t="s">
        <v>18</v>
      </c>
    </row>
    <row r="22" spans="1:18" x14ac:dyDescent="0.35">
      <c r="A22" s="10" t="s">
        <v>19</v>
      </c>
    </row>
    <row r="23" spans="1:18" x14ac:dyDescent="0.35">
      <c r="A23" s="163" t="s">
        <v>20</v>
      </c>
      <c r="B23" s="163"/>
      <c r="C23" s="163"/>
      <c r="D23" s="163"/>
      <c r="E23" s="163"/>
      <c r="F23" s="163"/>
      <c r="G23" s="163"/>
      <c r="H23" s="163"/>
      <c r="I23" s="163"/>
      <c r="J23" s="163"/>
      <c r="K23" s="163"/>
      <c r="L23" s="163"/>
      <c r="M23" s="163"/>
      <c r="N23" s="163"/>
      <c r="O23" s="163"/>
      <c r="P23" s="163"/>
      <c r="Q23" s="163"/>
      <c r="R23" s="163"/>
    </row>
    <row r="24" spans="1:18" x14ac:dyDescent="0.35">
      <c r="A24" s="163" t="s">
        <v>565</v>
      </c>
      <c r="B24" s="163"/>
      <c r="C24" s="163"/>
      <c r="D24" s="163"/>
      <c r="E24" s="163"/>
      <c r="F24" s="163"/>
      <c r="G24" s="163"/>
      <c r="H24" s="163"/>
      <c r="I24" s="163"/>
      <c r="J24" s="163"/>
      <c r="K24" s="163"/>
      <c r="L24" s="163"/>
      <c r="M24" s="163"/>
      <c r="N24" s="163"/>
      <c r="O24" s="163"/>
      <c r="P24" s="163"/>
      <c r="Q24" s="163"/>
      <c r="R24" s="163"/>
    </row>
    <row r="25" spans="1:18" x14ac:dyDescent="0.35">
      <c r="A25" s="162" t="s">
        <v>564</v>
      </c>
      <c r="B25" s="162"/>
      <c r="C25" s="162"/>
      <c r="D25" s="162"/>
      <c r="E25" s="162"/>
      <c r="F25" s="162"/>
      <c r="G25" s="162"/>
      <c r="H25" s="162"/>
      <c r="I25" s="162"/>
      <c r="J25" s="162"/>
      <c r="K25" s="162"/>
      <c r="L25" s="162"/>
      <c r="M25" s="162"/>
      <c r="N25" s="162"/>
      <c r="O25" s="162"/>
      <c r="P25" s="162"/>
      <c r="Q25" s="162"/>
      <c r="R25" s="162"/>
    </row>
    <row r="26" spans="1:18" ht="47.5" customHeight="1" x14ac:dyDescent="0.35">
      <c r="A26" s="164" t="s">
        <v>576</v>
      </c>
      <c r="B26" s="164"/>
      <c r="C26" s="164"/>
      <c r="D26" s="164"/>
      <c r="E26" s="164"/>
      <c r="F26" s="164"/>
      <c r="G26" s="164"/>
      <c r="H26" s="164"/>
      <c r="I26" s="164"/>
      <c r="J26" s="164"/>
      <c r="K26" s="164"/>
      <c r="L26" s="164"/>
      <c r="M26" s="164"/>
      <c r="N26" s="164"/>
      <c r="O26" s="164"/>
      <c r="P26" s="164"/>
      <c r="Q26" s="164"/>
      <c r="R26" s="164"/>
    </row>
    <row r="27" spans="1:18" x14ac:dyDescent="0.35">
      <c r="A27" s="163" t="s">
        <v>573</v>
      </c>
      <c r="B27" s="163"/>
      <c r="C27" s="163"/>
      <c r="D27" s="163"/>
      <c r="E27" s="163"/>
      <c r="F27" s="163"/>
      <c r="G27" s="163"/>
      <c r="H27" s="163"/>
      <c r="I27" s="163"/>
      <c r="J27" s="163"/>
      <c r="K27" s="163"/>
      <c r="L27" s="163"/>
      <c r="M27" s="163"/>
      <c r="N27" s="163"/>
      <c r="O27" s="163"/>
      <c r="P27" s="163"/>
      <c r="Q27" s="163"/>
      <c r="R27" s="163"/>
    </row>
    <row r="28" spans="1:18" ht="30" customHeight="1" x14ac:dyDescent="0.35">
      <c r="A28" s="165" t="s">
        <v>574</v>
      </c>
      <c r="B28" s="165"/>
      <c r="C28" s="165"/>
      <c r="D28" s="165"/>
      <c r="E28" s="165"/>
      <c r="F28" s="165"/>
      <c r="G28" s="165"/>
      <c r="H28" s="165"/>
      <c r="I28" s="165"/>
      <c r="J28" s="165"/>
      <c r="K28" s="165"/>
      <c r="L28" s="165"/>
      <c r="M28" s="165"/>
      <c r="N28" s="165"/>
      <c r="O28" s="165"/>
      <c r="P28" s="165"/>
      <c r="Q28" s="165"/>
      <c r="R28" s="165"/>
    </row>
    <row r="29" spans="1:18" x14ac:dyDescent="0.35">
      <c r="A29" s="163" t="s">
        <v>575</v>
      </c>
      <c r="B29" s="163"/>
      <c r="C29" s="163"/>
      <c r="D29" s="163"/>
      <c r="E29" s="163"/>
      <c r="F29" s="163"/>
      <c r="G29" s="163"/>
      <c r="H29" s="163"/>
      <c r="I29" s="163"/>
      <c r="J29" s="163"/>
      <c r="K29" s="163"/>
      <c r="L29" s="163"/>
      <c r="M29" s="163"/>
      <c r="N29" s="163"/>
      <c r="O29" s="163"/>
      <c r="P29" s="163"/>
      <c r="Q29" s="163"/>
      <c r="R29" s="163"/>
    </row>
  </sheetData>
  <mergeCells count="6">
    <mergeCell ref="A29:R29"/>
    <mergeCell ref="A23:R23"/>
    <mergeCell ref="A27:R27"/>
    <mergeCell ref="A26:R26"/>
    <mergeCell ref="A28:R28"/>
    <mergeCell ref="A24:R24"/>
  </mergeCells>
  <hyperlinks>
    <hyperlink ref="A10" location="'Table 1'!A1" display="Table 1" xr:uid="{9B0CF40E-3AC0-46F5-9ACA-F08CCB0B7B01}"/>
    <hyperlink ref="A11" location="'Table 2'!A1" display="Table 2" xr:uid="{EAB8AA07-7623-4823-A252-48C33F63C230}"/>
    <hyperlink ref="A12" location="'Table 3'!A1" display="Table 3" xr:uid="{8F1076D6-9FF8-4D07-8FD9-A27569AADE15}"/>
    <hyperlink ref="A13" location="'Table 4'!A1" display="Table 4" xr:uid="{D2EC49DE-70F2-4F7B-A2A1-BD1D56DC5B40}"/>
    <hyperlink ref="A14" location="'Table 5'!A1" display="Table 5" xr:uid="{A8B163CF-2F1E-4E9D-8210-EAE4F16AE9DE}"/>
    <hyperlink ref="A15" location="'Table 6'!A1" display="Table 6" xr:uid="{FE163505-48CE-4AC7-BACE-C3B7D7D0E771}"/>
    <hyperlink ref="A16" location="'Table 7'!A1" display="Table 7" xr:uid="{71AF1E8F-1BB2-480D-ABC5-A54BE47FF0AC}"/>
    <hyperlink ref="A17" location="'Table 8'!A1" display="Table 8" xr:uid="{FC19ADBE-21BB-452D-9F63-3629F1CDEAA0}"/>
    <hyperlink ref="A18" location="'Table 9'!A1" display="Table 9" xr:uid="{600373F0-0619-4AC0-8A8C-F67999631C1A}"/>
    <hyperlink ref="A19" location="'Table 10'!A1" display="Table 10" xr:uid="{050587D5-6022-4165-A6AE-D87BF8FB41E9}"/>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3E008-61D6-445E-9877-7A23B2E828A3}">
  <dimension ref="A1:AU66"/>
  <sheetViews>
    <sheetView showGridLines="0" zoomScaleNormal="100" workbookViewId="0"/>
  </sheetViews>
  <sheetFormatPr defaultRowHeight="15.5" x14ac:dyDescent="0.35"/>
  <cols>
    <col min="1" max="1" width="19.81640625" style="5" bestFit="1" customWidth="1"/>
    <col min="2" max="2" width="13" style="5" bestFit="1" customWidth="1"/>
    <col min="3" max="3" width="11.1796875" style="5" customWidth="1"/>
    <col min="4" max="5" width="8.81640625" style="5" customWidth="1"/>
    <col min="6" max="7" width="9.1796875" style="5"/>
    <col min="8" max="16" width="8.81640625" style="7"/>
    <col min="17" max="17" width="33.81640625" style="7" customWidth="1"/>
    <col min="18" max="18" width="8.90625" style="7" hidden="1" customWidth="1"/>
    <col min="19" max="19" width="9.1796875" style="7" hidden="1" customWidth="1"/>
    <col min="20" max="21" width="13.81640625" style="5" hidden="1" customWidth="1"/>
    <col min="22" max="24" width="8.81640625" style="7" hidden="1" customWidth="1"/>
    <col min="25" max="26" width="8.81640625" style="23" hidden="1" customWidth="1"/>
    <col min="27" max="30" width="8.81640625" style="7" hidden="1" customWidth="1"/>
    <col min="31" max="41" width="9.1796875" style="5" hidden="1" customWidth="1"/>
    <col min="42" max="44" width="0" style="7" hidden="1" customWidth="1"/>
    <col min="45" max="45" width="9.1796875" style="7"/>
  </cols>
  <sheetData>
    <row r="1" spans="1:43" x14ac:dyDescent="0.35">
      <c r="AD1" s="37"/>
      <c r="AE1" s="8"/>
      <c r="AF1" s="8"/>
      <c r="AG1" s="8"/>
      <c r="AH1" s="8"/>
      <c r="AI1" s="8"/>
      <c r="AJ1" s="8"/>
      <c r="AK1" s="8"/>
      <c r="AL1" s="8"/>
      <c r="AM1" s="8"/>
      <c r="AN1" s="8"/>
      <c r="AO1" s="8"/>
      <c r="AQ1" s="23" t="s">
        <v>21</v>
      </c>
    </row>
    <row r="2" spans="1:43" x14ac:dyDescent="0.35">
      <c r="A2" s="132" t="s">
        <v>22</v>
      </c>
    </row>
    <row r="3" spans="1:43" ht="17.5" x14ac:dyDescent="0.35">
      <c r="A3" s="10" t="s">
        <v>23</v>
      </c>
      <c r="B3" s="10" t="s">
        <v>121</v>
      </c>
      <c r="D3" s="22"/>
      <c r="G3" s="7"/>
      <c r="Z3" s="7"/>
      <c r="AD3" s="5"/>
    </row>
    <row r="4" spans="1:43" x14ac:dyDescent="0.35">
      <c r="B4" s="5" t="s">
        <v>24</v>
      </c>
      <c r="D4" s="22"/>
      <c r="G4" s="7"/>
      <c r="Z4" s="7"/>
      <c r="AD4" s="5"/>
      <c r="AI4" s="5" t="str">
        <f>"Estimated prevalence of opioid dependence in "&amp;AN9&amp;""</f>
        <v>Estimated prevalence of opioid dependence in Scotland</v>
      </c>
    </row>
    <row r="5" spans="1:43" x14ac:dyDescent="0.35">
      <c r="A5" s="11" t="s">
        <v>25</v>
      </c>
      <c r="B5" s="11"/>
      <c r="AI5" s="5" t="str">
        <f>"Estimated number of people with opioid dependence in "&amp;AN9&amp;""</f>
        <v>Estimated number of people with opioid dependence in Scotland</v>
      </c>
    </row>
    <row r="7" spans="1:43" x14ac:dyDescent="0.35">
      <c r="AE7" s="5" t="s">
        <v>26</v>
      </c>
      <c r="AF7" s="5" t="s">
        <v>27</v>
      </c>
      <c r="AJ7" s="5" t="s">
        <v>28</v>
      </c>
      <c r="AO7" s="5" t="s">
        <v>29</v>
      </c>
    </row>
    <row r="9" spans="1:43" ht="24" customHeight="1" x14ac:dyDescent="0.35">
      <c r="A9" s="28" t="s">
        <v>30</v>
      </c>
      <c r="B9" s="167" t="s">
        <v>31</v>
      </c>
      <c r="C9" s="167"/>
      <c r="D9" s="168"/>
      <c r="E9" s="73"/>
      <c r="F9" s="12"/>
      <c r="G9" s="12"/>
      <c r="AE9" s="5" t="s">
        <v>31</v>
      </c>
      <c r="AF9" s="5" t="s">
        <v>31</v>
      </c>
      <c r="AG9" s="12"/>
      <c r="AH9" s="5" t="s">
        <v>32</v>
      </c>
      <c r="AI9" s="5" t="s">
        <v>32</v>
      </c>
      <c r="AK9" s="14"/>
      <c r="AM9" s="13">
        <v>1</v>
      </c>
      <c r="AN9" s="12" t="str">
        <f>INDEX(AI9:AI16,AM9)</f>
        <v>Scotland</v>
      </c>
    </row>
    <row r="10" spans="1:43" x14ac:dyDescent="0.35">
      <c r="A10" s="28" t="s">
        <v>33</v>
      </c>
      <c r="B10" s="39" t="s">
        <v>34</v>
      </c>
      <c r="C10" s="39" t="s">
        <v>35</v>
      </c>
      <c r="D10" s="43" t="s">
        <v>36</v>
      </c>
      <c r="E10" s="74"/>
      <c r="G10" s="7"/>
      <c r="T10" s="169" t="s">
        <v>37</v>
      </c>
      <c r="U10" s="169"/>
      <c r="Z10" s="7"/>
      <c r="AD10" s="5" t="s">
        <v>37</v>
      </c>
      <c r="AF10" s="12"/>
      <c r="AH10" s="5" t="str">
        <f>IF($AF$9=5,AJ10,IF($AF$9=3,AK16,AI10))</f>
        <v>NHS Ayrshire &amp; Arran</v>
      </c>
      <c r="AI10" s="5" t="s">
        <v>130</v>
      </c>
      <c r="AL10" s="12"/>
    </row>
    <row r="11" spans="1:43" x14ac:dyDescent="0.35">
      <c r="A11" s="36" t="s">
        <v>39</v>
      </c>
      <c r="B11" s="33">
        <f>INDEX(Sex!$A:$S,MATCH(CONCATENATE($A11,$AN$9,"All","All"),Sex!$A:$A,0),7)</f>
        <v>46500</v>
      </c>
      <c r="C11" s="30">
        <f>INDEX(Sex!$A:$S,MATCH(CONCATENATE($A11,$AN$9,"All","All"),Sex!$A:$A,0),6)</f>
        <v>48700</v>
      </c>
      <c r="D11" s="31">
        <f>INDEX(Sex!$A:$S,MATCH(CONCATENATE($A11,$AN$9,"All","All"),Sex!$A:$A,0),8)</f>
        <v>51000</v>
      </c>
      <c r="E11" s="75"/>
      <c r="G11" s="7"/>
      <c r="T11" s="5" t="s">
        <v>40</v>
      </c>
      <c r="U11" s="5" t="s">
        <v>41</v>
      </c>
      <c r="Z11" s="7"/>
      <c r="AD11" s="5" t="s">
        <v>42</v>
      </c>
      <c r="AF11" s="12"/>
      <c r="AH11" s="5" t="str">
        <f>IF($AF$9=5,AJ11,IF($AF$9=3,AK23,AI11))</f>
        <v>NHS Fife</v>
      </c>
      <c r="AI11" s="5" t="s">
        <v>129</v>
      </c>
      <c r="AL11" s="3"/>
    </row>
    <row r="12" spans="1:43" x14ac:dyDescent="0.35">
      <c r="A12" s="36" t="s">
        <v>44</v>
      </c>
      <c r="B12" s="34">
        <f>INDEX(Sex!$A:$S,MATCH(CONCATENATE($A12,$AN$9,"All","All"),Sex!$A:$A,0),7)</f>
        <v>45500</v>
      </c>
      <c r="C12" s="18">
        <f>INDEX(Sex!$A:$S,MATCH(CONCATENATE($A12,$AN$9,"All","All"),Sex!$A:$A,0),6)</f>
        <v>47400</v>
      </c>
      <c r="D12" s="20">
        <f>INDEX(Sex!$A:$S,MATCH(CONCATENATE($A12,$AN$9,"All","All"),Sex!$A:$A,0),8)</f>
        <v>49400</v>
      </c>
      <c r="E12" s="15"/>
      <c r="G12" s="7"/>
      <c r="T12" s="76">
        <f t="shared" ref="T12:U12" si="0">C11-B11</f>
        <v>2200</v>
      </c>
      <c r="U12" s="76">
        <f t="shared" si="0"/>
        <v>2300</v>
      </c>
      <c r="V12" s="77"/>
      <c r="Z12" s="7"/>
      <c r="AD12" s="5"/>
      <c r="AF12" s="12"/>
      <c r="AH12" s="5" t="str">
        <f t="shared" ref="AH12:AH16" si="1">IF($AF$9=5,AJ12,IF($AF$9=3,AK24,AI12))</f>
        <v>NHS Grampian</v>
      </c>
      <c r="AI12" s="5" t="s">
        <v>128</v>
      </c>
      <c r="AL12" s="4"/>
    </row>
    <row r="13" spans="1:43" x14ac:dyDescent="0.35">
      <c r="A13" s="36" t="s">
        <v>46</v>
      </c>
      <c r="B13" s="34">
        <f>INDEX(Sex!$A:$S,MATCH(CONCATENATE($A13,$AN$9,"All","All"),Sex!$A:$A,0),7)</f>
        <v>44900</v>
      </c>
      <c r="C13" s="18">
        <f>INDEX(Sex!$A:$S,MATCH(CONCATENATE($A13,$AN$9,"All","All"),Sex!$A:$A,0),6)</f>
        <v>46500</v>
      </c>
      <c r="D13" s="20">
        <f>INDEX(Sex!$A:$S,MATCH(CONCATENATE($A13,$AN$9,"All","All"),Sex!$A:$A,0),8)</f>
        <v>48300</v>
      </c>
      <c r="E13" s="15"/>
      <c r="G13" s="7"/>
      <c r="T13" s="76">
        <f t="shared" ref="T13:T20" si="2">C12-B12</f>
        <v>1900</v>
      </c>
      <c r="U13" s="76">
        <f t="shared" ref="U13:U20" si="3">D12-C12</f>
        <v>2000</v>
      </c>
      <c r="V13" s="77"/>
      <c r="Z13" s="7"/>
      <c r="AD13" s="5"/>
      <c r="AF13" s="12"/>
      <c r="AH13" s="5" t="str">
        <f t="shared" si="1"/>
        <v>NHS Greater Glasgow &amp; Clyde</v>
      </c>
      <c r="AI13" s="13" t="s">
        <v>38</v>
      </c>
      <c r="AL13" s="4"/>
    </row>
    <row r="14" spans="1:43" x14ac:dyDescent="0.35">
      <c r="A14" s="36" t="s">
        <v>47</v>
      </c>
      <c r="B14" s="34">
        <f>INDEX(Sex!$A:$S,MATCH(CONCATENATE($A14,$AN$9,"All","All"),Sex!$A:$A,0),7)</f>
        <v>43500</v>
      </c>
      <c r="C14" s="18">
        <f>INDEX(Sex!$A:$S,MATCH(CONCATENATE($A14,$AN$9,"All","All"),Sex!$A:$A,0),6)</f>
        <v>44800</v>
      </c>
      <c r="D14" s="20">
        <f>INDEX(Sex!$A:$S,MATCH(CONCATENATE($A14,$AN$9,"All","All"),Sex!$A:$A,0),8)</f>
        <v>46200</v>
      </c>
      <c r="E14" s="15"/>
      <c r="G14" s="7"/>
      <c r="T14" s="76">
        <f t="shared" si="2"/>
        <v>1600</v>
      </c>
      <c r="U14" s="76">
        <f t="shared" si="3"/>
        <v>1800</v>
      </c>
      <c r="V14" s="77"/>
      <c r="Z14" s="7"/>
      <c r="AD14" s="5"/>
      <c r="AF14" s="12"/>
      <c r="AH14" s="5" t="str">
        <f t="shared" si="1"/>
        <v>NHS Lanarkshire</v>
      </c>
      <c r="AI14" s="5" t="s">
        <v>127</v>
      </c>
      <c r="AL14" s="4"/>
    </row>
    <row r="15" spans="1:43" x14ac:dyDescent="0.35">
      <c r="A15" s="36" t="s">
        <v>48</v>
      </c>
      <c r="B15" s="34">
        <f>INDEX(Sex!$A:$S,MATCH(CONCATENATE($A15,$AN$9,"All","All"),Sex!$A:$A,0),7)</f>
        <v>44000</v>
      </c>
      <c r="C15" s="18">
        <f>INDEX(Sex!$A:$S,MATCH(CONCATENATE($A15,$AN$9,"All","All"),Sex!$A:$A,0),6)</f>
        <v>45200</v>
      </c>
      <c r="D15" s="20">
        <f>INDEX(Sex!$A:$S,MATCH(CONCATENATE($A15,$AN$9,"All","All"),Sex!$A:$A,0),8)</f>
        <v>46600</v>
      </c>
      <c r="E15" s="15"/>
      <c r="G15" s="7"/>
      <c r="T15" s="76">
        <f t="shared" si="2"/>
        <v>1300</v>
      </c>
      <c r="U15" s="76">
        <f t="shared" si="3"/>
        <v>1400</v>
      </c>
      <c r="V15" s="77"/>
      <c r="Z15" s="7"/>
      <c r="AD15" s="5"/>
      <c r="AF15" s="12"/>
      <c r="AH15" s="5" t="str">
        <f t="shared" si="1"/>
        <v>NHS Lothian</v>
      </c>
      <c r="AI15" s="13" t="s">
        <v>43</v>
      </c>
      <c r="AL15" s="4"/>
    </row>
    <row r="16" spans="1:43" x14ac:dyDescent="0.35">
      <c r="A16" s="36" t="s">
        <v>49</v>
      </c>
      <c r="B16" s="34">
        <f>INDEX(Sex!$A:$S,MATCH(CONCATENATE($A16,$AN$9,"All","All"),Sex!$A:$A,0),7)</f>
        <v>45600</v>
      </c>
      <c r="C16" s="18">
        <f>INDEX(Sex!$A:$S,MATCH(CONCATENATE($A16,$AN$9,"All","All"),Sex!$A:$A,0),6)</f>
        <v>47100</v>
      </c>
      <c r="D16" s="20">
        <f>INDEX(Sex!$A:$S,MATCH(CONCATENATE($A16,$AN$9,"All","All"),Sex!$A:$A,0),8)</f>
        <v>48800</v>
      </c>
      <c r="E16" s="15"/>
      <c r="G16" s="7"/>
      <c r="T16" s="76">
        <f t="shared" si="2"/>
        <v>1200</v>
      </c>
      <c r="U16" s="76">
        <f t="shared" si="3"/>
        <v>1400</v>
      </c>
      <c r="V16" s="77"/>
      <c r="Z16" s="7"/>
      <c r="AD16" s="5"/>
      <c r="AH16" s="5" t="str">
        <f t="shared" si="1"/>
        <v>NHS Tayside</v>
      </c>
      <c r="AI16" s="13" t="s">
        <v>45</v>
      </c>
      <c r="AL16" s="4"/>
    </row>
    <row r="17" spans="1:47" x14ac:dyDescent="0.35">
      <c r="A17" s="36" t="s">
        <v>124</v>
      </c>
      <c r="B17" s="34">
        <f>INDEX(Sex!$A:$S,MATCH(CONCATENATE($A17,$AN$9,"All","All"),Sex!$A:$A,0),7)</f>
        <v>46500</v>
      </c>
      <c r="C17" s="18">
        <f>INDEX(Sex!$A:$S,MATCH(CONCATENATE($A17,$AN$9,"All","All"),Sex!$A:$A,0),6)</f>
        <v>48100</v>
      </c>
      <c r="D17" s="20">
        <f>INDEX(Sex!$A:$S,MATCH(CONCATENATE($A17,$AN$9,"All","All"),Sex!$A:$A,0),8)</f>
        <v>49800</v>
      </c>
      <c r="E17" s="15"/>
      <c r="G17" s="7"/>
      <c r="T17" s="76">
        <f t="shared" si="2"/>
        <v>1500</v>
      </c>
      <c r="U17" s="76">
        <f t="shared" si="3"/>
        <v>1700</v>
      </c>
      <c r="V17" s="77"/>
      <c r="Z17" s="7"/>
      <c r="AD17" s="5"/>
      <c r="AL17" s="4"/>
    </row>
    <row r="18" spans="1:47" x14ac:dyDescent="0.35">
      <c r="A18" s="36" t="s">
        <v>125</v>
      </c>
      <c r="B18" s="34">
        <f>INDEX(Sex!$A:$S,MATCH(CONCATENATE($A18,$AN$9,"All","All"),Sex!$A:$A,0),7)</f>
        <v>44400</v>
      </c>
      <c r="C18" s="18">
        <f>INDEX(Sex!$A:$S,MATCH(CONCATENATE($A18,$AN$9,"All","All"),Sex!$A:$A,0),6)</f>
        <v>46100</v>
      </c>
      <c r="D18" s="20">
        <f>INDEX(Sex!$A:$S,MATCH(CONCATENATE($A18,$AN$9,"All","All"),Sex!$A:$A,0),8)</f>
        <v>48000</v>
      </c>
      <c r="E18" s="15"/>
      <c r="G18" s="7"/>
      <c r="T18" s="76">
        <f t="shared" si="2"/>
        <v>1600</v>
      </c>
      <c r="U18" s="76">
        <f t="shared" si="3"/>
        <v>1700</v>
      </c>
      <c r="V18" s="77"/>
      <c r="Z18" s="7"/>
      <c r="AD18" s="5"/>
      <c r="AL18" s="4"/>
    </row>
    <row r="19" spans="1:47" x14ac:dyDescent="0.35">
      <c r="A19" s="36" t="s">
        <v>126</v>
      </c>
      <c r="B19" s="34">
        <f>INDEX(Sex!$A:$S,MATCH(CONCATENATE($A19,$AN$9,"All","All"),Sex!$A:$A,0),7)</f>
        <v>41900</v>
      </c>
      <c r="C19" s="18">
        <f>INDEX(Sex!$A:$S,MATCH(CONCATENATE($A19,$AN$9,"All","All"),Sex!$A:$A,0),6)</f>
        <v>43400</v>
      </c>
      <c r="D19" s="20">
        <f>INDEX(Sex!$A:$S,MATCH(CONCATENATE($A19,$AN$9,"All","All"),Sex!$A:$A,0),8)</f>
        <v>45100</v>
      </c>
      <c r="E19" s="15"/>
      <c r="G19" s="7"/>
      <c r="T19" s="76">
        <f t="shared" si="2"/>
        <v>1700</v>
      </c>
      <c r="U19" s="76">
        <f t="shared" si="3"/>
        <v>1900</v>
      </c>
      <c r="V19" s="77"/>
      <c r="Z19" s="7"/>
      <c r="AD19" s="5"/>
      <c r="AL19" s="4"/>
    </row>
    <row r="20" spans="1:47" x14ac:dyDescent="0.35">
      <c r="A20" s="17"/>
      <c r="B20" s="35"/>
      <c r="C20" s="19"/>
      <c r="D20" s="21"/>
      <c r="E20" s="15"/>
      <c r="G20" s="7"/>
      <c r="T20" s="76">
        <f t="shared" si="2"/>
        <v>1500</v>
      </c>
      <c r="U20" s="76">
        <f t="shared" si="3"/>
        <v>1700</v>
      </c>
      <c r="V20" s="77"/>
      <c r="Z20" s="7"/>
      <c r="AD20" s="5"/>
      <c r="AL20" s="4"/>
    </row>
    <row r="21" spans="1:47" x14ac:dyDescent="0.35">
      <c r="B21" s="19"/>
      <c r="C21" s="19"/>
      <c r="D21" s="19"/>
      <c r="E21" s="15"/>
      <c r="G21" s="7"/>
      <c r="T21" s="76"/>
      <c r="U21" s="76"/>
      <c r="V21" s="77"/>
      <c r="Z21" s="7"/>
      <c r="AD21" s="5"/>
      <c r="AL21" s="4"/>
    </row>
    <row r="22" spans="1:47" ht="24" customHeight="1" x14ac:dyDescent="0.35">
      <c r="A22" s="28" t="s">
        <v>50</v>
      </c>
      <c r="B22" s="167" t="s">
        <v>31</v>
      </c>
      <c r="C22" s="167"/>
      <c r="D22" s="168"/>
      <c r="E22" s="15"/>
      <c r="G22" s="7"/>
      <c r="T22" s="76"/>
      <c r="U22" s="76"/>
      <c r="V22" s="77"/>
      <c r="Z22" s="7"/>
      <c r="AD22" s="5"/>
      <c r="AL22" s="4"/>
    </row>
    <row r="23" spans="1:47" x14ac:dyDescent="0.35">
      <c r="A23" s="28" t="s">
        <v>33</v>
      </c>
      <c r="B23" s="39" t="s">
        <v>34</v>
      </c>
      <c r="C23" s="39" t="s">
        <v>35</v>
      </c>
      <c r="D23" s="43" t="s">
        <v>36</v>
      </c>
      <c r="E23" s="78"/>
      <c r="G23" s="7"/>
      <c r="T23" s="76"/>
      <c r="U23" s="76"/>
      <c r="V23" s="77"/>
      <c r="Z23" s="7"/>
      <c r="AD23" s="5"/>
      <c r="AL23" s="4"/>
    </row>
    <row r="24" spans="1:47" x14ac:dyDescent="0.35">
      <c r="A24" s="38" t="s">
        <v>39</v>
      </c>
      <c r="B24" s="153">
        <f>INDEX(Sex!$A:$S,MATCH(CONCATENATE($A24,$AN$9,"All","All"),Sex!$A:$A,0),10)</f>
        <v>1.32E-2</v>
      </c>
      <c r="C24" s="154">
        <f>INDEX(Sex!$A:$S,MATCH(CONCATENATE($A24,$AN$9,"All","All"),Sex!$A:$A,0),9)</f>
        <v>1.38E-2</v>
      </c>
      <c r="D24" s="155">
        <f>INDEX(Sex!$A:$S,MATCH(CONCATENATE($A24,$AN$9,"All","All"),Sex!$A:$A,0),11)</f>
        <v>1.44E-2</v>
      </c>
      <c r="E24" s="15"/>
      <c r="G24" s="7"/>
      <c r="T24" s="169" t="s">
        <v>37</v>
      </c>
      <c r="U24" s="169"/>
      <c r="V24" s="77"/>
      <c r="Z24" s="7"/>
      <c r="AD24" s="5"/>
      <c r="AL24" s="4"/>
    </row>
    <row r="25" spans="1:47" x14ac:dyDescent="0.35">
      <c r="A25" s="36" t="s">
        <v>44</v>
      </c>
      <c r="B25" s="141">
        <f>INDEX(Sex!$A:$S,MATCH(CONCATENATE($A25,$AN$9,"All","All"),Sex!$A:$A,0),10)</f>
        <v>1.29E-2</v>
      </c>
      <c r="C25" s="15">
        <f>INDEX(Sex!$A:$S,MATCH(CONCATENATE($A25,$AN$9,"All","All"),Sex!$A:$A,0),9)</f>
        <v>1.34E-2</v>
      </c>
      <c r="D25" s="142">
        <f>INDEX(Sex!$A:$S,MATCH(CONCATENATE($A25,$AN$9,"All","All"),Sex!$A:$A,0),11)</f>
        <v>1.4E-2</v>
      </c>
      <c r="E25" s="15"/>
      <c r="G25" s="7"/>
      <c r="T25" s="5" t="s">
        <v>40</v>
      </c>
      <c r="U25" s="5" t="s">
        <v>41</v>
      </c>
      <c r="V25" s="77"/>
      <c r="Z25" s="7"/>
      <c r="AD25" s="5"/>
      <c r="AL25" s="4"/>
    </row>
    <row r="26" spans="1:47" x14ac:dyDescent="0.35">
      <c r="A26" s="36" t="s">
        <v>46</v>
      </c>
      <c r="B26" s="141">
        <f>INDEX(Sex!$A:$S,MATCH(CONCATENATE($A26,$AN$9,"All","All"),Sex!$A:$A,0),10)</f>
        <v>1.2699999999999999E-2</v>
      </c>
      <c r="C26" s="15">
        <f>INDEX(Sex!$A:$S,MATCH(CONCATENATE($A26,$AN$9,"All","All"),Sex!$A:$A,0),9)</f>
        <v>1.3100000000000001E-2</v>
      </c>
      <c r="D26" s="142">
        <f>INDEX(Sex!$A:$S,MATCH(CONCATENATE($A26,$AN$9,"All","All"),Sex!$A:$A,0),11)</f>
        <v>1.3599999999999999E-2</v>
      </c>
      <c r="E26" s="15"/>
      <c r="G26" s="7"/>
      <c r="T26" s="15">
        <f t="shared" ref="T26:U26" si="4">C24-B24</f>
        <v>5.9999999999999984E-4</v>
      </c>
      <c r="U26" s="15">
        <f t="shared" si="4"/>
        <v>5.9999999999999984E-4</v>
      </c>
      <c r="V26" s="77"/>
      <c r="Z26" s="7"/>
      <c r="AD26" s="5"/>
      <c r="AL26" s="4"/>
    </row>
    <row r="27" spans="1:47" x14ac:dyDescent="0.35">
      <c r="A27" s="36" t="s">
        <v>47</v>
      </c>
      <c r="B27" s="141">
        <f>INDEX(Sex!$A:$S,MATCH(CONCATENATE($A27,$AN$9,"All","All"),Sex!$A:$A,0),10)</f>
        <v>1.23E-2</v>
      </c>
      <c r="C27" s="15">
        <f>INDEX(Sex!$A:$S,MATCH(CONCATENATE($A27,$AN$9,"All","All"),Sex!$A:$A,0),9)</f>
        <v>1.26E-2</v>
      </c>
      <c r="D27" s="142">
        <f>INDEX(Sex!$A:$S,MATCH(CONCATENATE($A27,$AN$9,"All","All"),Sex!$A:$A,0),11)</f>
        <v>1.2999999999999999E-2</v>
      </c>
      <c r="E27" s="15"/>
      <c r="G27" s="7"/>
      <c r="T27" s="15">
        <f t="shared" ref="T27:T34" si="5">C25-B25</f>
        <v>5.0000000000000044E-4</v>
      </c>
      <c r="U27" s="15">
        <f t="shared" ref="U27:U34" si="6">D25-C25</f>
        <v>5.9999999999999984E-4</v>
      </c>
      <c r="V27" s="77"/>
      <c r="Z27" s="7"/>
      <c r="AD27" s="5"/>
      <c r="AL27" s="4"/>
      <c r="AS27" s="5"/>
      <c r="AT27" s="5"/>
      <c r="AU27" s="5"/>
    </row>
    <row r="28" spans="1:47" x14ac:dyDescent="0.35">
      <c r="A28" s="36" t="s">
        <v>48</v>
      </c>
      <c r="B28" s="141">
        <f>INDEX(Sex!$A:$S,MATCH(CONCATENATE($A28,$AN$9,"All","All"),Sex!$A:$A,0),10)</f>
        <v>1.24E-2</v>
      </c>
      <c r="C28" s="15">
        <f>INDEX(Sex!$A:$S,MATCH(CONCATENATE($A28,$AN$9,"All","All"),Sex!$A:$A,0),9)</f>
        <v>1.2800000000000001E-2</v>
      </c>
      <c r="D28" s="142">
        <f>INDEX(Sex!$A:$S,MATCH(CONCATENATE($A28,$AN$9,"All","All"),Sex!$A:$A,0),11)</f>
        <v>1.3100000000000001E-2</v>
      </c>
      <c r="E28" s="15"/>
      <c r="G28" s="7"/>
      <c r="T28" s="15">
        <f t="shared" si="5"/>
        <v>4.0000000000000105E-4</v>
      </c>
      <c r="U28" s="15">
        <f t="shared" si="6"/>
        <v>4.9999999999999871E-4</v>
      </c>
      <c r="V28" s="77"/>
      <c r="Z28" s="7"/>
      <c r="AD28" s="5"/>
      <c r="AS28" s="5"/>
      <c r="AT28" s="5"/>
      <c r="AU28" s="5"/>
    </row>
    <row r="29" spans="1:47" x14ac:dyDescent="0.35">
      <c r="A29" s="36" t="s">
        <v>49</v>
      </c>
      <c r="B29" s="141">
        <f>INDEX(Sex!$A:$S,MATCH(CONCATENATE($A29,$AN$9,"All","All"),Sex!$A:$A,0),10)</f>
        <v>1.2800000000000001E-2</v>
      </c>
      <c r="C29" s="15">
        <f>INDEX(Sex!$A:$S,MATCH(CONCATENATE($A29,$AN$9,"All","All"),Sex!$A:$A,0),9)</f>
        <v>1.3299999999999999E-2</v>
      </c>
      <c r="D29" s="142">
        <f>INDEX(Sex!$A:$S,MATCH(CONCATENATE($A29,$AN$9,"All","All"),Sex!$A:$A,0),11)</f>
        <v>1.37E-2</v>
      </c>
      <c r="E29" s="15"/>
      <c r="G29" s="7"/>
      <c r="T29" s="15">
        <f t="shared" si="5"/>
        <v>2.9999999999999992E-4</v>
      </c>
      <c r="U29" s="15">
        <f t="shared" si="6"/>
        <v>3.9999999999999931E-4</v>
      </c>
      <c r="V29" s="77"/>
      <c r="Z29" s="7"/>
      <c r="AD29" s="5"/>
    </row>
    <row r="30" spans="1:47" x14ac:dyDescent="0.35">
      <c r="A30" s="36" t="s">
        <v>124</v>
      </c>
      <c r="B30" s="141">
        <f>INDEX(Sex!$A:$S,MATCH(CONCATENATE($A30,$AN$9,"All","All"),Sex!$A:$A,0),10)</f>
        <v>1.3100000000000001E-2</v>
      </c>
      <c r="C30" s="15">
        <f>INDEX(Sex!$A:$S,MATCH(CONCATENATE($A30,$AN$9,"All","All"),Sex!$A:$A,0),9)</f>
        <v>1.35E-2</v>
      </c>
      <c r="D30" s="142">
        <f>INDEX(Sex!$A:$S,MATCH(CONCATENATE($A30,$AN$9,"All","All"),Sex!$A:$A,0),11)</f>
        <v>1.4E-2</v>
      </c>
      <c r="E30" s="15"/>
      <c r="G30" s="7"/>
      <c r="T30" s="15">
        <f t="shared" si="5"/>
        <v>4.0000000000000105E-4</v>
      </c>
      <c r="U30" s="15">
        <f t="shared" si="6"/>
        <v>2.9999999999999992E-4</v>
      </c>
      <c r="V30" s="77"/>
      <c r="Z30" s="7"/>
      <c r="AD30" s="5"/>
    </row>
    <row r="31" spans="1:47" x14ac:dyDescent="0.35">
      <c r="A31" s="36" t="s">
        <v>125</v>
      </c>
      <c r="B31" s="141">
        <f>INDEX(Sex!$A:$S,MATCH(CONCATENATE($A31,$AN$9,"All","All"),Sex!$A:$A,0),10)</f>
        <v>1.2500000000000001E-2</v>
      </c>
      <c r="C31" s="15">
        <f>INDEX(Sex!$A:$S,MATCH(CONCATENATE($A31,$AN$9,"All","All"),Sex!$A:$A,0),9)</f>
        <v>1.2999999999999999E-2</v>
      </c>
      <c r="D31" s="142">
        <f>INDEX(Sex!$A:$S,MATCH(CONCATENATE($A31,$AN$9,"All","All"),Sex!$A:$A,0),11)</f>
        <v>1.35E-2</v>
      </c>
      <c r="E31" s="15"/>
      <c r="G31" s="7"/>
      <c r="T31" s="15">
        <f t="shared" si="5"/>
        <v>4.9999999999999871E-4</v>
      </c>
      <c r="U31" s="15">
        <f t="shared" si="6"/>
        <v>4.0000000000000105E-4</v>
      </c>
      <c r="V31" s="77"/>
      <c r="Z31" s="7"/>
      <c r="AD31" s="5"/>
    </row>
    <row r="32" spans="1:47" x14ac:dyDescent="0.35">
      <c r="A32" s="36" t="s">
        <v>126</v>
      </c>
      <c r="B32" s="141">
        <f>INDEX(Sex!$A:$S,MATCH(CONCATENATE($A32,$AN$9,"All","All"),Sex!$A:$A,0),10)</f>
        <v>1.1900000000000001E-2</v>
      </c>
      <c r="C32" s="15">
        <f>INDEX(Sex!$A:$S,MATCH(CONCATENATE($A32,$AN$9,"All","All"),Sex!$A:$A,0),9)</f>
        <v>1.23E-2</v>
      </c>
      <c r="D32" s="142">
        <f>INDEX(Sex!$A:$S,MATCH(CONCATENATE($A32,$AN$9,"All","All"),Sex!$A:$A,0),11)</f>
        <v>1.2800000000000001E-2</v>
      </c>
      <c r="E32" s="15"/>
      <c r="G32" s="7"/>
      <c r="T32" s="15">
        <f t="shared" si="5"/>
        <v>3.9999999999999931E-4</v>
      </c>
      <c r="U32" s="15">
        <f t="shared" si="6"/>
        <v>5.0000000000000044E-4</v>
      </c>
      <c r="V32" s="77"/>
      <c r="Z32" s="7"/>
      <c r="AD32" s="5"/>
    </row>
    <row r="33" spans="1:30" x14ac:dyDescent="0.35">
      <c r="A33" s="17"/>
      <c r="B33" s="35"/>
      <c r="C33" s="19"/>
      <c r="D33" s="21"/>
      <c r="E33" s="15"/>
      <c r="G33" s="7"/>
      <c r="T33" s="15">
        <f t="shared" si="5"/>
        <v>4.9999999999999871E-4</v>
      </c>
      <c r="U33" s="15">
        <f t="shared" si="6"/>
        <v>5.0000000000000044E-4</v>
      </c>
      <c r="V33" s="77"/>
      <c r="Z33" s="7"/>
      <c r="AD33" s="5"/>
    </row>
    <row r="34" spans="1:30" x14ac:dyDescent="0.35">
      <c r="E34" s="78"/>
      <c r="G34" s="7"/>
      <c r="T34" s="15">
        <f t="shared" si="5"/>
        <v>3.9999999999999931E-4</v>
      </c>
      <c r="U34" s="15">
        <f t="shared" si="6"/>
        <v>5.0000000000000044E-4</v>
      </c>
      <c r="V34" s="77"/>
      <c r="Z34" s="7"/>
      <c r="AD34" s="5"/>
    </row>
    <row r="35" spans="1:30" x14ac:dyDescent="0.35">
      <c r="A35" s="10" t="s">
        <v>19</v>
      </c>
      <c r="B35" s="166"/>
      <c r="C35" s="166"/>
      <c r="D35" s="166"/>
      <c r="E35" s="15"/>
      <c r="G35" s="7"/>
      <c r="T35" s="76"/>
      <c r="U35" s="76"/>
      <c r="V35" s="77"/>
      <c r="Z35" s="7"/>
      <c r="AD35" s="5"/>
    </row>
    <row r="36" spans="1:30" ht="34.5" customHeight="1" x14ac:dyDescent="0.35">
      <c r="A36" s="170" t="s">
        <v>51</v>
      </c>
      <c r="B36" s="170"/>
      <c r="C36" s="170"/>
      <c r="D36" s="170"/>
      <c r="E36" s="15"/>
      <c r="G36" s="7"/>
      <c r="T36" s="76"/>
      <c r="U36" s="76"/>
      <c r="V36" s="77"/>
      <c r="Z36" s="7"/>
      <c r="AD36" s="16"/>
    </row>
    <row r="37" spans="1:30" ht="49.5" customHeight="1" x14ac:dyDescent="0.35">
      <c r="A37" s="165" t="s">
        <v>52</v>
      </c>
      <c r="B37" s="165"/>
      <c r="C37" s="165"/>
      <c r="D37" s="165"/>
      <c r="E37" s="15"/>
      <c r="G37" s="7"/>
      <c r="T37" s="76"/>
      <c r="U37" s="76"/>
      <c r="V37" s="77"/>
      <c r="Z37" s="7"/>
      <c r="AD37" s="5"/>
    </row>
    <row r="38" spans="1:30" ht="80" customHeight="1" x14ac:dyDescent="0.35">
      <c r="A38" s="165" t="s">
        <v>563</v>
      </c>
      <c r="B38" s="165"/>
      <c r="C38" s="165"/>
      <c r="D38" s="165"/>
      <c r="E38" s="96"/>
      <c r="F38" s="96"/>
      <c r="G38" s="7"/>
      <c r="T38" s="76"/>
      <c r="U38" s="76"/>
      <c r="V38" s="77"/>
      <c r="Z38" s="7"/>
      <c r="AD38" s="5"/>
    </row>
    <row r="39" spans="1:30" ht="64.5" customHeight="1" x14ac:dyDescent="0.35">
      <c r="A39" s="164"/>
      <c r="B39" s="164"/>
      <c r="C39" s="164"/>
      <c r="D39" s="164"/>
      <c r="E39" s="100"/>
      <c r="F39" s="100"/>
      <c r="G39" s="100"/>
      <c r="H39" s="100"/>
      <c r="I39" s="100"/>
      <c r="J39" s="100"/>
      <c r="K39" s="111"/>
      <c r="L39" s="111"/>
      <c r="M39" s="111"/>
      <c r="N39" s="111"/>
      <c r="O39" s="111"/>
      <c r="T39" s="76"/>
      <c r="U39" s="76"/>
      <c r="V39" s="77"/>
      <c r="Z39" s="7"/>
      <c r="AD39" s="5"/>
    </row>
    <row r="40" spans="1:30" x14ac:dyDescent="0.35">
      <c r="A40" s="56"/>
      <c r="B40" s="18"/>
      <c r="C40" s="18"/>
      <c r="D40" s="18"/>
      <c r="H40" s="5"/>
      <c r="I40" s="5"/>
      <c r="J40" s="5"/>
      <c r="K40" s="5"/>
      <c r="L40" s="5"/>
      <c r="M40" s="5"/>
      <c r="N40" s="5"/>
      <c r="O40" s="5"/>
      <c r="T40" s="76"/>
      <c r="U40" s="76"/>
      <c r="V40" s="77"/>
      <c r="Z40" s="7"/>
      <c r="AD40" s="5"/>
    </row>
    <row r="41" spans="1:30" x14ac:dyDescent="0.35">
      <c r="A41" s="56"/>
      <c r="B41" s="18"/>
      <c r="C41" s="18"/>
      <c r="D41" s="18"/>
      <c r="T41" s="76"/>
      <c r="U41" s="76"/>
      <c r="V41" s="77"/>
    </row>
    <row r="42" spans="1:30" x14ac:dyDescent="0.35">
      <c r="A42" s="56"/>
      <c r="B42" s="18"/>
      <c r="C42" s="18"/>
      <c r="D42" s="18"/>
      <c r="T42" s="76"/>
      <c r="U42" s="76"/>
      <c r="V42" s="77"/>
    </row>
    <row r="43" spans="1:30" x14ac:dyDescent="0.35">
      <c r="A43" s="56"/>
      <c r="B43" s="18"/>
      <c r="C43" s="18"/>
      <c r="D43" s="18"/>
      <c r="T43" s="76"/>
      <c r="U43" s="76"/>
      <c r="V43" s="77"/>
    </row>
    <row r="44" spans="1:30" x14ac:dyDescent="0.35">
      <c r="B44" s="18"/>
      <c r="C44" s="18"/>
      <c r="D44" s="18"/>
    </row>
    <row r="57" spans="1:4" x14ac:dyDescent="0.35">
      <c r="B57" s="166"/>
      <c r="C57" s="166"/>
      <c r="D57" s="166"/>
    </row>
    <row r="58" spans="1:4" x14ac:dyDescent="0.35">
      <c r="A58" s="55"/>
      <c r="B58" s="166"/>
      <c r="C58" s="166"/>
      <c r="D58" s="166"/>
    </row>
    <row r="59" spans="1:4" x14ac:dyDescent="0.35">
      <c r="A59" s="55"/>
      <c r="B59" s="55"/>
      <c r="C59" s="55"/>
      <c r="D59" s="55"/>
    </row>
    <row r="60" spans="1:4" x14ac:dyDescent="0.35">
      <c r="A60" s="56"/>
      <c r="B60" s="15"/>
      <c r="C60" s="18"/>
      <c r="D60" s="18"/>
    </row>
    <row r="61" spans="1:4" x14ac:dyDescent="0.35">
      <c r="A61" s="56"/>
      <c r="B61" s="15"/>
      <c r="C61" s="18"/>
      <c r="D61" s="18"/>
    </row>
    <row r="62" spans="1:4" x14ac:dyDescent="0.35">
      <c r="A62" s="56"/>
      <c r="B62" s="15"/>
      <c r="C62" s="18"/>
      <c r="D62" s="18"/>
    </row>
    <row r="63" spans="1:4" x14ac:dyDescent="0.35">
      <c r="A63" s="56"/>
      <c r="B63" s="15"/>
      <c r="C63" s="18"/>
      <c r="D63" s="18"/>
    </row>
    <row r="64" spans="1:4" x14ac:dyDescent="0.35">
      <c r="A64" s="56"/>
      <c r="B64" s="15"/>
      <c r="C64" s="18"/>
      <c r="D64" s="18"/>
    </row>
    <row r="65" spans="1:4" x14ac:dyDescent="0.35">
      <c r="A65" s="56"/>
      <c r="B65" s="15"/>
      <c r="C65" s="18"/>
      <c r="D65" s="18"/>
    </row>
    <row r="66" spans="1:4" x14ac:dyDescent="0.35">
      <c r="B66" s="18"/>
      <c r="C66" s="18"/>
      <c r="D66" s="18"/>
    </row>
  </sheetData>
  <mergeCells count="11">
    <mergeCell ref="B22:D22"/>
    <mergeCell ref="T24:U24"/>
    <mergeCell ref="B35:D35"/>
    <mergeCell ref="A36:D36"/>
    <mergeCell ref="B9:D9"/>
    <mergeCell ref="T10:U10"/>
    <mergeCell ref="A37:D37"/>
    <mergeCell ref="A38:D38"/>
    <mergeCell ref="B57:D57"/>
    <mergeCell ref="B58:D58"/>
    <mergeCell ref="A39:D39"/>
  </mergeCells>
  <hyperlinks>
    <hyperlink ref="A2" location="Contents!A1" display="Back to contents" xr:uid="{A2F51930-7B63-4C62-9F67-96985B14E307}"/>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1987" r:id="rId3" name="Drop Down 3">
              <controlPr defaultSize="0" autoLine="0" autoPict="0">
                <anchor moveWithCells="1">
                  <from>
                    <xdr:col>0</xdr:col>
                    <xdr:colOff>38100</xdr:colOff>
                    <xdr:row>5</xdr:row>
                    <xdr:rowOff>25400</xdr:rowOff>
                  </from>
                  <to>
                    <xdr:col>1</xdr:col>
                    <xdr:colOff>101600</xdr:colOff>
                    <xdr:row>6</xdr:row>
                    <xdr:rowOff>101600</xdr:rowOff>
                  </to>
                </anchor>
              </controlPr>
            </control>
          </mc:Choice>
        </mc:AlternateContent>
        <mc:AlternateContent xmlns:mc="http://schemas.openxmlformats.org/markup-compatibility/2006">
          <mc:Choice Requires="x14">
            <control shapeId="41988" r:id="rId4" name="Drop Down 4">
              <controlPr defaultSize="0" autoLine="0" autoPict="0">
                <anchor moveWithCells="1">
                  <from>
                    <xdr:col>0</xdr:col>
                    <xdr:colOff>38100</xdr:colOff>
                    <xdr:row>5</xdr:row>
                    <xdr:rowOff>25400</xdr:rowOff>
                  </from>
                  <to>
                    <xdr:col>1</xdr:col>
                    <xdr:colOff>101600</xdr:colOff>
                    <xdr:row>6</xdr:row>
                    <xdr:rowOff>101600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8C64F4-0D92-45F0-A3CE-C101C45250DD}">
  <sheetPr codeName="Sheet2"/>
  <dimension ref="A1:AT72"/>
  <sheetViews>
    <sheetView showGridLines="0" zoomScaleNormal="100" workbookViewId="0"/>
  </sheetViews>
  <sheetFormatPr defaultColWidth="8.81640625" defaultRowHeight="15.5" x14ac:dyDescent="0.35"/>
  <cols>
    <col min="1" max="1" width="19.81640625" style="5" bestFit="1" customWidth="1"/>
    <col min="2" max="2" width="13" style="5" bestFit="1" customWidth="1"/>
    <col min="3" max="3" width="11.1796875" style="5" customWidth="1"/>
    <col min="4" max="5" width="8.81640625" style="5" customWidth="1"/>
    <col min="6" max="6" width="10.453125" style="5" bestFit="1" customWidth="1"/>
    <col min="7" max="8" width="8.81640625" style="5" customWidth="1"/>
    <col min="9" max="10" width="9.1796875" style="5" customWidth="1"/>
    <col min="11" max="21" width="8.81640625" style="7"/>
    <col min="22" max="22" width="8.81640625" style="7" hidden="1" customWidth="1"/>
    <col min="23" max="24" width="13.81640625" style="5" hidden="1" customWidth="1"/>
    <col min="25" max="26" width="8.81640625" style="5" hidden="1" customWidth="1"/>
    <col min="27" max="29" width="8.81640625" style="7" hidden="1" customWidth="1"/>
    <col min="30" max="31" width="8.81640625" style="23" hidden="1" customWidth="1"/>
    <col min="32" max="35" width="8.81640625" style="7" hidden="1" customWidth="1"/>
    <col min="36" max="46" width="9.1796875" style="5" hidden="1" customWidth="1"/>
    <col min="47" max="16384" width="8.81640625" style="7"/>
  </cols>
  <sheetData>
    <row r="1" spans="1:46" x14ac:dyDescent="0.35">
      <c r="AI1" s="37"/>
      <c r="AJ1" s="8"/>
      <c r="AK1" s="8"/>
      <c r="AL1" s="8"/>
      <c r="AM1" s="8"/>
      <c r="AN1" s="8"/>
      <c r="AO1" s="8"/>
      <c r="AP1" s="8"/>
      <c r="AQ1" s="8"/>
      <c r="AR1" s="8"/>
      <c r="AS1" s="8"/>
      <c r="AT1" s="8"/>
    </row>
    <row r="2" spans="1:46" x14ac:dyDescent="0.35">
      <c r="A2" s="132" t="s">
        <v>22</v>
      </c>
    </row>
    <row r="3" spans="1:46" ht="17.5" x14ac:dyDescent="0.35">
      <c r="A3" s="10" t="s">
        <v>53</v>
      </c>
      <c r="B3" s="10" t="s">
        <v>123</v>
      </c>
      <c r="D3" s="22"/>
      <c r="E3" s="22"/>
      <c r="F3" s="22"/>
      <c r="G3" s="22"/>
      <c r="J3" s="7"/>
      <c r="Z3" s="7"/>
      <c r="AE3" s="7"/>
      <c r="AI3" s="5"/>
    </row>
    <row r="4" spans="1:46" x14ac:dyDescent="0.35">
      <c r="B4" s="5" t="s">
        <v>24</v>
      </c>
      <c r="D4" s="22"/>
      <c r="E4" s="22"/>
      <c r="F4" s="22"/>
      <c r="G4" s="22"/>
      <c r="J4" s="7"/>
      <c r="Z4" s="7"/>
      <c r="AE4" s="7"/>
      <c r="AI4" s="5"/>
      <c r="AN4" s="5" t="str">
        <f>"Estimated prevalence of opioid dependence in "&amp;AS9&amp;", by sex"</f>
        <v>Estimated prevalence of opioid dependence in Scotland, by sex</v>
      </c>
    </row>
    <row r="5" spans="1:46" x14ac:dyDescent="0.35">
      <c r="A5" s="11" t="s">
        <v>25</v>
      </c>
      <c r="B5" s="11"/>
      <c r="AN5" s="5" t="str">
        <f>"Estimated number of people with opioid dependence in "&amp;AS9&amp;", by sex"</f>
        <v>Estimated number of people with opioid dependence in Scotland, by sex</v>
      </c>
    </row>
    <row r="7" spans="1:46" x14ac:dyDescent="0.35">
      <c r="AJ7" s="5" t="s">
        <v>26</v>
      </c>
      <c r="AK7" s="5" t="s">
        <v>27</v>
      </c>
      <c r="AO7" s="5" t="s">
        <v>28</v>
      </c>
      <c r="AT7" s="5" t="s">
        <v>29</v>
      </c>
    </row>
    <row r="9" spans="1:46" ht="24" customHeight="1" x14ac:dyDescent="0.35">
      <c r="B9" s="171" t="s">
        <v>26</v>
      </c>
      <c r="C9" s="167"/>
      <c r="D9" s="167"/>
      <c r="E9" s="167"/>
      <c r="F9" s="167"/>
      <c r="G9" s="168"/>
      <c r="H9" s="73"/>
      <c r="I9" s="12"/>
      <c r="J9" s="12"/>
      <c r="AJ9" s="5" t="s">
        <v>31</v>
      </c>
      <c r="AK9" s="5" t="s">
        <v>31</v>
      </c>
      <c r="AL9" s="12"/>
      <c r="AM9" s="13" t="s">
        <v>32</v>
      </c>
      <c r="AN9" s="5" t="s">
        <v>32</v>
      </c>
      <c r="AP9" s="14"/>
      <c r="AR9" s="13">
        <v>1</v>
      </c>
      <c r="AS9" s="12" t="str">
        <f>INDEX(AN9:AN16,AR9)</f>
        <v>Scotland</v>
      </c>
    </row>
    <row r="10" spans="1:46" ht="24" customHeight="1" x14ac:dyDescent="0.35">
      <c r="A10" s="28" t="s">
        <v>30</v>
      </c>
      <c r="B10" s="167" t="s">
        <v>37</v>
      </c>
      <c r="C10" s="167"/>
      <c r="D10" s="168"/>
      <c r="E10" s="167" t="s">
        <v>42</v>
      </c>
      <c r="F10" s="167"/>
      <c r="G10" s="168"/>
      <c r="H10" s="74"/>
      <c r="J10" s="7"/>
      <c r="W10" s="169" t="s">
        <v>37</v>
      </c>
      <c r="X10" s="169"/>
      <c r="Y10" s="169" t="s">
        <v>42</v>
      </c>
      <c r="Z10" s="169"/>
      <c r="AE10" s="7"/>
      <c r="AI10" s="5" t="s">
        <v>37</v>
      </c>
      <c r="AK10" s="12"/>
      <c r="AM10" s="5" t="str">
        <f>IF($W$9=5,AO10,IF($W$9=3,AP16,AN10))</f>
        <v>NHS Ayrshire &amp; Arran</v>
      </c>
      <c r="AN10" s="5" t="s">
        <v>130</v>
      </c>
      <c r="AQ10" s="12"/>
    </row>
    <row r="11" spans="1:46" ht="24" customHeight="1" x14ac:dyDescent="0.35">
      <c r="A11" s="28" t="s">
        <v>33</v>
      </c>
      <c r="B11" s="39" t="s">
        <v>34</v>
      </c>
      <c r="C11" s="39" t="s">
        <v>35</v>
      </c>
      <c r="D11" s="43" t="s">
        <v>36</v>
      </c>
      <c r="E11" s="39" t="s">
        <v>34</v>
      </c>
      <c r="F11" s="39" t="s">
        <v>35</v>
      </c>
      <c r="G11" s="43" t="s">
        <v>36</v>
      </c>
      <c r="H11" s="75"/>
      <c r="J11" s="7"/>
      <c r="W11" s="5" t="s">
        <v>40</v>
      </c>
      <c r="X11" s="5" t="s">
        <v>41</v>
      </c>
      <c r="Y11" s="5" t="s">
        <v>40</v>
      </c>
      <c r="Z11" s="5" t="s">
        <v>41</v>
      </c>
      <c r="AE11" s="7"/>
      <c r="AI11" s="5" t="s">
        <v>42</v>
      </c>
      <c r="AK11" s="12"/>
      <c r="AM11" s="5" t="str">
        <f t="shared" ref="AM11:AM16" si="0">IF($W$9=5,AO11,IF($W$9=3,AP17,AN11))</f>
        <v>NHS Fife</v>
      </c>
      <c r="AN11" s="5" t="s">
        <v>129</v>
      </c>
      <c r="AQ11" s="3"/>
    </row>
    <row r="12" spans="1:46" x14ac:dyDescent="0.35">
      <c r="A12" s="36" t="s">
        <v>39</v>
      </c>
      <c r="B12" s="33">
        <f>INDEX(Sex!$A:$S,MATCH(CONCATENATE($A12,$AS$9,"Males","All"),Sex!$A:$A,0),7)</f>
        <v>31700</v>
      </c>
      <c r="C12" s="30">
        <f>INDEX(Sex!$A:$S,MATCH(CONCATENATE($A12,$AS$9,"Males","All"),Sex!$A:$A,0),6)</f>
        <v>33300</v>
      </c>
      <c r="D12" s="31">
        <f>INDEX(Sex!$A:$S,MATCH(CONCATENATE($A12,$AS$9,"Males","All"),Sex!$A:$A,0),8)</f>
        <v>35000</v>
      </c>
      <c r="E12" s="30">
        <f>INDEX(Sex!$A:$S,MATCH(CONCATENATE($A12,$AS$9,"Females","All"),Sex!$A:$A,0),7)</f>
        <v>14700</v>
      </c>
      <c r="F12" s="30">
        <f>INDEX(Sex!$A:$S,MATCH(CONCATENATE($A12,$AS$9,"Females","All"),Sex!$A:$A,0),6)</f>
        <v>15300</v>
      </c>
      <c r="G12" s="31">
        <f>INDEX(Sex!$A:$S,MATCH(CONCATENATE($A12,$AS$9,"Females","All"),Sex!$A:$A,0),8)</f>
        <v>16100</v>
      </c>
      <c r="H12" s="15"/>
      <c r="J12" s="7"/>
      <c r="W12" s="76">
        <f t="shared" ref="W12:X20" si="1">C12-B12</f>
        <v>1600</v>
      </c>
      <c r="X12" s="76">
        <f t="shared" si="1"/>
        <v>1700</v>
      </c>
      <c r="Y12" s="76">
        <f t="shared" ref="Y12:Z12" si="2">F12-E12</f>
        <v>600</v>
      </c>
      <c r="Z12" s="77">
        <f t="shared" si="2"/>
        <v>800</v>
      </c>
      <c r="AA12" s="77"/>
      <c r="AE12" s="7"/>
      <c r="AI12" s="5"/>
      <c r="AK12" s="12"/>
      <c r="AM12" s="5" t="str">
        <f t="shared" si="0"/>
        <v>NHS Grampian</v>
      </c>
      <c r="AN12" s="5" t="s">
        <v>128</v>
      </c>
      <c r="AQ12" s="4"/>
    </row>
    <row r="13" spans="1:46" x14ac:dyDescent="0.35">
      <c r="A13" s="36" t="s">
        <v>44</v>
      </c>
      <c r="B13" s="34">
        <f>INDEX(Sex!$A:$S,MATCH(CONCATENATE($A13,$AS$9,"Males","All"),Sex!$A:$A,0),7)</f>
        <v>31000</v>
      </c>
      <c r="C13" s="18">
        <f>INDEX(Sex!$A:$S,MATCH(CONCATENATE($A13,$AS$9,"Males","All"),Sex!$A:$A,0),6)</f>
        <v>32400</v>
      </c>
      <c r="D13" s="20">
        <f>INDEX(Sex!$A:$S,MATCH(CONCATENATE($A13,$AS$9,"Males","All"),Sex!$A:$A,0),8)</f>
        <v>33900</v>
      </c>
      <c r="E13" s="18">
        <f>INDEX(Sex!$A:$S,MATCH(CONCATENATE($A13,$AS$9,"Females","All"),Sex!$A:$A,0),7)</f>
        <v>14400</v>
      </c>
      <c r="F13" s="18">
        <f>INDEX(Sex!$A:$S,MATCH(CONCATENATE($A13,$AS$9,"Females","All"),Sex!$A:$A,0),6)</f>
        <v>15000</v>
      </c>
      <c r="G13" s="20">
        <f>INDEX(Sex!$A:$S,MATCH(CONCATENATE($A13,$AS$9,"Females","All"),Sex!$A:$A,0),8)</f>
        <v>15600</v>
      </c>
      <c r="H13" s="15"/>
      <c r="J13" s="7"/>
      <c r="W13" s="76">
        <f t="shared" si="1"/>
        <v>1400</v>
      </c>
      <c r="X13" s="76">
        <f t="shared" ref="X13:X20" si="3">D13-C13</f>
        <v>1500</v>
      </c>
      <c r="Y13" s="76">
        <f t="shared" ref="Y13:Y20" si="4">F13-E13</f>
        <v>600</v>
      </c>
      <c r="Z13" s="77">
        <f t="shared" ref="Z13:Z20" si="5">G13-F13</f>
        <v>600</v>
      </c>
      <c r="AA13" s="77"/>
      <c r="AE13" s="7"/>
      <c r="AI13" s="5"/>
      <c r="AK13" s="12"/>
      <c r="AM13" s="5" t="str">
        <f t="shared" si="0"/>
        <v>NHS Greater Glasgow &amp; Clyde</v>
      </c>
      <c r="AN13" s="13" t="s">
        <v>38</v>
      </c>
      <c r="AQ13" s="4"/>
    </row>
    <row r="14" spans="1:46" x14ac:dyDescent="0.35">
      <c r="A14" s="36" t="s">
        <v>46</v>
      </c>
      <c r="B14" s="34">
        <f>INDEX(Sex!$A:$S,MATCH(CONCATENATE($A14,$AS$9,"Males","All"),Sex!$A:$A,0),7)</f>
        <v>30700</v>
      </c>
      <c r="C14" s="18">
        <f>INDEX(Sex!$A:$S,MATCH(CONCATENATE($A14,$AS$9,"Males","All"),Sex!$A:$A,0),6)</f>
        <v>31900</v>
      </c>
      <c r="D14" s="20">
        <f>INDEX(Sex!$A:$S,MATCH(CONCATENATE($A14,$AS$9,"Males","All"),Sex!$A:$A,0),8)</f>
        <v>33200</v>
      </c>
      <c r="E14" s="18">
        <f>INDEX(Sex!$A:$S,MATCH(CONCATENATE($A14,$AS$9,"Females","All"),Sex!$A:$A,0),7)</f>
        <v>14200</v>
      </c>
      <c r="F14" s="18">
        <f>INDEX(Sex!$A:$S,MATCH(CONCATENATE($A14,$AS$9,"Females","All"),Sex!$A:$A,0),6)</f>
        <v>14700</v>
      </c>
      <c r="G14" s="20">
        <f>INDEX(Sex!$A:$S,MATCH(CONCATENATE($A14,$AS$9,"Females","All"),Sex!$A:$A,0),8)</f>
        <v>15200</v>
      </c>
      <c r="H14" s="15"/>
      <c r="J14" s="7"/>
      <c r="W14" s="76">
        <f t="shared" si="1"/>
        <v>1200</v>
      </c>
      <c r="X14" s="76">
        <f t="shared" si="3"/>
        <v>1300</v>
      </c>
      <c r="Y14" s="76">
        <f t="shared" si="4"/>
        <v>500</v>
      </c>
      <c r="Z14" s="77">
        <f t="shared" si="5"/>
        <v>500</v>
      </c>
      <c r="AA14" s="77"/>
      <c r="AE14" s="7"/>
      <c r="AI14" s="5"/>
      <c r="AK14" s="12"/>
      <c r="AM14" s="5" t="str">
        <f t="shared" si="0"/>
        <v>NHS Lanarkshire</v>
      </c>
      <c r="AN14" s="5" t="s">
        <v>127</v>
      </c>
      <c r="AQ14" s="4"/>
    </row>
    <row r="15" spans="1:46" x14ac:dyDescent="0.35">
      <c r="A15" s="36" t="s">
        <v>47</v>
      </c>
      <c r="B15" s="34">
        <f>INDEX(Sex!$A:$S,MATCH(CONCATENATE($A15,$AS$9,"Males","All"),Sex!$A:$A,0),7)</f>
        <v>29700</v>
      </c>
      <c r="C15" s="18">
        <f>INDEX(Sex!$A:$S,MATCH(CONCATENATE($A15,$AS$9,"Males","All"),Sex!$A:$A,0),6)</f>
        <v>30700</v>
      </c>
      <c r="D15" s="20">
        <f>INDEX(Sex!$A:$S,MATCH(CONCATENATE($A15,$AS$9,"Males","All"),Sex!$A:$A,0),8)</f>
        <v>31700</v>
      </c>
      <c r="E15" s="18">
        <f>INDEX(Sex!$A:$S,MATCH(CONCATENATE($A15,$AS$9,"Females","All"),Sex!$A:$A,0),7)</f>
        <v>13700</v>
      </c>
      <c r="F15" s="18">
        <f>INDEX(Sex!$A:$S,MATCH(CONCATENATE($A15,$AS$9,"Females","All"),Sex!$A:$A,0),6)</f>
        <v>14100</v>
      </c>
      <c r="G15" s="20">
        <f>INDEX(Sex!$A:$S,MATCH(CONCATENATE($A15,$AS$9,"Females","All"),Sex!$A:$A,0),8)</f>
        <v>14600</v>
      </c>
      <c r="H15" s="15"/>
      <c r="J15" s="7"/>
      <c r="W15" s="76">
        <f t="shared" si="1"/>
        <v>1000</v>
      </c>
      <c r="X15" s="76">
        <f t="shared" si="3"/>
        <v>1000</v>
      </c>
      <c r="Y15" s="76">
        <f t="shared" si="4"/>
        <v>400</v>
      </c>
      <c r="Z15" s="77">
        <f t="shared" si="5"/>
        <v>500</v>
      </c>
      <c r="AA15" s="77"/>
      <c r="AE15" s="7"/>
      <c r="AI15" s="5"/>
      <c r="AK15" s="12"/>
      <c r="AM15" s="5" t="str">
        <f t="shared" si="0"/>
        <v>NHS Lothian</v>
      </c>
      <c r="AN15" s="13" t="s">
        <v>43</v>
      </c>
      <c r="AQ15" s="4"/>
    </row>
    <row r="16" spans="1:46" x14ac:dyDescent="0.35">
      <c r="A16" s="36" t="s">
        <v>48</v>
      </c>
      <c r="B16" s="34">
        <f>INDEX(Sex!$A:$S,MATCH(CONCATENATE($A16,$AS$9,"Males","All"),Sex!$A:$A,0),7)</f>
        <v>30100</v>
      </c>
      <c r="C16" s="18">
        <f>INDEX(Sex!$A:$S,MATCH(CONCATENATE($A16,$AS$9,"Males","All"),Sex!$A:$A,0),6)</f>
        <v>31000</v>
      </c>
      <c r="D16" s="20">
        <f>INDEX(Sex!$A:$S,MATCH(CONCATENATE($A16,$AS$9,"Males","All"),Sex!$A:$A,0),8)</f>
        <v>32100</v>
      </c>
      <c r="E16" s="18">
        <f>INDEX(Sex!$A:$S,MATCH(CONCATENATE($A16,$AS$9,"Females","All"),Sex!$A:$A,0),7)</f>
        <v>13700</v>
      </c>
      <c r="F16" s="18">
        <f>INDEX(Sex!$A:$S,MATCH(CONCATENATE($A16,$AS$9,"Females","All"),Sex!$A:$A,0),6)</f>
        <v>14200</v>
      </c>
      <c r="G16" s="20">
        <f>INDEX(Sex!$A:$S,MATCH(CONCATENATE($A16,$AS$9,"Females","All"),Sex!$A:$A,0),8)</f>
        <v>14600</v>
      </c>
      <c r="H16" s="15"/>
      <c r="J16" s="7"/>
      <c r="W16" s="76">
        <f t="shared" si="1"/>
        <v>900</v>
      </c>
      <c r="X16" s="76">
        <f t="shared" si="3"/>
        <v>1100</v>
      </c>
      <c r="Y16" s="76">
        <f t="shared" si="4"/>
        <v>500</v>
      </c>
      <c r="Z16" s="77">
        <f t="shared" si="5"/>
        <v>400</v>
      </c>
      <c r="AA16" s="77"/>
      <c r="AE16" s="7"/>
      <c r="AI16" s="5"/>
      <c r="AM16" s="5" t="str">
        <f t="shared" si="0"/>
        <v>NHS Tayside</v>
      </c>
      <c r="AN16" s="13" t="s">
        <v>45</v>
      </c>
      <c r="AQ16" s="4"/>
    </row>
    <row r="17" spans="1:43" x14ac:dyDescent="0.35">
      <c r="A17" s="36" t="s">
        <v>49</v>
      </c>
      <c r="B17" s="34">
        <f>INDEX(Sex!$A:$S,MATCH(CONCATENATE($A17,$AS$9,"Males","All"),Sex!$A:$A,0),7)</f>
        <v>31300</v>
      </c>
      <c r="C17" s="18">
        <f>INDEX(Sex!$A:$S,MATCH(CONCATENATE($A17,$AS$9,"Males","All"),Sex!$A:$A,0),6)</f>
        <v>32500</v>
      </c>
      <c r="D17" s="20">
        <f>INDEX(Sex!$A:$S,MATCH(CONCATENATE($A17,$AS$9,"Males","All"),Sex!$A:$A,0),8)</f>
        <v>33700</v>
      </c>
      <c r="E17" s="18">
        <f>INDEX(Sex!$A:$S,MATCH(CONCATENATE($A17,$AS$9,"Females","All"),Sex!$A:$A,0),7)</f>
        <v>14100</v>
      </c>
      <c r="F17" s="18">
        <f>INDEX(Sex!$A:$S,MATCH(CONCATENATE($A17,$AS$9,"Females","All"),Sex!$A:$A,0),6)</f>
        <v>14600</v>
      </c>
      <c r="G17" s="20">
        <f>INDEX(Sex!$A:$S,MATCH(CONCATENATE($A17,$AS$9,"Females","All"),Sex!$A:$A,0),8)</f>
        <v>15200</v>
      </c>
      <c r="H17" s="15"/>
      <c r="J17" s="7"/>
      <c r="W17" s="76">
        <f t="shared" si="1"/>
        <v>1200</v>
      </c>
      <c r="X17" s="76">
        <f t="shared" si="3"/>
        <v>1200</v>
      </c>
      <c r="Y17" s="76">
        <f t="shared" si="4"/>
        <v>500</v>
      </c>
      <c r="Z17" s="77">
        <f t="shared" si="5"/>
        <v>600</v>
      </c>
      <c r="AA17" s="77"/>
      <c r="AE17" s="7"/>
      <c r="AI17" s="5"/>
      <c r="AQ17" s="4"/>
    </row>
    <row r="18" spans="1:43" x14ac:dyDescent="0.35">
      <c r="A18" s="36" t="s">
        <v>124</v>
      </c>
      <c r="B18" s="34">
        <f>INDEX(Sex!$A:$S,MATCH(CONCATENATE($A18,$AS$9,"Males","All"),Sex!$A:$A,0),7)</f>
        <v>32100</v>
      </c>
      <c r="C18" s="18">
        <f>INDEX(Sex!$A:$S,MATCH(CONCATENATE($A18,$AS$9,"Males","All"),Sex!$A:$A,0),6)</f>
        <v>33200</v>
      </c>
      <c r="D18" s="20">
        <f>INDEX(Sex!$A:$S,MATCH(CONCATENATE($A18,$AS$9,"Males","All"),Sex!$A:$A,0),8)</f>
        <v>34500</v>
      </c>
      <c r="E18" s="18">
        <f>INDEX(Sex!$A:$S,MATCH(CONCATENATE($A18,$AS$9,"Females","All"),Sex!$A:$A,0),7)</f>
        <v>14300</v>
      </c>
      <c r="F18" s="18">
        <f>INDEX(Sex!$A:$S,MATCH(CONCATENATE($A18,$AS$9,"Females","All"),Sex!$A:$A,0),6)</f>
        <v>14900</v>
      </c>
      <c r="G18" s="20">
        <f>INDEX(Sex!$A:$S,MATCH(CONCATENATE($A18,$AS$9,"Females","All"),Sex!$A:$A,0),8)</f>
        <v>15400</v>
      </c>
      <c r="H18" s="15"/>
      <c r="J18" s="7"/>
      <c r="W18" s="76">
        <f t="shared" si="1"/>
        <v>1100</v>
      </c>
      <c r="X18" s="76">
        <f t="shared" si="3"/>
        <v>1300</v>
      </c>
      <c r="Y18" s="76">
        <f t="shared" si="4"/>
        <v>600</v>
      </c>
      <c r="Z18" s="77">
        <f t="shared" si="5"/>
        <v>500</v>
      </c>
      <c r="AA18" s="77"/>
      <c r="AE18" s="7"/>
      <c r="AI18" s="5"/>
      <c r="AQ18" s="4"/>
    </row>
    <row r="19" spans="1:43" x14ac:dyDescent="0.35">
      <c r="A19" s="36" t="s">
        <v>125</v>
      </c>
      <c r="B19" s="34">
        <f>INDEX(Sex!$A:$S,MATCH(CONCATENATE($A19,$AS$9,"Males","All"),Sex!$A:$A,0),7)</f>
        <v>30600</v>
      </c>
      <c r="C19" s="18">
        <f>INDEX(Sex!$A:$S,MATCH(CONCATENATE($A19,$AS$9,"Males","All"),Sex!$A:$A,0),6)</f>
        <v>31800</v>
      </c>
      <c r="D19" s="20">
        <f>INDEX(Sex!$A:$S,MATCH(CONCATENATE($A19,$AS$9,"Males","All"),Sex!$A:$A,0),8)</f>
        <v>33200</v>
      </c>
      <c r="E19" s="18">
        <f>INDEX(Sex!$A:$S,MATCH(CONCATENATE($A19,$AS$9,"Females","All"),Sex!$A:$A,0),7)</f>
        <v>13800</v>
      </c>
      <c r="F19" s="18">
        <f>INDEX(Sex!$A:$S,MATCH(CONCATENATE($A19,$AS$9,"Females","All"),Sex!$A:$A,0),6)</f>
        <v>14300</v>
      </c>
      <c r="G19" s="20">
        <f>INDEX(Sex!$A:$S,MATCH(CONCATENATE($A19,$AS$9,"Females","All"),Sex!$A:$A,0),8)</f>
        <v>14900</v>
      </c>
      <c r="H19" s="15"/>
      <c r="J19" s="7"/>
      <c r="W19" s="76">
        <f t="shared" si="1"/>
        <v>1200</v>
      </c>
      <c r="X19" s="76">
        <f t="shared" si="3"/>
        <v>1400</v>
      </c>
      <c r="Y19" s="76">
        <f t="shared" si="4"/>
        <v>500</v>
      </c>
      <c r="Z19" s="77">
        <f t="shared" si="5"/>
        <v>600</v>
      </c>
      <c r="AA19" s="77"/>
      <c r="AE19" s="7"/>
      <c r="AI19" s="5"/>
      <c r="AQ19" s="4"/>
    </row>
    <row r="20" spans="1:43" x14ac:dyDescent="0.35">
      <c r="A20" s="36" t="s">
        <v>126</v>
      </c>
      <c r="B20" s="34">
        <f>INDEX(Sex!$A:$S,MATCH(CONCATENATE($A20,$AS$9,"Males","All"),Sex!$A:$A,0),7)</f>
        <v>28700</v>
      </c>
      <c r="C20" s="18">
        <f>INDEX(Sex!$A:$S,MATCH(CONCATENATE($A20,$AS$9,"Males","All"),Sex!$A:$A,0),6)</f>
        <v>29900</v>
      </c>
      <c r="D20" s="20">
        <f>INDEX(Sex!$A:$S,MATCH(CONCATENATE($A20,$AS$9,"Males","All"),Sex!$A:$A,0),8)</f>
        <v>31100</v>
      </c>
      <c r="E20" s="18">
        <f>INDEX(Sex!$A:$S,MATCH(CONCATENATE($A20,$AS$9,"Females","All"),Sex!$A:$A,0),7)</f>
        <v>13100</v>
      </c>
      <c r="F20" s="18">
        <f>INDEX(Sex!$A:$S,MATCH(CONCATENATE($A20,$AS$9,"Females","All"),Sex!$A:$A,0),6)</f>
        <v>13500</v>
      </c>
      <c r="G20" s="20">
        <f>INDEX(Sex!$A:$S,MATCH(CONCATENATE($A20,$AS$9,"Females","All"),Sex!$A:$A,0),8)</f>
        <v>14100</v>
      </c>
      <c r="H20" s="15"/>
      <c r="J20" s="7"/>
      <c r="W20" s="76">
        <f t="shared" si="1"/>
        <v>1200</v>
      </c>
      <c r="X20" s="76">
        <f t="shared" si="3"/>
        <v>1200</v>
      </c>
      <c r="Y20" s="76">
        <f t="shared" si="4"/>
        <v>400</v>
      </c>
      <c r="Z20" s="77">
        <f t="shared" si="5"/>
        <v>600</v>
      </c>
      <c r="AA20" s="77"/>
      <c r="AE20" s="7"/>
      <c r="AI20" s="5"/>
      <c r="AQ20" s="4"/>
    </row>
    <row r="21" spans="1:43" x14ac:dyDescent="0.35">
      <c r="A21" s="17"/>
      <c r="B21" s="35"/>
      <c r="C21" s="19"/>
      <c r="D21" s="21"/>
      <c r="E21" s="19"/>
      <c r="F21" s="19"/>
      <c r="G21" s="21"/>
      <c r="H21" s="15"/>
      <c r="J21" s="7"/>
      <c r="W21" s="76"/>
      <c r="X21" s="76"/>
      <c r="Y21" s="76"/>
      <c r="Z21" s="77"/>
      <c r="AA21" s="77"/>
      <c r="AE21" s="7"/>
      <c r="AI21" s="5"/>
      <c r="AQ21" s="4"/>
    </row>
    <row r="22" spans="1:43" x14ac:dyDescent="0.35">
      <c r="B22" s="19"/>
      <c r="C22" s="19"/>
      <c r="D22" s="19"/>
      <c r="E22" s="19"/>
      <c r="F22" s="19"/>
      <c r="G22" s="21"/>
      <c r="H22" s="15"/>
      <c r="J22" s="7"/>
      <c r="W22" s="76"/>
      <c r="X22" s="76"/>
      <c r="Y22" s="76"/>
      <c r="Z22" s="77"/>
      <c r="AA22" s="77"/>
      <c r="AE22" s="7"/>
      <c r="AI22" s="5"/>
      <c r="AQ22" s="4"/>
    </row>
    <row r="23" spans="1:43" ht="24" customHeight="1" x14ac:dyDescent="0.35">
      <c r="B23" s="171" t="s">
        <v>26</v>
      </c>
      <c r="C23" s="167"/>
      <c r="D23" s="167"/>
      <c r="E23" s="167"/>
      <c r="F23" s="167"/>
      <c r="G23" s="168"/>
      <c r="H23" s="78"/>
      <c r="J23" s="7"/>
      <c r="W23" s="76"/>
      <c r="X23" s="76"/>
      <c r="Y23" s="76"/>
      <c r="Z23" s="77"/>
      <c r="AA23" s="77"/>
      <c r="AE23" s="7"/>
      <c r="AI23" s="5"/>
      <c r="AQ23" s="4"/>
    </row>
    <row r="24" spans="1:43" ht="24" customHeight="1" x14ac:dyDescent="0.35">
      <c r="A24" s="28" t="s">
        <v>50</v>
      </c>
      <c r="B24" s="167" t="s">
        <v>37</v>
      </c>
      <c r="C24" s="167"/>
      <c r="D24" s="168"/>
      <c r="E24" s="167" t="s">
        <v>42</v>
      </c>
      <c r="F24" s="167"/>
      <c r="G24" s="168"/>
      <c r="H24" s="15"/>
      <c r="J24" s="7"/>
      <c r="W24" s="169" t="s">
        <v>37</v>
      </c>
      <c r="X24" s="169"/>
      <c r="Y24" s="169" t="s">
        <v>42</v>
      </c>
      <c r="Z24" s="169"/>
      <c r="AA24" s="77"/>
      <c r="AE24" s="7"/>
      <c r="AI24" s="5"/>
      <c r="AQ24" s="4"/>
    </row>
    <row r="25" spans="1:43" ht="24" customHeight="1" x14ac:dyDescent="0.35">
      <c r="A25" s="28" t="s">
        <v>33</v>
      </c>
      <c r="B25" s="39" t="s">
        <v>34</v>
      </c>
      <c r="C25" s="39" t="s">
        <v>35</v>
      </c>
      <c r="D25" s="43" t="s">
        <v>36</v>
      </c>
      <c r="E25" s="39" t="s">
        <v>34</v>
      </c>
      <c r="F25" s="39" t="s">
        <v>35</v>
      </c>
      <c r="G25" s="43" t="s">
        <v>36</v>
      </c>
      <c r="H25" s="15"/>
      <c r="J25" s="7"/>
      <c r="W25" s="5" t="s">
        <v>40</v>
      </c>
      <c r="X25" s="5" t="s">
        <v>41</v>
      </c>
      <c r="Y25" s="5" t="s">
        <v>40</v>
      </c>
      <c r="Z25" s="5" t="s">
        <v>41</v>
      </c>
      <c r="AA25" s="77"/>
      <c r="AE25" s="7"/>
      <c r="AI25" s="5"/>
      <c r="AQ25" s="4"/>
    </row>
    <row r="26" spans="1:43" x14ac:dyDescent="0.35">
      <c r="A26" s="38" t="s">
        <v>39</v>
      </c>
      <c r="B26" s="153">
        <f>INDEX(Sex!$A:$S,MATCH(CONCATENATE($A26,$AS$9,"Males","All"),Sex!$A:$A,0),10)</f>
        <v>1.83E-2</v>
      </c>
      <c r="C26" s="154">
        <f>INDEX(Sex!$A:$S,MATCH(CONCATENATE($A26,$AS$9,"Males","All"),Sex!$A:$A,0),9)</f>
        <v>1.9199999999999998E-2</v>
      </c>
      <c r="D26" s="155">
        <f>INDEX(Sex!$A:$S,MATCH(CONCATENATE($A26,$AS$9,"Males","All"),Sex!$A:$A,0),11)</f>
        <v>2.0199999999999999E-2</v>
      </c>
      <c r="E26" s="154">
        <f>INDEX(Sex!$A:$S,MATCH(CONCATENATE($A26,$AS$9,"Females","All"),Sex!$A:$A,0),10)</f>
        <v>8.2000000000000007E-3</v>
      </c>
      <c r="F26" s="154">
        <f>INDEX(Sex!$A:$S,MATCH(CONCATENATE($A26,$AS$9,"Females","All"),Sex!$A:$A,0),9)</f>
        <v>8.6E-3</v>
      </c>
      <c r="G26" s="155">
        <f>INDEX(Sex!$A:$S,MATCH(CONCATENATE($A26,$AS$9,"Females","All"),Sex!$A:$A,0),11)</f>
        <v>8.9999999999999993E-3</v>
      </c>
      <c r="H26" s="15"/>
      <c r="J26" s="7"/>
      <c r="W26" s="15">
        <f t="shared" ref="W26:X26" si="6">C26-B26</f>
        <v>8.9999999999999802E-4</v>
      </c>
      <c r="X26" s="15">
        <f t="shared" si="6"/>
        <v>1.0000000000000009E-3</v>
      </c>
      <c r="Y26" s="15">
        <f t="shared" ref="Y26:Z26" si="7">F26-E26</f>
        <v>3.9999999999999931E-4</v>
      </c>
      <c r="Z26" s="79">
        <f t="shared" si="7"/>
        <v>3.9999999999999931E-4</v>
      </c>
      <c r="AA26" s="77"/>
      <c r="AE26" s="7"/>
      <c r="AI26" s="5"/>
      <c r="AQ26" s="4"/>
    </row>
    <row r="27" spans="1:43" x14ac:dyDescent="0.35">
      <c r="A27" s="36" t="s">
        <v>44</v>
      </c>
      <c r="B27" s="141">
        <f>INDEX(Sex!$A:$S,MATCH(CONCATENATE($A27,$AS$9,"Males","All"),Sex!$A:$A,0),10)</f>
        <v>1.78E-2</v>
      </c>
      <c r="C27" s="15">
        <f>INDEX(Sex!$A:$S,MATCH(CONCATENATE($A27,$AS$9,"Males","All"),Sex!$A:$A,0),9)</f>
        <v>1.8599999999999998E-2</v>
      </c>
      <c r="D27" s="142">
        <f>INDEX(Sex!$A:$S,MATCH(CONCATENATE($A27,$AS$9,"Males","All"),Sex!$A:$A,0),11)</f>
        <v>1.95E-2</v>
      </c>
      <c r="E27" s="15">
        <f>INDEX(Sex!$A:$S,MATCH(CONCATENATE($A27,$AS$9,"Females","All"),Sex!$A:$A,0),10)</f>
        <v>8.0000000000000002E-3</v>
      </c>
      <c r="F27" s="15">
        <f>INDEX(Sex!$A:$S,MATCH(CONCATENATE($A27,$AS$9,"Females","All"),Sex!$A:$A,0),9)</f>
        <v>8.3000000000000001E-3</v>
      </c>
      <c r="G27" s="142">
        <f>INDEX(Sex!$A:$S,MATCH(CONCATENATE($A27,$AS$9,"Females","All"),Sex!$A:$A,0),11)</f>
        <v>8.6999999999999994E-3</v>
      </c>
      <c r="H27" s="15"/>
      <c r="J27" s="7"/>
      <c r="W27" s="15">
        <f t="shared" ref="W27:W34" si="8">C27-B27</f>
        <v>7.9999999999999863E-4</v>
      </c>
      <c r="X27" s="15">
        <f t="shared" ref="X27:X34" si="9">D27-C27</f>
        <v>9.0000000000000149E-4</v>
      </c>
      <c r="Y27" s="15">
        <f t="shared" ref="Y27:Y34" si="10">F27-E27</f>
        <v>2.9999999999999992E-4</v>
      </c>
      <c r="Z27" s="79">
        <f t="shared" ref="Z27:Z34" si="11">G27-F27</f>
        <v>3.9999999999999931E-4</v>
      </c>
      <c r="AA27" s="77"/>
      <c r="AE27" s="7"/>
      <c r="AI27" s="5"/>
      <c r="AQ27" s="4"/>
    </row>
    <row r="28" spans="1:43" x14ac:dyDescent="0.35">
      <c r="A28" s="36" t="s">
        <v>46</v>
      </c>
      <c r="B28" s="141">
        <f>INDEX(Sex!$A:$S,MATCH(CONCATENATE($A28,$AS$9,"Males","All"),Sex!$A:$A,0),10)</f>
        <v>1.7600000000000001E-2</v>
      </c>
      <c r="C28" s="15">
        <f>INDEX(Sex!$A:$S,MATCH(CONCATENATE($A28,$AS$9,"Males","All"),Sex!$A:$A,0),9)</f>
        <v>1.83E-2</v>
      </c>
      <c r="D28" s="142">
        <f>INDEX(Sex!$A:$S,MATCH(CONCATENATE($A28,$AS$9,"Males","All"),Sex!$A:$A,0),11)</f>
        <v>1.9E-2</v>
      </c>
      <c r="E28" s="15">
        <f>INDEX(Sex!$A:$S,MATCH(CONCATENATE($A28,$AS$9,"Females","All"),Sex!$A:$A,0),10)</f>
        <v>7.9000000000000008E-3</v>
      </c>
      <c r="F28" s="15">
        <f>INDEX(Sex!$A:$S,MATCH(CONCATENATE($A28,$AS$9,"Females","All"),Sex!$A:$A,0),9)</f>
        <v>8.0999999999999996E-3</v>
      </c>
      <c r="G28" s="142">
        <f>INDEX(Sex!$A:$S,MATCH(CONCATENATE($A28,$AS$9,"Females","All"),Sex!$A:$A,0),11)</f>
        <v>8.5000000000000006E-3</v>
      </c>
      <c r="H28" s="15"/>
      <c r="J28" s="7"/>
      <c r="W28" s="15">
        <f t="shared" si="8"/>
        <v>6.9999999999999923E-4</v>
      </c>
      <c r="X28" s="15">
        <f t="shared" si="9"/>
        <v>6.9999999999999923E-4</v>
      </c>
      <c r="Y28" s="15">
        <f t="shared" si="10"/>
        <v>1.9999999999999879E-4</v>
      </c>
      <c r="Z28" s="79">
        <f t="shared" si="11"/>
        <v>4.0000000000000105E-4</v>
      </c>
      <c r="AA28" s="77"/>
      <c r="AE28" s="7"/>
      <c r="AI28" s="5"/>
    </row>
    <row r="29" spans="1:43" x14ac:dyDescent="0.35">
      <c r="A29" s="36" t="s">
        <v>47</v>
      </c>
      <c r="B29" s="141">
        <f>INDEX(Sex!$A:$S,MATCH(CONCATENATE($A29,$AS$9,"Males","All"),Sex!$A:$A,0),10)</f>
        <v>1.7000000000000001E-2</v>
      </c>
      <c r="C29" s="15">
        <f>INDEX(Sex!$A:$S,MATCH(CONCATENATE($A29,$AS$9,"Males","All"),Sex!$A:$A,0),9)</f>
        <v>1.7600000000000001E-2</v>
      </c>
      <c r="D29" s="142">
        <f>INDEX(Sex!$A:$S,MATCH(CONCATENATE($A29,$AS$9,"Males","All"),Sex!$A:$A,0),11)</f>
        <v>1.8200000000000001E-2</v>
      </c>
      <c r="E29" s="15">
        <f>INDEX(Sex!$A:$S,MATCH(CONCATENATE($A29,$AS$9,"Females","All"),Sex!$A:$A,0),10)</f>
        <v>7.6E-3</v>
      </c>
      <c r="F29" s="15">
        <f>INDEX(Sex!$A:$S,MATCH(CONCATENATE($A29,$AS$9,"Females","All"),Sex!$A:$A,0),9)</f>
        <v>7.7999999999999996E-3</v>
      </c>
      <c r="G29" s="142">
        <f>INDEX(Sex!$A:$S,MATCH(CONCATENATE($A29,$AS$9,"Females","All"),Sex!$A:$A,0),11)</f>
        <v>8.0999999999999996E-3</v>
      </c>
      <c r="H29" s="15"/>
      <c r="J29" s="7"/>
      <c r="W29" s="15">
        <f t="shared" si="8"/>
        <v>5.9999999999999984E-4</v>
      </c>
      <c r="X29" s="15">
        <f t="shared" si="9"/>
        <v>5.9999999999999984E-4</v>
      </c>
      <c r="Y29" s="15">
        <f t="shared" si="10"/>
        <v>1.9999999999999966E-4</v>
      </c>
      <c r="Z29" s="79">
        <f t="shared" si="11"/>
        <v>2.9999999999999992E-4</v>
      </c>
      <c r="AA29" s="77"/>
      <c r="AE29" s="7"/>
      <c r="AI29" s="5"/>
    </row>
    <row r="30" spans="1:43" x14ac:dyDescent="0.35">
      <c r="A30" s="36" t="s">
        <v>48</v>
      </c>
      <c r="B30" s="141">
        <f>INDEX(Sex!$A:$S,MATCH(CONCATENATE($A30,$AS$9,"Males","All"),Sex!$A:$A,0),10)</f>
        <v>1.72E-2</v>
      </c>
      <c r="C30" s="15">
        <f>INDEX(Sex!$A:$S,MATCH(CONCATENATE($A30,$AS$9,"Males","All"),Sex!$A:$A,0),9)</f>
        <v>1.78E-2</v>
      </c>
      <c r="D30" s="142">
        <f>INDEX(Sex!$A:$S,MATCH(CONCATENATE($A30,$AS$9,"Males","All"),Sex!$A:$A,0),11)</f>
        <v>1.84E-2</v>
      </c>
      <c r="E30" s="15">
        <f>INDEX(Sex!$A:$S,MATCH(CONCATENATE($A30,$AS$9,"Females","All"),Sex!$A:$A,0),10)</f>
        <v>7.6E-3</v>
      </c>
      <c r="F30" s="15">
        <f>INDEX(Sex!$A:$S,MATCH(CONCATENATE($A30,$AS$9,"Females","All"),Sex!$A:$A,0),9)</f>
        <v>7.9000000000000008E-3</v>
      </c>
      <c r="G30" s="142">
        <f>INDEX(Sex!$A:$S,MATCH(CONCATENATE($A30,$AS$9,"Females","All"),Sex!$A:$A,0),11)</f>
        <v>8.0999999999999996E-3</v>
      </c>
      <c r="H30" s="15"/>
      <c r="J30" s="7"/>
      <c r="W30" s="15">
        <f t="shared" si="8"/>
        <v>5.9999999999999984E-4</v>
      </c>
      <c r="X30" s="15">
        <f t="shared" si="9"/>
        <v>5.9999999999999984E-4</v>
      </c>
      <c r="Y30" s="15">
        <f t="shared" si="10"/>
        <v>3.0000000000000079E-4</v>
      </c>
      <c r="Z30" s="79">
        <f t="shared" si="11"/>
        <v>1.9999999999999879E-4</v>
      </c>
      <c r="AA30" s="77"/>
      <c r="AE30" s="7"/>
      <c r="AI30" s="5"/>
    </row>
    <row r="31" spans="1:43" ht="15" customHeight="1" x14ac:dyDescent="0.35">
      <c r="A31" s="36" t="s">
        <v>49</v>
      </c>
      <c r="B31" s="141">
        <f>INDEX(Sex!$A:$S,MATCH(CONCATENATE($A31,$AS$9,"Males","All"),Sex!$A:$A,0),10)</f>
        <v>1.7899999999999999E-2</v>
      </c>
      <c r="C31" s="15">
        <f>INDEX(Sex!$A:$S,MATCH(CONCATENATE($A31,$AS$9,"Males","All"),Sex!$A:$A,0),9)</f>
        <v>1.8599999999999998E-2</v>
      </c>
      <c r="D31" s="142">
        <f>INDEX(Sex!$A:$S,MATCH(CONCATENATE($A31,$AS$9,"Males","All"),Sex!$A:$A,0),11)</f>
        <v>1.9300000000000001E-2</v>
      </c>
      <c r="E31" s="15">
        <f>INDEX(Sex!$A:$S,MATCH(CONCATENATE($A31,$AS$9,"Females","All"),Sex!$A:$A,0),10)</f>
        <v>7.7999999999999996E-3</v>
      </c>
      <c r="F31" s="15">
        <f>INDEX(Sex!$A:$S,MATCH(CONCATENATE($A31,$AS$9,"Females","All"),Sex!$A:$A,0),9)</f>
        <v>8.0999999999999996E-3</v>
      </c>
      <c r="G31" s="142">
        <f>INDEX(Sex!$A:$S,MATCH(CONCATENATE($A31,$AS$9,"Females","All"),Sex!$A:$A,0),11)</f>
        <v>8.3999999999999995E-3</v>
      </c>
      <c r="H31" s="78"/>
      <c r="J31" s="7"/>
      <c r="W31" s="15">
        <f t="shared" si="8"/>
        <v>6.9999999999999923E-4</v>
      </c>
      <c r="X31" s="15">
        <f t="shared" si="9"/>
        <v>7.000000000000027E-4</v>
      </c>
      <c r="Y31" s="15">
        <f t="shared" si="10"/>
        <v>2.9999999999999992E-4</v>
      </c>
      <c r="Z31" s="79">
        <f t="shared" si="11"/>
        <v>2.9999999999999992E-4</v>
      </c>
      <c r="AA31" s="77"/>
      <c r="AE31" s="7"/>
      <c r="AI31" s="5"/>
    </row>
    <row r="32" spans="1:43" x14ac:dyDescent="0.35">
      <c r="A32" s="36" t="s">
        <v>124</v>
      </c>
      <c r="B32" s="141">
        <f>INDEX(Sex!$A:$S,MATCH(CONCATENATE($A32,$AS$9,"Males","All"),Sex!$A:$A,0),10)</f>
        <v>1.83E-2</v>
      </c>
      <c r="C32" s="15">
        <f>INDEX(Sex!$A:$S,MATCH(CONCATENATE($A32,$AS$9,"Males","All"),Sex!$A:$A,0),9)</f>
        <v>1.9E-2</v>
      </c>
      <c r="D32" s="142">
        <f>INDEX(Sex!$A:$S,MATCH(CONCATENATE($A32,$AS$9,"Males","All"),Sex!$A:$A,0),11)</f>
        <v>1.9699999999999999E-2</v>
      </c>
      <c r="E32" s="15">
        <f>INDEX(Sex!$A:$S,MATCH(CONCATENATE($A32,$AS$9,"Females","All"),Sex!$A:$A,0),10)</f>
        <v>8.0000000000000002E-3</v>
      </c>
      <c r="F32" s="15">
        <f>INDEX(Sex!$A:$S,MATCH(CONCATENATE($A32,$AS$9,"Females","All"),Sex!$A:$A,0),9)</f>
        <v>8.2000000000000007E-3</v>
      </c>
      <c r="G32" s="142">
        <f>INDEX(Sex!$A:$S,MATCH(CONCATENATE($A32,$AS$9,"Females","All"),Sex!$A:$A,0),11)</f>
        <v>8.6E-3</v>
      </c>
      <c r="H32" s="15"/>
      <c r="J32" s="7"/>
      <c r="W32" s="15">
        <f t="shared" si="8"/>
        <v>6.9999999999999923E-4</v>
      </c>
      <c r="X32" s="15">
        <f t="shared" si="9"/>
        <v>6.9999999999999923E-4</v>
      </c>
      <c r="Y32" s="15">
        <f t="shared" si="10"/>
        <v>2.0000000000000052E-4</v>
      </c>
      <c r="Z32" s="79">
        <f t="shared" si="11"/>
        <v>3.9999999999999931E-4</v>
      </c>
      <c r="AA32" s="77"/>
      <c r="AE32" s="7"/>
      <c r="AI32" s="5"/>
      <c r="AQ32" s="4"/>
    </row>
    <row r="33" spans="1:43" x14ac:dyDescent="0.35">
      <c r="A33" s="36" t="s">
        <v>125</v>
      </c>
      <c r="B33" s="141">
        <f>INDEX(Sex!$A:$S,MATCH(CONCATENATE($A33,$AS$9,"Males","All"),Sex!$A:$A,0),10)</f>
        <v>1.7500000000000002E-2</v>
      </c>
      <c r="C33" s="15">
        <f>INDEX(Sex!$A:$S,MATCH(CONCATENATE($A33,$AS$9,"Males","All"),Sex!$A:$A,0),9)</f>
        <v>1.8200000000000001E-2</v>
      </c>
      <c r="D33" s="142">
        <f>INDEX(Sex!$A:$S,MATCH(CONCATENATE($A33,$AS$9,"Males","All"),Sex!$A:$A,0),11)</f>
        <v>1.9E-2</v>
      </c>
      <c r="E33" s="15">
        <f>INDEX(Sex!$A:$S,MATCH(CONCATENATE($A33,$AS$9,"Females","All"),Sex!$A:$A,0),10)</f>
        <v>7.6E-3</v>
      </c>
      <c r="F33" s="15">
        <f>INDEX(Sex!$A:$S,MATCH(CONCATENATE($A33,$AS$9,"Females","All"),Sex!$A:$A,0),9)</f>
        <v>7.9000000000000008E-3</v>
      </c>
      <c r="G33" s="142">
        <f>INDEX(Sex!$A:$S,MATCH(CONCATENATE($A33,$AS$9,"Females","All"),Sex!$A:$A,0),11)</f>
        <v>8.3000000000000001E-3</v>
      </c>
      <c r="H33" s="15"/>
      <c r="J33" s="7"/>
      <c r="W33" s="15">
        <f t="shared" si="8"/>
        <v>6.9999999999999923E-4</v>
      </c>
      <c r="X33" s="15">
        <f t="shared" si="9"/>
        <v>7.9999999999999863E-4</v>
      </c>
      <c r="Y33" s="15">
        <f t="shared" si="10"/>
        <v>3.0000000000000079E-4</v>
      </c>
      <c r="Z33" s="79">
        <f t="shared" si="11"/>
        <v>3.9999999999999931E-4</v>
      </c>
      <c r="AA33" s="77"/>
      <c r="AE33" s="7"/>
      <c r="AI33" s="5"/>
      <c r="AQ33" s="4"/>
    </row>
    <row r="34" spans="1:43" x14ac:dyDescent="0.35">
      <c r="A34" s="36" t="s">
        <v>126</v>
      </c>
      <c r="B34" s="141">
        <f>INDEX(Sex!$A:$S,MATCH(CONCATENATE($A34,$AS$9,"Males","All"),Sex!$A:$A,0),10)</f>
        <v>1.67E-2</v>
      </c>
      <c r="C34" s="15">
        <f>INDEX(Sex!$A:$S,MATCH(CONCATENATE($A34,$AS$9,"Males","All"),Sex!$A:$A,0),9)</f>
        <v>1.7399999999999999E-2</v>
      </c>
      <c r="D34" s="142">
        <f>INDEX(Sex!$A:$S,MATCH(CONCATENATE($A34,$AS$9,"Males","All"),Sex!$A:$A,0),11)</f>
        <v>1.8100000000000002E-2</v>
      </c>
      <c r="E34" s="15">
        <f>INDEX(Sex!$A:$S,MATCH(CONCATENATE($A34,$AS$9,"Females","All"),Sex!$A:$A,0),10)</f>
        <v>7.3000000000000001E-3</v>
      </c>
      <c r="F34" s="15">
        <f>INDEX(Sex!$A:$S,MATCH(CONCATENATE($A34,$AS$9,"Females","All"),Sex!$A:$A,0),9)</f>
        <v>7.4999999999999997E-3</v>
      </c>
      <c r="G34" s="142">
        <f>INDEX(Sex!$A:$S,MATCH(CONCATENATE($A34,$AS$9,"Females","All"),Sex!$A:$A,0),11)</f>
        <v>7.7999999999999996E-3</v>
      </c>
      <c r="H34" s="15"/>
      <c r="J34" s="7"/>
      <c r="W34" s="15">
        <f t="shared" si="8"/>
        <v>6.9999999999999923E-4</v>
      </c>
      <c r="X34" s="15">
        <f t="shared" si="9"/>
        <v>7.000000000000027E-4</v>
      </c>
      <c r="Y34" s="15">
        <f t="shared" si="10"/>
        <v>1.9999999999999966E-4</v>
      </c>
      <c r="Z34" s="79">
        <f t="shared" si="11"/>
        <v>2.9999999999999992E-4</v>
      </c>
      <c r="AA34" s="77"/>
      <c r="AE34" s="7"/>
      <c r="AI34" s="5"/>
      <c r="AQ34" s="4"/>
    </row>
    <row r="35" spans="1:43" x14ac:dyDescent="0.35">
      <c r="A35" s="17"/>
      <c r="B35" s="35"/>
      <c r="C35" s="19"/>
      <c r="D35" s="21"/>
      <c r="E35" s="19"/>
      <c r="F35" s="19"/>
      <c r="G35" s="21"/>
      <c r="H35" s="15"/>
      <c r="J35" s="7"/>
      <c r="W35" s="76"/>
      <c r="X35" s="76"/>
      <c r="Y35" s="76"/>
      <c r="Z35" s="77"/>
      <c r="AA35" s="77"/>
      <c r="AE35" s="7"/>
      <c r="AI35" s="5"/>
    </row>
    <row r="36" spans="1:43" x14ac:dyDescent="0.35">
      <c r="H36" s="15"/>
      <c r="J36" s="7"/>
      <c r="W36" s="76"/>
      <c r="X36" s="76"/>
      <c r="Y36" s="76"/>
      <c r="Z36" s="77"/>
      <c r="AA36" s="77"/>
      <c r="AE36" s="7"/>
      <c r="AI36" s="16"/>
    </row>
    <row r="37" spans="1:43" ht="24" customHeight="1" x14ac:dyDescent="0.35">
      <c r="A37" s="10" t="s">
        <v>19</v>
      </c>
      <c r="B37" s="166"/>
      <c r="C37" s="166"/>
      <c r="D37" s="166"/>
      <c r="E37" s="166"/>
      <c r="F37" s="166"/>
      <c r="G37" s="166"/>
      <c r="H37" s="15"/>
      <c r="J37" s="7"/>
      <c r="W37" s="76"/>
      <c r="X37" s="76"/>
      <c r="Y37" s="76"/>
      <c r="Z37" s="77"/>
      <c r="AA37" s="77"/>
      <c r="AE37" s="7"/>
      <c r="AI37" s="5"/>
    </row>
    <row r="38" spans="1:43" x14ac:dyDescent="0.35">
      <c r="A38" s="170" t="s">
        <v>51</v>
      </c>
      <c r="B38" s="170"/>
      <c r="C38" s="170"/>
      <c r="D38" s="170"/>
      <c r="E38" s="170"/>
      <c r="F38" s="170"/>
      <c r="G38" s="170"/>
      <c r="H38" s="96"/>
      <c r="I38" s="96"/>
      <c r="J38" s="7"/>
      <c r="W38" s="76"/>
      <c r="X38" s="76"/>
      <c r="Y38" s="76"/>
      <c r="Z38" s="77"/>
      <c r="AA38" s="77"/>
      <c r="AE38" s="7"/>
      <c r="AI38" s="5"/>
    </row>
    <row r="39" spans="1:43" ht="29.25" customHeight="1" x14ac:dyDescent="0.35">
      <c r="A39" s="165" t="s">
        <v>52</v>
      </c>
      <c r="B39" s="165"/>
      <c r="C39" s="165"/>
      <c r="D39" s="165"/>
      <c r="E39" s="165"/>
      <c r="F39" s="165"/>
      <c r="G39" s="165"/>
      <c r="H39" s="111"/>
      <c r="I39" s="111"/>
      <c r="J39" s="111"/>
      <c r="K39" s="111"/>
      <c r="L39" s="111"/>
      <c r="M39" s="111"/>
      <c r="N39" s="111"/>
      <c r="O39" s="111"/>
      <c r="P39" s="111"/>
      <c r="Q39" s="111"/>
      <c r="R39" s="111"/>
      <c r="W39" s="76"/>
      <c r="X39" s="76"/>
      <c r="Y39" s="76"/>
      <c r="Z39" s="77"/>
      <c r="AA39" s="77"/>
      <c r="AE39" s="7"/>
      <c r="AI39" s="5"/>
    </row>
    <row r="40" spans="1:43" ht="47" customHeight="1" x14ac:dyDescent="0.35">
      <c r="A40" s="165" t="s">
        <v>563</v>
      </c>
      <c r="B40" s="165"/>
      <c r="C40" s="165"/>
      <c r="D40" s="165"/>
      <c r="E40" s="165"/>
      <c r="F40" s="165"/>
      <c r="G40" s="165"/>
      <c r="K40" s="5"/>
      <c r="L40" s="5"/>
      <c r="M40" s="5"/>
      <c r="N40" s="5"/>
      <c r="O40" s="5"/>
      <c r="P40" s="5"/>
      <c r="Q40" s="5"/>
      <c r="R40" s="5"/>
      <c r="W40" s="76"/>
      <c r="X40" s="76"/>
      <c r="Y40" s="76"/>
      <c r="Z40" s="77"/>
      <c r="AA40" s="77"/>
      <c r="AE40" s="7"/>
      <c r="AI40" s="5"/>
    </row>
    <row r="41" spans="1:43" ht="33.5" customHeight="1" x14ac:dyDescent="0.35">
      <c r="A41" s="164"/>
      <c r="B41" s="164"/>
      <c r="C41" s="164"/>
      <c r="D41" s="164"/>
      <c r="E41" s="164"/>
      <c r="F41" s="164"/>
      <c r="G41" s="164"/>
      <c r="H41" s="100"/>
      <c r="I41" s="100"/>
      <c r="J41" s="100"/>
      <c r="W41" s="76"/>
      <c r="X41" s="76"/>
      <c r="Y41" s="76"/>
      <c r="Z41" s="76"/>
      <c r="AA41" s="77"/>
    </row>
    <row r="42" spans="1:43" x14ac:dyDescent="0.35">
      <c r="A42" s="56"/>
      <c r="B42" s="18"/>
      <c r="C42" s="18"/>
      <c r="D42" s="18"/>
      <c r="E42" s="18"/>
      <c r="F42" s="18"/>
      <c r="G42" s="18"/>
      <c r="W42" s="76"/>
      <c r="X42" s="76"/>
      <c r="Y42" s="76"/>
      <c r="Z42" s="76"/>
      <c r="AA42" s="77"/>
    </row>
    <row r="43" spans="1:43" x14ac:dyDescent="0.35">
      <c r="A43" s="56"/>
      <c r="B43" s="18"/>
      <c r="C43" s="18"/>
      <c r="D43" s="18"/>
      <c r="E43" s="18"/>
      <c r="F43" s="18"/>
      <c r="G43" s="18"/>
      <c r="W43" s="76"/>
      <c r="X43" s="76"/>
      <c r="Y43" s="76"/>
      <c r="Z43" s="76"/>
      <c r="AA43" s="77"/>
    </row>
    <row r="44" spans="1:43" x14ac:dyDescent="0.35">
      <c r="A44" s="56"/>
      <c r="B44" s="18"/>
      <c r="C44" s="18"/>
      <c r="D44" s="18"/>
      <c r="E44" s="18"/>
      <c r="F44" s="18"/>
      <c r="G44" s="18"/>
    </row>
    <row r="45" spans="1:43" x14ac:dyDescent="0.35">
      <c r="A45" s="56"/>
      <c r="B45" s="18"/>
      <c r="C45" s="18"/>
      <c r="D45" s="18"/>
      <c r="E45" s="18"/>
      <c r="F45" s="18"/>
      <c r="G45" s="18"/>
    </row>
    <row r="46" spans="1:43" x14ac:dyDescent="0.35">
      <c r="B46" s="18"/>
      <c r="C46" s="18"/>
      <c r="D46" s="18"/>
      <c r="E46" s="18"/>
      <c r="F46" s="18"/>
      <c r="G46" s="18"/>
    </row>
    <row r="48" spans="1:43" ht="24" customHeight="1" x14ac:dyDescent="0.35"/>
    <row r="49" spans="1:7" ht="24" customHeight="1" x14ac:dyDescent="0.35"/>
    <row r="50" spans="1:7" ht="24" customHeight="1" x14ac:dyDescent="0.35"/>
    <row r="59" spans="1:7" ht="24" customHeight="1" x14ac:dyDescent="0.35">
      <c r="B59" s="166"/>
      <c r="C59" s="166"/>
      <c r="D59" s="166"/>
      <c r="E59" s="166"/>
      <c r="F59" s="166"/>
      <c r="G59" s="166"/>
    </row>
    <row r="60" spans="1:7" ht="24" customHeight="1" x14ac:dyDescent="0.35">
      <c r="A60" s="55"/>
      <c r="B60" s="166"/>
      <c r="C60" s="166"/>
      <c r="D60" s="166"/>
      <c r="E60" s="166"/>
      <c r="F60" s="166"/>
      <c r="G60" s="166"/>
    </row>
    <row r="61" spans="1:7" ht="24" customHeight="1" x14ac:dyDescent="0.35">
      <c r="A61" s="55"/>
      <c r="B61" s="55"/>
      <c r="C61" s="55"/>
      <c r="D61" s="55"/>
      <c r="E61" s="55"/>
      <c r="F61" s="55"/>
      <c r="G61" s="55"/>
    </row>
    <row r="62" spans="1:7" x14ac:dyDescent="0.35">
      <c r="A62" s="56"/>
      <c r="B62" s="15"/>
      <c r="C62" s="18"/>
      <c r="D62" s="18"/>
      <c r="E62" s="18"/>
      <c r="F62" s="18"/>
      <c r="G62" s="18"/>
    </row>
    <row r="63" spans="1:7" x14ac:dyDescent="0.35">
      <c r="A63" s="56"/>
      <c r="B63" s="15"/>
      <c r="C63" s="18"/>
      <c r="D63" s="18"/>
      <c r="E63" s="18"/>
      <c r="F63" s="18"/>
      <c r="G63" s="18"/>
    </row>
    <row r="64" spans="1:7" x14ac:dyDescent="0.35">
      <c r="A64" s="56"/>
      <c r="B64" s="15"/>
      <c r="C64" s="18"/>
      <c r="D64" s="18"/>
      <c r="E64" s="18"/>
      <c r="F64" s="18"/>
      <c r="G64" s="18"/>
    </row>
    <row r="65" spans="1:7" x14ac:dyDescent="0.35">
      <c r="A65" s="56"/>
      <c r="B65" s="15"/>
      <c r="C65" s="18"/>
      <c r="D65" s="18"/>
      <c r="E65" s="18"/>
      <c r="F65" s="18"/>
      <c r="G65" s="18"/>
    </row>
    <row r="66" spans="1:7" x14ac:dyDescent="0.35">
      <c r="A66" s="56"/>
      <c r="B66" s="15"/>
      <c r="C66" s="18"/>
      <c r="D66" s="18"/>
      <c r="E66" s="18"/>
      <c r="F66" s="18"/>
      <c r="G66" s="18"/>
    </row>
    <row r="67" spans="1:7" x14ac:dyDescent="0.35">
      <c r="A67" s="56"/>
      <c r="B67" s="15"/>
      <c r="C67" s="18"/>
      <c r="D67" s="18"/>
      <c r="E67" s="18"/>
      <c r="F67" s="18"/>
      <c r="G67" s="18"/>
    </row>
    <row r="68" spans="1:7" x14ac:dyDescent="0.35">
      <c r="B68" s="18"/>
      <c r="C68" s="18"/>
      <c r="D68" s="18"/>
      <c r="E68" s="18"/>
      <c r="F68" s="18"/>
      <c r="G68" s="18"/>
    </row>
    <row r="70" spans="1:7" ht="24" customHeight="1" x14ac:dyDescent="0.35"/>
    <row r="71" spans="1:7" ht="24" customHeight="1" x14ac:dyDescent="0.35"/>
    <row r="72" spans="1:7" ht="24" customHeight="1" x14ac:dyDescent="0.35"/>
  </sheetData>
  <mergeCells count="18">
    <mergeCell ref="W24:X24"/>
    <mergeCell ref="Y24:Z24"/>
    <mergeCell ref="B9:G9"/>
    <mergeCell ref="W10:X10"/>
    <mergeCell ref="Y10:Z10"/>
    <mergeCell ref="B10:D10"/>
    <mergeCell ref="E10:G10"/>
    <mergeCell ref="B24:D24"/>
    <mergeCell ref="E24:G24"/>
    <mergeCell ref="B23:G23"/>
    <mergeCell ref="B59:G59"/>
    <mergeCell ref="B60:D60"/>
    <mergeCell ref="E60:G60"/>
    <mergeCell ref="B37:G37"/>
    <mergeCell ref="A38:G38"/>
    <mergeCell ref="A39:G39"/>
    <mergeCell ref="A40:G40"/>
    <mergeCell ref="A41:G41"/>
  </mergeCells>
  <hyperlinks>
    <hyperlink ref="A2" location="Contents!A1" display="Back to contents" xr:uid="{E2702661-9461-45AC-8129-0FCE17D003A8}"/>
  </hyperlink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313" r:id="rId4" name="Drop Down 1">
              <controlPr defaultSize="0" autoLine="0" autoPict="0">
                <anchor moveWithCells="1">
                  <from>
                    <xdr:col>0</xdr:col>
                    <xdr:colOff>38100</xdr:colOff>
                    <xdr:row>5</xdr:row>
                    <xdr:rowOff>63500</xdr:rowOff>
                  </from>
                  <to>
                    <xdr:col>1</xdr:col>
                    <xdr:colOff>101600</xdr:colOff>
                    <xdr:row>6</xdr:row>
                    <xdr:rowOff>139700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9E59F-B346-4244-BFC7-DA7617572B86}">
  <sheetPr codeName="Sheet3"/>
  <dimension ref="A1:BD43"/>
  <sheetViews>
    <sheetView showGridLines="0" zoomScaleNormal="100" workbookViewId="0"/>
  </sheetViews>
  <sheetFormatPr defaultColWidth="8.81640625" defaultRowHeight="15.5" x14ac:dyDescent="0.35"/>
  <cols>
    <col min="1" max="1" width="17.1796875" style="5" customWidth="1"/>
    <col min="2" max="3" width="10.453125" style="5" bestFit="1" customWidth="1"/>
    <col min="4" max="4" width="8.81640625" style="5"/>
    <col min="5" max="6" width="10.453125" style="5" bestFit="1" customWidth="1"/>
    <col min="7" max="7" width="8.81640625" style="5"/>
    <col min="8" max="9" width="10.453125" style="5" bestFit="1" customWidth="1"/>
    <col min="10" max="10" width="8.81640625" style="5"/>
    <col min="11" max="16" width="8.81640625" style="5" hidden="1" customWidth="1"/>
    <col min="17" max="18" width="8.81640625" style="22" hidden="1" customWidth="1"/>
    <col min="19" max="19" width="8.81640625" style="24" hidden="1" customWidth="1"/>
    <col min="20" max="21" width="8.81640625" style="5" hidden="1" customWidth="1"/>
    <col min="22" max="32" width="9.1796875" style="5" hidden="1" customWidth="1"/>
    <col min="33" max="37" width="8.81640625" style="5" customWidth="1"/>
    <col min="38" max="47" width="8.81640625" style="5"/>
    <col min="48" max="54" width="8.81640625" style="5" hidden="1" customWidth="1"/>
    <col min="55" max="16384" width="8.81640625" style="5"/>
  </cols>
  <sheetData>
    <row r="1" spans="1:56" x14ac:dyDescent="0.35">
      <c r="V1" s="8"/>
      <c r="W1" s="8"/>
      <c r="X1" s="8"/>
      <c r="Y1" s="8"/>
      <c r="Z1" s="8"/>
      <c r="AA1" s="8"/>
      <c r="AB1" s="8"/>
      <c r="AC1" s="8"/>
      <c r="AD1" s="8"/>
      <c r="AE1" s="8"/>
      <c r="AF1" s="8"/>
    </row>
    <row r="2" spans="1:56" x14ac:dyDescent="0.35">
      <c r="A2" s="132" t="s">
        <v>22</v>
      </c>
    </row>
    <row r="3" spans="1:56" ht="17.5" x14ac:dyDescent="0.35">
      <c r="A3" s="10" t="s">
        <v>54</v>
      </c>
      <c r="B3" s="10" t="s">
        <v>571</v>
      </c>
    </row>
    <row r="4" spans="1:56" x14ac:dyDescent="0.35">
      <c r="B4" s="5" t="s">
        <v>24</v>
      </c>
      <c r="AA4" s="5" t="str">
        <f>"Estimated prevalence of opioid dependence in "&amp;AE9&amp;", by age group"</f>
        <v>Estimated prevalence of opioid dependence in Scotland, by age group</v>
      </c>
    </row>
    <row r="5" spans="1:56" x14ac:dyDescent="0.35">
      <c r="A5" s="11" t="s">
        <v>25</v>
      </c>
      <c r="D5" s="11"/>
      <c r="AA5" s="5" t="str">
        <f>"Estimated number of people with opioid-dependence in "&amp;AE9&amp;", by age group"</f>
        <v>Estimated number of people with opioid-dependence in Scotland, by age group</v>
      </c>
    </row>
    <row r="7" spans="1:56" x14ac:dyDescent="0.35">
      <c r="V7" s="5" t="s">
        <v>26</v>
      </c>
      <c r="W7" s="5" t="s">
        <v>27</v>
      </c>
      <c r="AA7" s="5" t="s">
        <v>28</v>
      </c>
      <c r="AF7" s="5" t="s">
        <v>29</v>
      </c>
    </row>
    <row r="9" spans="1:56" x14ac:dyDescent="0.35">
      <c r="A9" s="32"/>
      <c r="B9" s="173" t="s">
        <v>55</v>
      </c>
      <c r="C9" s="173"/>
      <c r="D9" s="173"/>
      <c r="E9" s="173"/>
      <c r="F9" s="173"/>
      <c r="G9" s="173"/>
      <c r="H9" s="173"/>
      <c r="I9" s="173"/>
      <c r="J9" s="173"/>
      <c r="V9" s="5" t="s">
        <v>31</v>
      </c>
      <c r="W9" s="5" t="s">
        <v>31</v>
      </c>
      <c r="X9" s="12"/>
      <c r="Y9" s="12"/>
      <c r="Z9" s="13" t="s">
        <v>32</v>
      </c>
      <c r="AA9" s="5" t="s">
        <v>32</v>
      </c>
      <c r="AB9" s="14"/>
      <c r="AD9" s="13">
        <v>1</v>
      </c>
      <c r="AE9" s="12" t="str">
        <f>INDEX(Z9:Z16,AD9)</f>
        <v>Scotland</v>
      </c>
    </row>
    <row r="10" spans="1:56" ht="24" customHeight="1" x14ac:dyDescent="0.35">
      <c r="A10" s="29" t="s">
        <v>30</v>
      </c>
      <c r="B10" s="167" t="s">
        <v>56</v>
      </c>
      <c r="C10" s="167"/>
      <c r="D10" s="167"/>
      <c r="E10" s="171" t="s">
        <v>57</v>
      </c>
      <c r="F10" s="167"/>
      <c r="G10" s="168"/>
      <c r="H10" s="167" t="s">
        <v>58</v>
      </c>
      <c r="I10" s="167"/>
      <c r="J10" s="168"/>
      <c r="K10" s="172" t="s">
        <v>56</v>
      </c>
      <c r="L10" s="169"/>
      <c r="M10" s="169" t="s">
        <v>57</v>
      </c>
      <c r="N10" s="169"/>
      <c r="O10" s="169" t="s">
        <v>58</v>
      </c>
      <c r="P10" s="169"/>
      <c r="V10" s="5" t="s">
        <v>37</v>
      </c>
      <c r="X10" s="12"/>
      <c r="Z10" s="5" t="str">
        <f>IF($W$9=5,AB10,IF($W$9=3,AC16,AA10))</f>
        <v>NHS Ayrshire &amp; Arran</v>
      </c>
      <c r="AA10" s="5" t="s">
        <v>130</v>
      </c>
      <c r="AD10" s="12"/>
      <c r="AW10" s="172" t="s">
        <v>56</v>
      </c>
      <c r="AX10" s="169"/>
      <c r="AY10" s="169" t="s">
        <v>57</v>
      </c>
      <c r="AZ10" s="169"/>
      <c r="BA10" s="169" t="s">
        <v>58</v>
      </c>
      <c r="BB10" s="169"/>
      <c r="BD10" s="22" t="s">
        <v>21</v>
      </c>
    </row>
    <row r="11" spans="1:56" ht="24" customHeight="1" x14ac:dyDescent="0.35">
      <c r="A11" s="131" t="s">
        <v>33</v>
      </c>
      <c r="B11" s="39" t="s">
        <v>34</v>
      </c>
      <c r="C11" s="39" t="s">
        <v>35</v>
      </c>
      <c r="D11" s="39" t="s">
        <v>36</v>
      </c>
      <c r="E11" s="44" t="s">
        <v>34</v>
      </c>
      <c r="F11" s="39" t="s">
        <v>35</v>
      </c>
      <c r="G11" s="43" t="s">
        <v>36</v>
      </c>
      <c r="H11" s="39" t="s">
        <v>34</v>
      </c>
      <c r="I11" s="39" t="s">
        <v>35</v>
      </c>
      <c r="J11" s="43" t="s">
        <v>36</v>
      </c>
      <c r="K11" s="5" t="s">
        <v>40</v>
      </c>
      <c r="L11" s="5" t="s">
        <v>41</v>
      </c>
      <c r="M11" s="5" t="s">
        <v>40</v>
      </c>
      <c r="N11" s="5" t="s">
        <v>41</v>
      </c>
      <c r="O11" s="5" t="s">
        <v>40</v>
      </c>
      <c r="P11" s="5" t="s">
        <v>41</v>
      </c>
      <c r="V11" s="5" t="s">
        <v>42</v>
      </c>
      <c r="X11" s="12"/>
      <c r="Z11" s="5" t="str">
        <f t="shared" ref="Z11:Z16" si="0">IF($W$9=5,AB11,IF($W$9=3,AC17,AA11))</f>
        <v>NHS Fife</v>
      </c>
      <c r="AA11" s="5" t="s">
        <v>129</v>
      </c>
      <c r="AD11" s="3"/>
      <c r="AW11" s="5" t="s">
        <v>40</v>
      </c>
      <c r="AX11" s="5" t="s">
        <v>41</v>
      </c>
      <c r="AY11" s="5" t="s">
        <v>40</v>
      </c>
      <c r="AZ11" s="5" t="s">
        <v>41</v>
      </c>
      <c r="BA11" s="5" t="s">
        <v>40</v>
      </c>
      <c r="BB11" s="5" t="s">
        <v>41</v>
      </c>
    </row>
    <row r="12" spans="1:56" x14ac:dyDescent="0.35">
      <c r="A12" s="148" t="s">
        <v>39</v>
      </c>
      <c r="B12" s="30">
        <f>IFERROR(VLOOKUP(CONCATENATE(A12,$AE$9,"All",$B$10),Age!$A:$K,7,FALSE),0)</f>
        <v>16100</v>
      </c>
      <c r="C12" s="30">
        <f>IFERROR(VLOOKUP(CONCATENATE(A12,$AE$9,"All",$B$10),Age!$A:$K,6,FALSE),0)</f>
        <v>17100</v>
      </c>
      <c r="D12" s="31">
        <f>IFERROR(VLOOKUP(CONCATENATE(A12,$AE$9,"All",$B$10),Age!$A:$K,8,FALSE),0)</f>
        <v>18200</v>
      </c>
      <c r="E12" s="33">
        <f>IFERROR(VLOOKUP(CONCATENATE(A12,$AE$9,"All",$E$10),Age!$A:$K,7,FALSE),0)</f>
        <v>25900</v>
      </c>
      <c r="F12" s="30">
        <f>IFERROR(VLOOKUP(CONCATENATE(A12,$AE$9,"All",$E$10),Age!$A:$K,6,FALSE),0)</f>
        <v>27000</v>
      </c>
      <c r="G12" s="31">
        <f>IFERROR(VLOOKUP(CONCATENATE(A12,$AE$9,"All",$E$10),Age!$A:$K,8,FALSE),0)</f>
        <v>28200</v>
      </c>
      <c r="H12" s="33">
        <f>IFERROR(VLOOKUP(CONCATENATE($A12,$AE$9,"All",$H$10),Age!$A:$K,7,FALSE),0)</f>
        <v>4000</v>
      </c>
      <c r="I12" s="30">
        <f>IFERROR(VLOOKUP(CONCATENATE($A12,$AE$9,"All",$H$10),Age!$A:$K,6,FALSE),0)</f>
        <v>4600</v>
      </c>
      <c r="J12" s="31">
        <f>IFERROR(VLOOKUP(CONCATENATE($A12,$AE$9,"All",$H$10),Age!$A:$K,8,FALSE),0)</f>
        <v>5200</v>
      </c>
      <c r="K12" s="18">
        <f>IFERROR(C12-B12, "X")</f>
        <v>1000</v>
      </c>
      <c r="L12" s="18">
        <f>IFERROR(D12-C12, "X")</f>
        <v>1100</v>
      </c>
      <c r="M12" s="18">
        <f>IFERROR(F12-E12, "X")</f>
        <v>1100</v>
      </c>
      <c r="N12" s="18">
        <f>IFERROR(G12-F12, "X")</f>
        <v>1200</v>
      </c>
      <c r="O12" s="113">
        <f>IFERROR(I12-H12, "X")</f>
        <v>600</v>
      </c>
      <c r="P12" s="113">
        <f>IFERROR(J12-I12, "X")</f>
        <v>600</v>
      </c>
      <c r="X12" s="12"/>
      <c r="Z12" s="5" t="str">
        <f t="shared" si="0"/>
        <v>NHS Grampian</v>
      </c>
      <c r="AA12" s="5" t="s">
        <v>128</v>
      </c>
      <c r="AD12" s="4"/>
      <c r="AW12" s="5">
        <f t="shared" ref="AW12:AW20" si="1">IF(OR($K12 = "X",$L12="X"),"X", K12)</f>
        <v>1000</v>
      </c>
      <c r="AX12" s="5">
        <f>IF(OR($K12 = "X",$L12="X"),"X", L12)</f>
        <v>1100</v>
      </c>
      <c r="AY12" s="5">
        <f>IF(OR($M12 = "X",$N12="X"),"X", M12)</f>
        <v>1100</v>
      </c>
      <c r="AZ12" s="5">
        <f>IF(OR($M12 = "X",$N12="X"),"X", N12)</f>
        <v>1200</v>
      </c>
      <c r="BA12" s="5">
        <f t="shared" ref="BA12:BB12" si="2">IF(OR($O12 = "X",$P12="X"),"X", O12)</f>
        <v>600</v>
      </c>
      <c r="BB12" s="5">
        <f t="shared" si="2"/>
        <v>600</v>
      </c>
    </row>
    <row r="13" spans="1:56" x14ac:dyDescent="0.35">
      <c r="A13" s="126" t="s">
        <v>44</v>
      </c>
      <c r="B13" s="18">
        <f>IFERROR(VLOOKUP(CONCATENATE(A13,$AE$9,"All",$B$10),Age!$A:$K,7,FALSE),0)</f>
        <v>14600</v>
      </c>
      <c r="C13" s="18">
        <f>IFERROR(VLOOKUP(CONCATENATE(A13,$AE$9,"All",$B$10),Age!$A:$K,6,FALSE),0)</f>
        <v>15400</v>
      </c>
      <c r="D13" s="20">
        <f>IFERROR(VLOOKUP(CONCATENATE(A13,$AE$9,"All",$B$10),Age!$A:$K,8,FALSE),0)</f>
        <v>16400</v>
      </c>
      <c r="E13" s="34">
        <f>IFERROR(VLOOKUP(CONCATENATE(A13,$AE$9,"All",$E$10),Age!$A:$K,7,FALSE),0)</f>
        <v>26100</v>
      </c>
      <c r="F13" s="18">
        <f>IFERROR(VLOOKUP(CONCATENATE(A13,$AE$9,"All",$E$10),Age!$A:$K,6,FALSE),0)</f>
        <v>27000</v>
      </c>
      <c r="G13" s="20">
        <f>IFERROR(VLOOKUP(CONCATENATE(A13,$AE$9,"All",$E$10),Age!$A:$K,8,FALSE),0)</f>
        <v>28000</v>
      </c>
      <c r="H13" s="34">
        <f>IFERROR(VLOOKUP(CONCATENATE($A13,$AE$9,"All",$H$10),Age!$A:$K,7,FALSE),0)</f>
        <v>4500</v>
      </c>
      <c r="I13" s="18">
        <f>IFERROR(VLOOKUP(CONCATENATE($A13,$AE$9,"All",$H$10),Age!$A:$K,6,FALSE),0)</f>
        <v>5000</v>
      </c>
      <c r="J13" s="20">
        <f>IFERROR(VLOOKUP(CONCATENATE($A13,$AE$9,"All",$H$10),Age!$A:$K,8,FALSE),0)</f>
        <v>5500</v>
      </c>
      <c r="K13" s="18">
        <f t="shared" ref="K13:K20" si="3">IFERROR(C13-B13, "X")</f>
        <v>800</v>
      </c>
      <c r="L13" s="18">
        <f t="shared" ref="L13:L20" si="4">IFERROR(D13-C13, "X")</f>
        <v>1000</v>
      </c>
      <c r="M13" s="18">
        <f t="shared" ref="M13:M20" si="5">IFERROR(F13-E13, "X")</f>
        <v>900</v>
      </c>
      <c r="N13" s="18">
        <f t="shared" ref="N13:N20" si="6">IFERROR(G13-F13, "X")</f>
        <v>1000</v>
      </c>
      <c r="O13" s="113">
        <f t="shared" ref="O13:O20" si="7">IFERROR(I13-H13, "X")</f>
        <v>500</v>
      </c>
      <c r="P13" s="113">
        <f t="shared" ref="P13:P20" si="8">IFERROR(J13-I13, "X")</f>
        <v>500</v>
      </c>
      <c r="X13" s="12"/>
      <c r="Z13" s="5" t="str">
        <f t="shared" si="0"/>
        <v>NHS Greater Glasgow &amp; Clyde</v>
      </c>
      <c r="AA13" s="13" t="s">
        <v>38</v>
      </c>
      <c r="AD13" s="4"/>
      <c r="AW13" s="5">
        <f t="shared" si="1"/>
        <v>800</v>
      </c>
      <c r="AX13" s="5">
        <f t="shared" ref="AX13:AX20" si="9">IF(OR($K13 = "X",$L13="X"),"X", L13)</f>
        <v>1000</v>
      </c>
      <c r="AY13" s="5">
        <f t="shared" ref="AY13:AY20" si="10">IF(OR($M13 = "X",$N13="X"),"X", M13)</f>
        <v>900</v>
      </c>
      <c r="AZ13" s="5">
        <f t="shared" ref="AZ13:AZ20" si="11">IF(OR($M13 = "X",$N13="X"),"X", N13)</f>
        <v>1000</v>
      </c>
      <c r="BA13" s="5">
        <f t="shared" ref="BA13:BA20" si="12">IF(OR($O13 = "X",$P13="X"),"X", O13)</f>
        <v>500</v>
      </c>
      <c r="BB13" s="5">
        <f t="shared" ref="BB13:BB20" si="13">IF(OR($O13 = "X",$P13="X"),"X", P13)</f>
        <v>500</v>
      </c>
    </row>
    <row r="14" spans="1:56" x14ac:dyDescent="0.35">
      <c r="A14" s="126" t="s">
        <v>46</v>
      </c>
      <c r="B14" s="18">
        <f>IFERROR(VLOOKUP(CONCATENATE(A14,$AE$9,"All",$B$10),Age!$A:$K,7,FALSE),0)</f>
        <v>12800</v>
      </c>
      <c r="C14" s="18">
        <f>IFERROR(VLOOKUP(CONCATENATE(A14,$AE$9,"All",$B$10),Age!$A:$K,6,FALSE),0)</f>
        <v>13600</v>
      </c>
      <c r="D14" s="20">
        <f>IFERROR(VLOOKUP(CONCATENATE(A14,$AE$9,"All",$B$10),Age!$A:$K,8,FALSE),0)</f>
        <v>14400</v>
      </c>
      <c r="E14" s="34">
        <f>IFERROR(VLOOKUP(CONCATENATE(A14,$AE$9,"All",$E$10),Age!$A:$K,7,FALSE),0)</f>
        <v>26400</v>
      </c>
      <c r="F14" s="18">
        <f>IFERROR(VLOOKUP(CONCATENATE(A14,$AE$9,"All",$E$10),Age!$A:$K,6,FALSE),0)</f>
        <v>27300</v>
      </c>
      <c r="G14" s="20">
        <f>IFERROR(VLOOKUP(CONCATENATE(A14,$AE$9,"All",$E$10),Age!$A:$K,8,FALSE),0)</f>
        <v>28200</v>
      </c>
      <c r="H14" s="34">
        <f>IFERROR(VLOOKUP(CONCATENATE($A14,$AE$9,"All",$H$10),Age!$A:$K,7,FALSE),0)</f>
        <v>5200</v>
      </c>
      <c r="I14" s="18">
        <f>IFERROR(VLOOKUP(CONCATENATE($A14,$AE$9,"All",$H$10),Age!$A:$K,6,FALSE),0)</f>
        <v>5700</v>
      </c>
      <c r="J14" s="20">
        <f>IFERROR(VLOOKUP(CONCATENATE($A14,$AE$9,"All",$H$10),Age!$A:$K,8,FALSE),0)</f>
        <v>6300</v>
      </c>
      <c r="K14" s="18">
        <f t="shared" si="3"/>
        <v>800</v>
      </c>
      <c r="L14" s="18">
        <f t="shared" si="4"/>
        <v>800</v>
      </c>
      <c r="M14" s="18">
        <f t="shared" si="5"/>
        <v>900</v>
      </c>
      <c r="N14" s="18">
        <f t="shared" si="6"/>
        <v>900</v>
      </c>
      <c r="O14" s="113">
        <f t="shared" si="7"/>
        <v>500</v>
      </c>
      <c r="P14" s="113">
        <f t="shared" si="8"/>
        <v>600</v>
      </c>
      <c r="X14" s="12"/>
      <c r="Z14" s="5" t="str">
        <f t="shared" si="0"/>
        <v>NHS Lanarkshire</v>
      </c>
      <c r="AA14" s="5" t="s">
        <v>127</v>
      </c>
      <c r="AD14" s="4"/>
      <c r="AW14" s="5">
        <f t="shared" si="1"/>
        <v>800</v>
      </c>
      <c r="AX14" s="5">
        <f t="shared" si="9"/>
        <v>800</v>
      </c>
      <c r="AY14" s="5">
        <f t="shared" si="10"/>
        <v>900</v>
      </c>
      <c r="AZ14" s="5">
        <f t="shared" si="11"/>
        <v>900</v>
      </c>
      <c r="BA14" s="5">
        <f t="shared" si="12"/>
        <v>500</v>
      </c>
      <c r="BB14" s="5">
        <f t="shared" si="13"/>
        <v>600</v>
      </c>
    </row>
    <row r="15" spans="1:56" x14ac:dyDescent="0.35">
      <c r="A15" s="126" t="s">
        <v>47</v>
      </c>
      <c r="B15" s="18">
        <f>IFERROR(VLOOKUP(CONCATENATE(A15,$AE$9,"All",$B$10),Age!$A:$K,7,FALSE),0)</f>
        <v>11500</v>
      </c>
      <c r="C15" s="18">
        <f>IFERROR(VLOOKUP(CONCATENATE(A15,$AE$9,"All",$B$10),Age!$A:$K,6,FALSE),0)</f>
        <v>12100</v>
      </c>
      <c r="D15" s="20">
        <f>IFERROR(VLOOKUP(CONCATENATE(A15,$AE$9,"All",$B$10),Age!$A:$K,8,FALSE),0)</f>
        <v>12800</v>
      </c>
      <c r="E15" s="34">
        <f>IFERROR(VLOOKUP(CONCATENATE(A15,$AE$9,"All",$E$10),Age!$A:$K,7,FALSE),0)</f>
        <v>26300</v>
      </c>
      <c r="F15" s="18">
        <f>IFERROR(VLOOKUP(CONCATENATE(A15,$AE$9,"All",$E$10),Age!$A:$K,6,FALSE),0)</f>
        <v>27000</v>
      </c>
      <c r="G15" s="20">
        <f>IFERROR(VLOOKUP(CONCATENATE(A15,$AE$9,"All",$E$10),Age!$A:$K,8,FALSE),0)</f>
        <v>27800</v>
      </c>
      <c r="H15" s="34">
        <f>IFERROR(VLOOKUP(CONCATENATE($A15,$AE$9,"All",$H$10),Age!$A:$K,7,FALSE),0)</f>
        <v>5300</v>
      </c>
      <c r="I15" s="18">
        <f>IFERROR(VLOOKUP(CONCATENATE($A15,$AE$9,"All",$H$10),Age!$A:$K,6,FALSE),0)</f>
        <v>5600</v>
      </c>
      <c r="J15" s="20">
        <f>IFERROR(VLOOKUP(CONCATENATE($A15,$AE$9,"All",$H$10),Age!$A:$K,8,FALSE),0)</f>
        <v>6000</v>
      </c>
      <c r="K15" s="18">
        <f t="shared" si="3"/>
        <v>600</v>
      </c>
      <c r="L15" s="18">
        <f t="shared" si="4"/>
        <v>700</v>
      </c>
      <c r="M15" s="18">
        <f t="shared" si="5"/>
        <v>700</v>
      </c>
      <c r="N15" s="18">
        <f t="shared" si="6"/>
        <v>800</v>
      </c>
      <c r="O15" s="113">
        <f t="shared" si="7"/>
        <v>300</v>
      </c>
      <c r="P15" s="113">
        <f t="shared" si="8"/>
        <v>400</v>
      </c>
      <c r="X15" s="12"/>
      <c r="Z15" s="5" t="str">
        <f t="shared" si="0"/>
        <v>NHS Lothian</v>
      </c>
      <c r="AA15" s="13" t="s">
        <v>43</v>
      </c>
      <c r="AD15" s="4"/>
      <c r="AW15" s="5">
        <f t="shared" si="1"/>
        <v>600</v>
      </c>
      <c r="AX15" s="5">
        <f t="shared" si="9"/>
        <v>700</v>
      </c>
      <c r="AY15" s="5">
        <f t="shared" si="10"/>
        <v>700</v>
      </c>
      <c r="AZ15" s="5">
        <f t="shared" si="11"/>
        <v>800</v>
      </c>
      <c r="BA15" s="5">
        <f t="shared" si="12"/>
        <v>300</v>
      </c>
      <c r="BB15" s="5">
        <f t="shared" si="13"/>
        <v>400</v>
      </c>
    </row>
    <row r="16" spans="1:56" x14ac:dyDescent="0.35">
      <c r="A16" s="126" t="s">
        <v>48</v>
      </c>
      <c r="B16" s="18">
        <f>IFERROR(VLOOKUP(CONCATENATE(A16,$AE$9,"All",$B$10),Age!$A:$K,7,FALSE),0)</f>
        <v>11000</v>
      </c>
      <c r="C16" s="18">
        <f>IFERROR(VLOOKUP(CONCATENATE(A16,$AE$9,"All",$B$10),Age!$A:$K,6,FALSE),0)</f>
        <v>11600</v>
      </c>
      <c r="D16" s="20">
        <f>IFERROR(VLOOKUP(CONCATENATE(A16,$AE$9,"All",$B$10),Age!$A:$K,8,FALSE),0)</f>
        <v>12200</v>
      </c>
      <c r="E16" s="34">
        <f>IFERROR(VLOOKUP(CONCATENATE(A16,$AE$9,"All",$E$10),Age!$A:$K,7,FALSE),0)</f>
        <v>26300</v>
      </c>
      <c r="F16" s="18">
        <f>IFERROR(VLOOKUP(CONCATENATE(A16,$AE$9,"All",$E$10),Age!$A:$K,6,FALSE),0)</f>
        <v>27000</v>
      </c>
      <c r="G16" s="20">
        <f>IFERROR(VLOOKUP(CONCATENATE(A16,$AE$9,"All",$E$10),Age!$A:$K,8,FALSE),0)</f>
        <v>27700</v>
      </c>
      <c r="H16" s="34">
        <f>IFERROR(VLOOKUP(CONCATENATE($A16,$AE$9,"All",$H$10),Age!$A:$K,7,FALSE),0)</f>
        <v>6300</v>
      </c>
      <c r="I16" s="18">
        <f>IFERROR(VLOOKUP(CONCATENATE($A16,$AE$9,"All",$H$10),Age!$A:$K,6,FALSE),0)</f>
        <v>6700</v>
      </c>
      <c r="J16" s="20">
        <f>IFERROR(VLOOKUP(CONCATENATE($A16,$AE$9,"All",$H$10),Age!$A:$K,8,FALSE),0)</f>
        <v>7100</v>
      </c>
      <c r="K16" s="18">
        <f t="shared" si="3"/>
        <v>600</v>
      </c>
      <c r="L16" s="18">
        <f t="shared" si="4"/>
        <v>600</v>
      </c>
      <c r="M16" s="18">
        <f t="shared" si="5"/>
        <v>700</v>
      </c>
      <c r="N16" s="18">
        <f t="shared" si="6"/>
        <v>700</v>
      </c>
      <c r="O16" s="113">
        <f t="shared" si="7"/>
        <v>400</v>
      </c>
      <c r="P16" s="113">
        <f t="shared" si="8"/>
        <v>400</v>
      </c>
      <c r="Z16" s="5" t="str">
        <f t="shared" si="0"/>
        <v>NHS Tayside</v>
      </c>
      <c r="AA16" s="13" t="s">
        <v>45</v>
      </c>
      <c r="AD16" s="4"/>
      <c r="AW16" s="5">
        <f t="shared" si="1"/>
        <v>600</v>
      </c>
      <c r="AX16" s="5">
        <f t="shared" si="9"/>
        <v>600</v>
      </c>
      <c r="AY16" s="5">
        <f t="shared" si="10"/>
        <v>700</v>
      </c>
      <c r="AZ16" s="5">
        <f t="shared" si="11"/>
        <v>700</v>
      </c>
      <c r="BA16" s="5">
        <f t="shared" si="12"/>
        <v>400</v>
      </c>
      <c r="BB16" s="5">
        <f t="shared" si="13"/>
        <v>400</v>
      </c>
    </row>
    <row r="17" spans="1:54" x14ac:dyDescent="0.35">
      <c r="A17" s="126" t="s">
        <v>49</v>
      </c>
      <c r="B17" s="18">
        <f>IFERROR(VLOOKUP(CONCATENATE(A17,$AE$9,"All",$B$10),Age!$A:$K,7,FALSE),0)</f>
        <v>11300</v>
      </c>
      <c r="C17" s="18">
        <f>IFERROR(VLOOKUP(CONCATENATE(A17,$AE$9,"All",$B$10),Age!$A:$K,6,FALSE),0)</f>
        <v>12000</v>
      </c>
      <c r="D17" s="20">
        <f>IFERROR(VLOOKUP(CONCATENATE(A17,$AE$9,"All",$B$10),Age!$A:$K,8,FALSE),0)</f>
        <v>12900</v>
      </c>
      <c r="E17" s="34">
        <f>IFERROR(VLOOKUP(CONCATENATE(A17,$AE$9,"All",$E$10),Age!$A:$K,7,FALSE),0)</f>
        <v>26900</v>
      </c>
      <c r="F17" s="18">
        <f>IFERROR(VLOOKUP(CONCATENATE(A17,$AE$9,"All",$E$10),Age!$A:$K,6,FALSE),0)</f>
        <v>27700</v>
      </c>
      <c r="G17" s="20">
        <f>IFERROR(VLOOKUP(CONCATENATE(A17,$AE$9,"All",$E$10),Age!$A:$K,8,FALSE),0)</f>
        <v>28500</v>
      </c>
      <c r="H17" s="34">
        <f>IFERROR(VLOOKUP(CONCATENATE($A17,$AE$9,"All",$H$10),Age!$A:$K,7,FALSE),0)</f>
        <v>7000</v>
      </c>
      <c r="I17" s="18">
        <f>IFERROR(VLOOKUP(CONCATENATE($A17,$AE$9,"All",$H$10),Age!$A:$K,6,FALSE),0)</f>
        <v>7400</v>
      </c>
      <c r="J17" s="20">
        <f>IFERROR(VLOOKUP(CONCATENATE($A17,$AE$9,"All",$H$10),Age!$A:$K,8,FALSE),0)</f>
        <v>7900</v>
      </c>
      <c r="K17" s="18">
        <f t="shared" si="3"/>
        <v>700</v>
      </c>
      <c r="L17" s="18">
        <f t="shared" si="4"/>
        <v>900</v>
      </c>
      <c r="M17" s="18">
        <f t="shared" si="5"/>
        <v>800</v>
      </c>
      <c r="N17" s="18">
        <f t="shared" si="6"/>
        <v>800</v>
      </c>
      <c r="O17" s="113">
        <f t="shared" si="7"/>
        <v>400</v>
      </c>
      <c r="P17" s="113">
        <f t="shared" si="8"/>
        <v>500</v>
      </c>
      <c r="AD17" s="4"/>
      <c r="AW17" s="5">
        <f t="shared" si="1"/>
        <v>700</v>
      </c>
      <c r="AX17" s="5">
        <f t="shared" si="9"/>
        <v>900</v>
      </c>
      <c r="AY17" s="5">
        <f t="shared" si="10"/>
        <v>800</v>
      </c>
      <c r="AZ17" s="5">
        <f t="shared" si="11"/>
        <v>800</v>
      </c>
      <c r="BA17" s="5">
        <f t="shared" si="12"/>
        <v>400</v>
      </c>
      <c r="BB17" s="5">
        <f t="shared" si="13"/>
        <v>500</v>
      </c>
    </row>
    <row r="18" spans="1:54" x14ac:dyDescent="0.35">
      <c r="A18" s="126" t="s">
        <v>124</v>
      </c>
      <c r="B18" s="18">
        <f>IFERROR(VLOOKUP(CONCATENATE(A18,$AE$9,"All",$B$10),Age!$A:$K,7,FALSE),0)</f>
        <v>11100</v>
      </c>
      <c r="C18" s="18">
        <f>IFERROR(VLOOKUP(CONCATENATE(A18,$AE$9,"All",$B$10),Age!$A:$K,6,FALSE),0)</f>
        <v>11800</v>
      </c>
      <c r="D18" s="20">
        <f>IFERROR(VLOOKUP(CONCATENATE(A18,$AE$9,"All",$B$10),Age!$A:$K,8,FALSE),0)</f>
        <v>12700</v>
      </c>
      <c r="E18" s="34">
        <f>IFERROR(VLOOKUP(CONCATENATE(A18,$AE$9,"All",$E$10),Age!$A:$K,7,FALSE),0)</f>
        <v>26700</v>
      </c>
      <c r="F18" s="18">
        <f>IFERROR(VLOOKUP(CONCATENATE(A18,$AE$9,"All",$E$10),Age!$A:$K,6,FALSE),0)</f>
        <v>27500</v>
      </c>
      <c r="G18" s="20">
        <f>IFERROR(VLOOKUP(CONCATENATE(A18,$AE$9,"All",$E$10),Age!$A:$K,8,FALSE),0)</f>
        <v>28300</v>
      </c>
      <c r="H18" s="34">
        <f>IFERROR(VLOOKUP(CONCATENATE($A18,$AE$9,"All",$H$10),Age!$A:$K,7,FALSE),0)</f>
        <v>8300</v>
      </c>
      <c r="I18" s="18">
        <f>IFERROR(VLOOKUP(CONCATENATE($A18,$AE$9,"All",$H$10),Age!$A:$K,6,FALSE),0)</f>
        <v>8800</v>
      </c>
      <c r="J18" s="20">
        <f>IFERROR(VLOOKUP(CONCATENATE($A18,$AE$9,"All",$H$10),Age!$A:$K,8,FALSE),0)</f>
        <v>9400</v>
      </c>
      <c r="K18" s="18">
        <f t="shared" si="3"/>
        <v>700</v>
      </c>
      <c r="L18" s="18">
        <f t="shared" si="4"/>
        <v>900</v>
      </c>
      <c r="M18" s="18">
        <f t="shared" si="5"/>
        <v>800</v>
      </c>
      <c r="N18" s="18">
        <f t="shared" si="6"/>
        <v>800</v>
      </c>
      <c r="O18" s="113">
        <f t="shared" si="7"/>
        <v>500</v>
      </c>
      <c r="P18" s="113">
        <f t="shared" si="8"/>
        <v>600</v>
      </c>
      <c r="AD18" s="4"/>
      <c r="AW18" s="5">
        <f t="shared" si="1"/>
        <v>700</v>
      </c>
      <c r="AX18" s="5">
        <f t="shared" si="9"/>
        <v>900</v>
      </c>
      <c r="AY18" s="5">
        <f t="shared" si="10"/>
        <v>800</v>
      </c>
      <c r="AZ18" s="5">
        <f t="shared" si="11"/>
        <v>800</v>
      </c>
      <c r="BA18" s="5">
        <f t="shared" si="12"/>
        <v>500</v>
      </c>
      <c r="BB18" s="5">
        <f t="shared" si="13"/>
        <v>600</v>
      </c>
    </row>
    <row r="19" spans="1:54" x14ac:dyDescent="0.35">
      <c r="A19" s="126" t="s">
        <v>125</v>
      </c>
      <c r="B19" s="18">
        <f>IFERROR(VLOOKUP(CONCATENATE(A19,$AE$9,"All",$B$10),Age!$A:$K,7,FALSE),0)</f>
        <v>9800</v>
      </c>
      <c r="C19" s="18">
        <f>IFERROR(VLOOKUP(CONCATENATE(A19,$AE$9,"All",$B$10),Age!$A:$K,6,FALSE),0)</f>
        <v>10500</v>
      </c>
      <c r="D19" s="20">
        <f>IFERROR(VLOOKUP(CONCATENATE(A19,$AE$9,"All",$B$10),Age!$A:$K,8,FALSE),0)</f>
        <v>11400</v>
      </c>
      <c r="E19" s="34">
        <f>IFERROR(VLOOKUP(CONCATENATE(A19,$AE$9,"All",$E$10),Age!$A:$K,7,FALSE),0)</f>
        <v>25300</v>
      </c>
      <c r="F19" s="18">
        <f>IFERROR(VLOOKUP(CONCATENATE(A19,$AE$9,"All",$E$10),Age!$A:$K,6,FALSE),0)</f>
        <v>26100</v>
      </c>
      <c r="G19" s="20">
        <f>IFERROR(VLOOKUP(CONCATENATE(A19,$AE$9,"All",$E$10),Age!$A:$K,8,FALSE),0)</f>
        <v>27000</v>
      </c>
      <c r="H19" s="34">
        <f>IFERROR(VLOOKUP(CONCATENATE($A19,$AE$9,"All",$H$10),Age!$A:$K,7,FALSE),0)</f>
        <v>9000</v>
      </c>
      <c r="I19" s="18">
        <f>IFERROR(VLOOKUP(CONCATENATE($A19,$AE$9,"All",$H$10),Age!$A:$K,6,FALSE),0)</f>
        <v>9500</v>
      </c>
      <c r="J19" s="20">
        <f>IFERROR(VLOOKUP(CONCATENATE($A19,$AE$9,"All",$H$10),Age!$A:$K,8,FALSE),0)</f>
        <v>10100</v>
      </c>
      <c r="K19" s="18">
        <f t="shared" si="3"/>
        <v>700</v>
      </c>
      <c r="L19" s="18">
        <f t="shared" si="4"/>
        <v>900</v>
      </c>
      <c r="M19" s="18">
        <f t="shared" si="5"/>
        <v>800</v>
      </c>
      <c r="N19" s="18">
        <f t="shared" si="6"/>
        <v>900</v>
      </c>
      <c r="O19" s="113">
        <f t="shared" si="7"/>
        <v>500</v>
      </c>
      <c r="P19" s="113">
        <f t="shared" si="8"/>
        <v>600</v>
      </c>
      <c r="AD19" s="4"/>
      <c r="AW19" s="5">
        <f t="shared" si="1"/>
        <v>700</v>
      </c>
      <c r="AX19" s="5">
        <f t="shared" si="9"/>
        <v>900</v>
      </c>
      <c r="AY19" s="5">
        <f t="shared" si="10"/>
        <v>800</v>
      </c>
      <c r="AZ19" s="5">
        <f t="shared" si="11"/>
        <v>900</v>
      </c>
      <c r="BA19" s="5">
        <f t="shared" si="12"/>
        <v>500</v>
      </c>
      <c r="BB19" s="5">
        <f t="shared" si="13"/>
        <v>600</v>
      </c>
    </row>
    <row r="20" spans="1:54" x14ac:dyDescent="0.35">
      <c r="A20" s="126" t="s">
        <v>126</v>
      </c>
      <c r="B20" s="18">
        <f>IFERROR(VLOOKUP(CONCATENATE(A20,$AE$9,"All",$B$10),Age!$A:$K,7,FALSE),0)</f>
        <v>8200</v>
      </c>
      <c r="C20" s="18">
        <f>IFERROR(VLOOKUP(CONCATENATE(A20,$AE$9,"All",$B$10),Age!$A:$K,6,FALSE),0)</f>
        <v>8900</v>
      </c>
      <c r="D20" s="20">
        <f>IFERROR(VLOOKUP(CONCATENATE(A20,$AE$9,"All",$B$10),Age!$A:$K,8,FALSE),0)</f>
        <v>9600</v>
      </c>
      <c r="E20" s="34">
        <f>IFERROR(VLOOKUP(CONCATENATE(A20,$AE$9,"All",$E$10),Age!$A:$K,7,FALSE),0)</f>
        <v>23500</v>
      </c>
      <c r="F20" s="18">
        <f>IFERROR(VLOOKUP(CONCATENATE(A20,$AE$9,"All",$E$10),Age!$A:$K,6,FALSE),0)</f>
        <v>24200</v>
      </c>
      <c r="G20" s="20">
        <f>IFERROR(VLOOKUP(CONCATENATE(A20,$AE$9,"All",$E$10),Age!$A:$K,8,FALSE),0)</f>
        <v>25000</v>
      </c>
      <c r="H20" s="34">
        <f>IFERROR(VLOOKUP(CONCATENATE($A20,$AE$9,"All",$H$10),Age!$A:$K,7,FALSE),0)</f>
        <v>9700</v>
      </c>
      <c r="I20" s="18">
        <f>IFERROR(VLOOKUP(CONCATENATE($A20,$AE$9,"All",$H$10),Age!$A:$K,6,FALSE),0)</f>
        <v>10300</v>
      </c>
      <c r="J20" s="20">
        <f>IFERROR(VLOOKUP(CONCATENATE($A20,$AE$9,"All",$H$10),Age!$A:$K,8,FALSE),0)</f>
        <v>11000</v>
      </c>
      <c r="K20" s="18">
        <f t="shared" si="3"/>
        <v>700</v>
      </c>
      <c r="L20" s="18">
        <f t="shared" si="4"/>
        <v>700</v>
      </c>
      <c r="M20" s="18">
        <f t="shared" si="5"/>
        <v>700</v>
      </c>
      <c r="N20" s="18">
        <f t="shared" si="6"/>
        <v>800</v>
      </c>
      <c r="O20" s="113">
        <f t="shared" si="7"/>
        <v>600</v>
      </c>
      <c r="P20" s="113">
        <f t="shared" si="8"/>
        <v>700</v>
      </c>
      <c r="AD20" s="4"/>
      <c r="AW20" s="5">
        <f t="shared" si="1"/>
        <v>700</v>
      </c>
      <c r="AX20" s="5">
        <f t="shared" si="9"/>
        <v>700</v>
      </c>
      <c r="AY20" s="5">
        <f t="shared" si="10"/>
        <v>700</v>
      </c>
      <c r="AZ20" s="5">
        <f t="shared" si="11"/>
        <v>800</v>
      </c>
      <c r="BA20" s="5">
        <f t="shared" si="12"/>
        <v>600</v>
      </c>
      <c r="BB20" s="5">
        <f t="shared" si="13"/>
        <v>700</v>
      </c>
    </row>
    <row r="21" spans="1:54" x14ac:dyDescent="0.35">
      <c r="A21" s="149"/>
      <c r="B21" s="19"/>
      <c r="C21" s="19"/>
      <c r="D21" s="21"/>
      <c r="E21" s="35"/>
      <c r="F21" s="19"/>
      <c r="G21" s="21"/>
      <c r="H21" s="35"/>
      <c r="I21" s="19"/>
      <c r="J21" s="21"/>
      <c r="K21" s="18"/>
      <c r="L21" s="18"/>
      <c r="M21" s="18"/>
      <c r="N21" s="18"/>
      <c r="O21" s="113"/>
      <c r="P21" s="113"/>
      <c r="AD21" s="4"/>
    </row>
    <row r="22" spans="1:54" x14ac:dyDescent="0.35">
      <c r="A22" s="56"/>
      <c r="AD22" s="4"/>
    </row>
    <row r="23" spans="1:54" x14ac:dyDescent="0.35">
      <c r="AD23" s="4"/>
    </row>
    <row r="24" spans="1:54" x14ac:dyDescent="0.35">
      <c r="AD24" s="4"/>
    </row>
    <row r="25" spans="1:54" x14ac:dyDescent="0.35">
      <c r="A25" s="32"/>
      <c r="B25" s="174" t="s">
        <v>55</v>
      </c>
      <c r="C25" s="173"/>
      <c r="D25" s="173"/>
      <c r="E25" s="173"/>
      <c r="F25" s="173"/>
      <c r="G25" s="173"/>
      <c r="H25" s="173"/>
      <c r="I25" s="173"/>
      <c r="J25" s="173"/>
      <c r="AD25" s="4"/>
    </row>
    <row r="26" spans="1:54" ht="24" customHeight="1" x14ac:dyDescent="0.35">
      <c r="A26" s="152" t="s">
        <v>50</v>
      </c>
      <c r="B26" s="167" t="s">
        <v>56</v>
      </c>
      <c r="C26" s="167"/>
      <c r="D26" s="168"/>
      <c r="E26" s="167" t="s">
        <v>57</v>
      </c>
      <c r="F26" s="167"/>
      <c r="G26" s="168"/>
      <c r="H26" s="171" t="s">
        <v>58</v>
      </c>
      <c r="I26" s="167"/>
      <c r="J26" s="168"/>
      <c r="K26" s="172" t="s">
        <v>56</v>
      </c>
      <c r="L26" s="169"/>
      <c r="M26" s="169" t="s">
        <v>57</v>
      </c>
      <c r="N26" s="169"/>
      <c r="O26" s="169" t="s">
        <v>58</v>
      </c>
      <c r="P26" s="169"/>
      <c r="AD26" s="4"/>
    </row>
    <row r="27" spans="1:54" ht="24" customHeight="1" x14ac:dyDescent="0.35">
      <c r="A27" s="131" t="s">
        <v>33</v>
      </c>
      <c r="B27" s="39" t="s">
        <v>34</v>
      </c>
      <c r="C27" s="39" t="s">
        <v>35</v>
      </c>
      <c r="D27" s="43" t="s">
        <v>36</v>
      </c>
      <c r="E27" s="39" t="s">
        <v>34</v>
      </c>
      <c r="F27" s="39" t="s">
        <v>35</v>
      </c>
      <c r="G27" s="43" t="s">
        <v>36</v>
      </c>
      <c r="H27" s="39" t="s">
        <v>34</v>
      </c>
      <c r="I27" s="39" t="s">
        <v>35</v>
      </c>
      <c r="J27" s="43" t="s">
        <v>36</v>
      </c>
      <c r="K27" s="5" t="s">
        <v>40</v>
      </c>
      <c r="L27" s="5" t="s">
        <v>41</v>
      </c>
      <c r="M27" s="5" t="s">
        <v>40</v>
      </c>
      <c r="N27" s="5" t="s">
        <v>41</v>
      </c>
      <c r="O27" s="5" t="s">
        <v>40</v>
      </c>
      <c r="P27" s="5" t="s">
        <v>41</v>
      </c>
      <c r="AD27" s="4"/>
    </row>
    <row r="28" spans="1:54" x14ac:dyDescent="0.35">
      <c r="A28" s="148" t="s">
        <v>39</v>
      </c>
      <c r="B28" s="153">
        <f>IFERROR(VLOOKUP(CONCATENATE(A28,$AE$9,"All",$B$10),Age!$A:$K,10,FALSE),0)</f>
        <v>1.17E-2</v>
      </c>
      <c r="C28" s="154">
        <f>IFERROR(VLOOKUP(CONCATENATE(A28,$AE$9,"All",$B$10),Age!$A:$K,9,FALSE),0)</f>
        <v>1.24E-2</v>
      </c>
      <c r="D28" s="155">
        <f>IFERROR(VLOOKUP(CONCATENATE(A28,$AE$9,"All",$B$10),Age!$A:$K,11,FALSE),0)</f>
        <v>1.32E-2</v>
      </c>
      <c r="E28" s="153">
        <f>IFERROR(VLOOKUP(CONCATENATE(A28,$AE$9,"All",$E$10),Age!$A:$K,10,FALSE),0)</f>
        <v>2.4E-2</v>
      </c>
      <c r="F28" s="154">
        <f>IFERROR(VLOOKUP(CONCATENATE(A28,$AE$9,"All",$E$10),Age!$A:$K,9,FALSE),0)</f>
        <v>2.5000000000000001E-2</v>
      </c>
      <c r="G28" s="155">
        <f>IFERROR(VLOOKUP(CONCATENATE(A28,$AE$9,"All",$E$10),Age!$A:$K,11,FALSE),0)</f>
        <v>2.6100000000000002E-2</v>
      </c>
      <c r="H28" s="153">
        <f>IFERROR(VLOOKUP(CONCATENATE(A28,$AE$9,"All",$H$10),Age!$A:$K,10,FALSE),0)</f>
        <v>3.8E-3</v>
      </c>
      <c r="I28" s="154">
        <f>IFERROR(VLOOKUP(CONCATENATE(A28,$AE$9,"All",$H$10),Age!$A:$K,9,FALSE),0)</f>
        <v>4.3E-3</v>
      </c>
      <c r="J28" s="155">
        <f>IFERROR(VLOOKUP(CONCATENATE(A28,$AE$9,"All",$H$10),Age!$A:$K,11,FALSE),0)</f>
        <v>4.8999999999999998E-3</v>
      </c>
      <c r="K28" s="15">
        <f t="shared" ref="K28:L28" si="14">C28-B28</f>
        <v>6.9999999999999923E-4</v>
      </c>
      <c r="L28" s="15">
        <f t="shared" si="14"/>
        <v>8.0000000000000036E-4</v>
      </c>
      <c r="M28" s="15">
        <f t="shared" ref="M28:N28" si="15">F28-E28</f>
        <v>1.0000000000000009E-3</v>
      </c>
      <c r="N28" s="15">
        <f t="shared" si="15"/>
        <v>1.1000000000000003E-3</v>
      </c>
      <c r="O28" s="15">
        <f t="shared" ref="O28:P28" si="16">I28-H28</f>
        <v>5.0000000000000001E-4</v>
      </c>
      <c r="P28" s="15">
        <f t="shared" si="16"/>
        <v>5.9999999999999984E-4</v>
      </c>
      <c r="AD28" s="4"/>
    </row>
    <row r="29" spans="1:54" x14ac:dyDescent="0.35">
      <c r="A29" s="126" t="s">
        <v>44</v>
      </c>
      <c r="B29" s="141">
        <f>IFERROR(VLOOKUP(CONCATENATE(A29,$AE$9,"All",$B$10),Age!$A:$K,10,FALSE),0)</f>
        <v>1.0500000000000001E-2</v>
      </c>
      <c r="C29" s="15">
        <f>IFERROR(VLOOKUP(CONCATENATE(A29,$AE$9,"All",$B$10),Age!$A:$K,9,FALSE),0)</f>
        <v>1.11E-2</v>
      </c>
      <c r="D29" s="142">
        <f>IFERROR(VLOOKUP(CONCATENATE(A29,$AE$9,"All",$B$10),Age!$A:$K,11,FALSE),0)</f>
        <v>1.18E-2</v>
      </c>
      <c r="E29" s="141">
        <f>IFERROR(VLOOKUP(CONCATENATE(A29,$AE$9,"All",$E$10),Age!$A:$K,10,FALSE),0)</f>
        <v>2.4500000000000001E-2</v>
      </c>
      <c r="F29" s="15">
        <f>IFERROR(VLOOKUP(CONCATENATE(A29,$AE$9,"All",$E$10),Age!$A:$K,9,FALSE),0)</f>
        <v>2.53E-2</v>
      </c>
      <c r="G29" s="142">
        <f>IFERROR(VLOOKUP(CONCATENATE(A29,$AE$9,"All",$E$10),Age!$A:$K,11,FALSE),0)</f>
        <v>2.63E-2</v>
      </c>
      <c r="H29" s="141">
        <f>IFERROR(VLOOKUP(CONCATENATE(A29,$AE$9,"All",$H$10),Age!$A:$K,10,FALSE),0)</f>
        <v>4.1000000000000003E-3</v>
      </c>
      <c r="I29" s="15">
        <f>IFERROR(VLOOKUP(CONCATENATE(A29,$AE$9,"All",$H$10),Age!$A:$K,9,FALSE),0)</f>
        <v>4.5999999999999999E-3</v>
      </c>
      <c r="J29" s="142">
        <f>IFERROR(VLOOKUP(CONCATENATE(A29,$AE$9,"All",$H$10),Age!$A:$K,11,FALSE),0)</f>
        <v>5.1000000000000004E-3</v>
      </c>
      <c r="K29" s="15">
        <f t="shared" ref="K29:K36" si="17">C29-B29</f>
        <v>5.9999999999999984E-4</v>
      </c>
      <c r="L29" s="15">
        <f t="shared" ref="L29:L36" si="18">D29-C29</f>
        <v>6.9999999999999923E-4</v>
      </c>
      <c r="M29" s="15">
        <f t="shared" ref="M29:M36" si="19">F29-E29</f>
        <v>7.9999999999999863E-4</v>
      </c>
      <c r="N29" s="15">
        <f t="shared" ref="N29:N36" si="20">G29-F29</f>
        <v>1.0000000000000009E-3</v>
      </c>
      <c r="O29" s="15">
        <f t="shared" ref="O29:O36" si="21">I29-H29</f>
        <v>4.9999999999999958E-4</v>
      </c>
      <c r="P29" s="15">
        <f t="shared" ref="P29:P36" si="22">J29-I29</f>
        <v>5.0000000000000044E-4</v>
      </c>
      <c r="AD29" s="4"/>
    </row>
    <row r="30" spans="1:54" x14ac:dyDescent="0.35">
      <c r="A30" s="126" t="s">
        <v>46</v>
      </c>
      <c r="B30" s="141">
        <f>IFERROR(VLOOKUP(CONCATENATE(A30,$AE$9,"All",$B$10),Age!$A:$K,10,FALSE),0)</f>
        <v>9.1999999999999998E-3</v>
      </c>
      <c r="C30" s="15">
        <f>IFERROR(VLOOKUP(CONCATENATE(A30,$AE$9,"All",$B$10),Age!$A:$K,9,FALSE),0)</f>
        <v>9.7999999999999997E-3</v>
      </c>
      <c r="D30" s="142">
        <f>IFERROR(VLOOKUP(CONCATENATE(A30,$AE$9,"All",$B$10),Age!$A:$K,11,FALSE),0)</f>
        <v>1.03E-2</v>
      </c>
      <c r="E30" s="141">
        <f>IFERROR(VLOOKUP(CONCATENATE(A30,$AE$9,"All",$E$10),Age!$A:$K,10,FALSE),0)</f>
        <v>2.5000000000000001E-2</v>
      </c>
      <c r="F30" s="15">
        <f>IFERROR(VLOOKUP(CONCATENATE(A30,$AE$9,"All",$E$10),Age!$A:$K,9,FALSE),0)</f>
        <v>2.58E-2</v>
      </c>
      <c r="G30" s="142">
        <f>IFERROR(VLOOKUP(CONCATENATE(A30,$AE$9,"All",$E$10),Age!$A:$K,11,FALSE),0)</f>
        <v>2.6700000000000002E-2</v>
      </c>
      <c r="H30" s="141">
        <f>IFERROR(VLOOKUP(CONCATENATE(A30,$AE$9,"All",$H$10),Age!$A:$K,10,FALSE),0)</f>
        <v>4.7999999999999996E-3</v>
      </c>
      <c r="I30" s="15">
        <f>IFERROR(VLOOKUP(CONCATENATE(A30,$AE$9,"All",$H$10),Age!$A:$K,9,FALSE),0)</f>
        <v>5.1999999999999998E-3</v>
      </c>
      <c r="J30" s="142">
        <f>IFERROR(VLOOKUP(CONCATENATE(A30,$AE$9,"All",$H$10),Age!$A:$K,11,FALSE),0)</f>
        <v>5.7000000000000002E-3</v>
      </c>
      <c r="K30" s="15">
        <f t="shared" si="17"/>
        <v>5.9999999999999984E-4</v>
      </c>
      <c r="L30" s="15">
        <f t="shared" si="18"/>
        <v>5.0000000000000044E-4</v>
      </c>
      <c r="M30" s="15">
        <f t="shared" si="19"/>
        <v>7.9999999999999863E-4</v>
      </c>
      <c r="N30" s="15">
        <f t="shared" si="20"/>
        <v>9.0000000000000149E-4</v>
      </c>
      <c r="O30" s="15">
        <f t="shared" si="21"/>
        <v>4.0000000000000018E-4</v>
      </c>
      <c r="P30" s="15">
        <f t="shared" si="22"/>
        <v>5.0000000000000044E-4</v>
      </c>
    </row>
    <row r="31" spans="1:54" x14ac:dyDescent="0.35">
      <c r="A31" s="126" t="s">
        <v>47</v>
      </c>
      <c r="B31" s="141">
        <f>IFERROR(VLOOKUP(CONCATENATE(A31,$AE$9,"All",$B$10),Age!$A:$K,10,FALSE),0)</f>
        <v>8.3000000000000001E-3</v>
      </c>
      <c r="C31" s="15">
        <f>IFERROR(VLOOKUP(CONCATENATE(A31,$AE$9,"All",$B$10),Age!$A:$K,9,FALSE),0)</f>
        <v>8.8000000000000005E-3</v>
      </c>
      <c r="D31" s="142">
        <f>IFERROR(VLOOKUP(CONCATENATE(A31,$AE$9,"All",$B$10),Age!$A:$K,11,FALSE),0)</f>
        <v>9.2999999999999992E-3</v>
      </c>
      <c r="E31" s="141">
        <f>IFERROR(VLOOKUP(CONCATENATE(A31,$AE$9,"All",$E$10),Age!$A:$K,10,FALSE),0)</f>
        <v>2.5100000000000001E-2</v>
      </c>
      <c r="F31" s="15">
        <f>IFERROR(VLOOKUP(CONCATENATE(A31,$AE$9,"All",$E$10),Age!$A:$K,9,FALSE),0)</f>
        <v>2.58E-2</v>
      </c>
      <c r="G31" s="142">
        <f>IFERROR(VLOOKUP(CONCATENATE(A31,$AE$9,"All",$E$10),Age!$A:$K,11,FALSE),0)</f>
        <v>2.6499999999999999E-2</v>
      </c>
      <c r="H31" s="141">
        <f>IFERROR(VLOOKUP(CONCATENATE(A31,$AE$9,"All",$H$10),Age!$A:$K,10,FALSE),0)</f>
        <v>4.7000000000000002E-3</v>
      </c>
      <c r="I31" s="15">
        <f>IFERROR(VLOOKUP(CONCATENATE(A31,$AE$9,"All",$H$10),Age!$A:$K,9,FALSE),0)</f>
        <v>5.1000000000000004E-3</v>
      </c>
      <c r="J31" s="142">
        <f>IFERROR(VLOOKUP(CONCATENATE(A31,$AE$9,"All",$H$10),Age!$A:$K,11,FALSE),0)</f>
        <v>5.4000000000000003E-3</v>
      </c>
      <c r="K31" s="15">
        <f t="shared" si="17"/>
        <v>5.0000000000000044E-4</v>
      </c>
      <c r="L31" s="15">
        <f t="shared" si="18"/>
        <v>4.9999999999999871E-4</v>
      </c>
      <c r="M31" s="15">
        <f t="shared" si="19"/>
        <v>6.9999999999999923E-4</v>
      </c>
      <c r="N31" s="15">
        <f t="shared" si="20"/>
        <v>6.9999999999999923E-4</v>
      </c>
      <c r="O31" s="15">
        <f t="shared" si="21"/>
        <v>4.0000000000000018E-4</v>
      </c>
      <c r="P31" s="15">
        <f t="shared" si="22"/>
        <v>2.9999999999999992E-4</v>
      </c>
    </row>
    <row r="32" spans="1:54" x14ac:dyDescent="0.35">
      <c r="A32" s="126" t="s">
        <v>48</v>
      </c>
      <c r="B32" s="141">
        <f>IFERROR(VLOOKUP(CONCATENATE(A32,$AE$9,"All",$B$10),Age!$A:$K,10,FALSE),0)</f>
        <v>8.0000000000000002E-3</v>
      </c>
      <c r="C32" s="15">
        <f>IFERROR(VLOOKUP(CONCATENATE(A32,$AE$9,"All",$B$10),Age!$A:$K,9,FALSE),0)</f>
        <v>8.3999999999999995E-3</v>
      </c>
      <c r="D32" s="142">
        <f>IFERROR(VLOOKUP(CONCATENATE(A32,$AE$9,"All",$B$10),Age!$A:$K,11,FALSE),0)</f>
        <v>8.8999999999999999E-3</v>
      </c>
      <c r="E32" s="141">
        <f>IFERROR(VLOOKUP(CONCATENATE(A32,$AE$9,"All",$E$10),Age!$A:$K,10,FALSE),0)</f>
        <v>2.53E-2</v>
      </c>
      <c r="F32" s="15">
        <f>IFERROR(VLOOKUP(CONCATENATE(A32,$AE$9,"All",$E$10),Age!$A:$K,9,FALSE),0)</f>
        <v>2.5899999999999999E-2</v>
      </c>
      <c r="G32" s="142">
        <f>IFERROR(VLOOKUP(CONCATENATE(A32,$AE$9,"All",$E$10),Age!$A:$K,11,FALSE),0)</f>
        <v>2.6599999999999999E-2</v>
      </c>
      <c r="H32" s="141">
        <f>IFERROR(VLOOKUP(CONCATENATE(A32,$AE$9,"All",$H$10),Age!$A:$K,10,FALSE),0)</f>
        <v>5.5999999999999999E-3</v>
      </c>
      <c r="I32" s="15">
        <f>IFERROR(VLOOKUP(CONCATENATE(A32,$AE$9,"All",$H$10),Age!$A:$K,9,FALSE),0)</f>
        <v>5.8999999999999999E-3</v>
      </c>
      <c r="J32" s="142">
        <f>IFERROR(VLOOKUP(CONCATENATE(A32,$AE$9,"All",$H$10),Age!$A:$K,11,FALSE),0)</f>
        <v>6.3E-3</v>
      </c>
      <c r="K32" s="15">
        <f t="shared" si="17"/>
        <v>3.9999999999999931E-4</v>
      </c>
      <c r="L32" s="15">
        <f t="shared" si="18"/>
        <v>5.0000000000000044E-4</v>
      </c>
      <c r="M32" s="15">
        <f t="shared" si="19"/>
        <v>5.9999999999999984E-4</v>
      </c>
      <c r="N32" s="15">
        <f t="shared" si="20"/>
        <v>6.9999999999999923E-4</v>
      </c>
      <c r="O32" s="15">
        <f t="shared" si="21"/>
        <v>2.9999999999999992E-4</v>
      </c>
      <c r="P32" s="15">
        <f t="shared" si="22"/>
        <v>4.0000000000000018E-4</v>
      </c>
    </row>
    <row r="33" spans="1:30" x14ac:dyDescent="0.35">
      <c r="A33" s="126" t="s">
        <v>49</v>
      </c>
      <c r="B33" s="141">
        <f>IFERROR(VLOOKUP(CONCATENATE(A33,$AE$9,"All",$B$10),Age!$A:$K,10,FALSE),0)</f>
        <v>8.2000000000000007E-3</v>
      </c>
      <c r="C33" s="15">
        <f>IFERROR(VLOOKUP(CONCATENATE(A33,$AE$9,"All",$B$10),Age!$A:$K,9,FALSE),0)</f>
        <v>8.6999999999999994E-3</v>
      </c>
      <c r="D33" s="142">
        <f>IFERROR(VLOOKUP(CONCATENATE(A33,$AE$9,"All",$B$10),Age!$A:$K,11,FALSE),0)</f>
        <v>9.2999999999999992E-3</v>
      </c>
      <c r="E33" s="141">
        <f>IFERROR(VLOOKUP(CONCATENATE(A33,$AE$9,"All",$E$10),Age!$A:$K,10,FALSE),0)</f>
        <v>2.5999999999999999E-2</v>
      </c>
      <c r="F33" s="15">
        <f>IFERROR(VLOOKUP(CONCATENATE(A33,$AE$9,"All",$E$10),Age!$A:$K,9,FALSE),0)</f>
        <v>2.6800000000000001E-2</v>
      </c>
      <c r="G33" s="142">
        <f>IFERROR(VLOOKUP(CONCATENATE(A33,$AE$9,"All",$E$10),Age!$A:$K,11,FALSE),0)</f>
        <v>2.76E-2</v>
      </c>
      <c r="H33" s="141">
        <f>IFERROR(VLOOKUP(CONCATENATE(A33,$AE$9,"All",$H$10),Age!$A:$K,10,FALSE),0)</f>
        <v>6.1999999999999998E-3</v>
      </c>
      <c r="I33" s="15">
        <f>IFERROR(VLOOKUP(CONCATENATE(A33,$AE$9,"All",$H$10),Age!$A:$K,9,FALSE),0)</f>
        <v>6.4999999999999997E-3</v>
      </c>
      <c r="J33" s="142">
        <f>IFERROR(VLOOKUP(CONCATENATE(A33,$AE$9,"All",$H$10),Age!$A:$K,11,FALSE),0)</f>
        <v>6.8999999999999999E-3</v>
      </c>
      <c r="K33" s="15">
        <f t="shared" si="17"/>
        <v>4.9999999999999871E-4</v>
      </c>
      <c r="L33" s="15">
        <f t="shared" si="18"/>
        <v>5.9999999999999984E-4</v>
      </c>
      <c r="M33" s="15">
        <f t="shared" si="19"/>
        <v>8.000000000000021E-4</v>
      </c>
      <c r="N33" s="15">
        <f t="shared" si="20"/>
        <v>7.9999999999999863E-4</v>
      </c>
      <c r="O33" s="15">
        <f t="shared" si="21"/>
        <v>2.9999999999999992E-4</v>
      </c>
      <c r="P33" s="15">
        <f t="shared" si="22"/>
        <v>4.0000000000000018E-4</v>
      </c>
    </row>
    <row r="34" spans="1:30" x14ac:dyDescent="0.35">
      <c r="A34" s="126" t="s">
        <v>124</v>
      </c>
      <c r="B34" s="141">
        <f>IFERROR(VLOOKUP(CONCATENATE(A34,$AE$9,"All",$B$10),Age!$A:$K,10,FALSE),0)</f>
        <v>8.0999999999999996E-3</v>
      </c>
      <c r="C34" s="15">
        <f>IFERROR(VLOOKUP(CONCATENATE(A34,$AE$9,"All",$B$10),Age!$A:$K,9,FALSE),0)</f>
        <v>8.6E-3</v>
      </c>
      <c r="D34" s="142">
        <f>IFERROR(VLOOKUP(CONCATENATE(A34,$AE$9,"All",$B$10),Age!$A:$K,11,FALSE),0)</f>
        <v>9.1999999999999998E-3</v>
      </c>
      <c r="E34" s="141">
        <f>IFERROR(VLOOKUP(CONCATENATE(A34,$AE$9,"All",$E$10),Age!$A:$K,10,FALSE),0)</f>
        <v>2.5899999999999999E-2</v>
      </c>
      <c r="F34" s="15">
        <f>IFERROR(VLOOKUP(CONCATENATE(A34,$AE$9,"All",$E$10),Age!$A:$K,9,FALSE),0)</f>
        <v>2.6700000000000002E-2</v>
      </c>
      <c r="G34" s="142">
        <f>IFERROR(VLOOKUP(CONCATENATE(A34,$AE$9,"All",$E$10),Age!$A:$K,11,FALSE),0)</f>
        <v>2.75E-2</v>
      </c>
      <c r="H34" s="141">
        <f>IFERROR(VLOOKUP(CONCATENATE(A34,$AE$9,"All",$H$10),Age!$A:$K,10,FALSE),0)</f>
        <v>7.3000000000000001E-3</v>
      </c>
      <c r="I34" s="15">
        <f>IFERROR(VLOOKUP(CONCATENATE(A34,$AE$9,"All",$H$10),Age!$A:$K,9,FALSE),0)</f>
        <v>7.7000000000000002E-3</v>
      </c>
      <c r="J34" s="142">
        <f>IFERROR(VLOOKUP(CONCATENATE(A34,$AE$9,"All",$H$10),Age!$A:$K,11,FALSE),0)</f>
        <v>8.2000000000000007E-3</v>
      </c>
      <c r="K34" s="15">
        <f t="shared" si="17"/>
        <v>5.0000000000000044E-4</v>
      </c>
      <c r="L34" s="15">
        <f t="shared" si="18"/>
        <v>5.9999999999999984E-4</v>
      </c>
      <c r="M34" s="15">
        <f t="shared" si="19"/>
        <v>8.000000000000021E-4</v>
      </c>
      <c r="N34" s="15">
        <f t="shared" si="20"/>
        <v>7.9999999999999863E-4</v>
      </c>
      <c r="O34" s="15">
        <f t="shared" si="21"/>
        <v>4.0000000000000018E-4</v>
      </c>
      <c r="P34" s="15">
        <f t="shared" si="22"/>
        <v>5.0000000000000044E-4</v>
      </c>
      <c r="AD34" s="4"/>
    </row>
    <row r="35" spans="1:30" x14ac:dyDescent="0.35">
      <c r="A35" s="126" t="s">
        <v>125</v>
      </c>
      <c r="B35" s="141">
        <f>IFERROR(VLOOKUP(CONCATENATE(A35,$AE$9,"All",$B$10),Age!$A:$K,10,FALSE),0)</f>
        <v>7.1000000000000004E-3</v>
      </c>
      <c r="C35" s="15">
        <f>IFERROR(VLOOKUP(CONCATENATE(A35,$AE$9,"All",$B$10),Age!$A:$K,9,FALSE),0)</f>
        <v>7.7000000000000002E-3</v>
      </c>
      <c r="D35" s="142">
        <f>IFERROR(VLOOKUP(CONCATENATE(A35,$AE$9,"All",$B$10),Age!$A:$K,11,FALSE),0)</f>
        <v>8.3000000000000001E-3</v>
      </c>
      <c r="E35" s="141">
        <f>IFERROR(VLOOKUP(CONCATENATE(A35,$AE$9,"All",$E$10),Age!$A:$K,10,FALSE),0)</f>
        <v>2.4500000000000001E-2</v>
      </c>
      <c r="F35" s="15">
        <f>IFERROR(VLOOKUP(CONCATENATE(A35,$AE$9,"All",$E$10),Age!$A:$K,9,FALSE),0)</f>
        <v>2.53E-2</v>
      </c>
      <c r="G35" s="142">
        <f>IFERROR(VLOOKUP(CONCATENATE(A35,$AE$9,"All",$E$10),Age!$A:$K,11,FALSE),0)</f>
        <v>2.6200000000000001E-2</v>
      </c>
      <c r="H35" s="141">
        <f>IFERROR(VLOOKUP(CONCATENATE(A35,$AE$9,"All",$H$10),Age!$A:$K,10,FALSE),0)</f>
        <v>7.7999999999999996E-3</v>
      </c>
      <c r="I35" s="15">
        <f>IFERROR(VLOOKUP(CONCATENATE(A35,$AE$9,"All",$H$10),Age!$A:$K,9,FALSE),0)</f>
        <v>8.2000000000000007E-3</v>
      </c>
      <c r="J35" s="142">
        <f>IFERROR(VLOOKUP(CONCATENATE(A35,$AE$9,"All",$H$10),Age!$A:$K,11,FALSE),0)</f>
        <v>8.8000000000000005E-3</v>
      </c>
      <c r="K35" s="15">
        <f t="shared" si="17"/>
        <v>5.9999999999999984E-4</v>
      </c>
      <c r="L35" s="15">
        <f t="shared" si="18"/>
        <v>5.9999999999999984E-4</v>
      </c>
      <c r="M35" s="15">
        <f t="shared" si="19"/>
        <v>7.9999999999999863E-4</v>
      </c>
      <c r="N35" s="15">
        <f t="shared" si="20"/>
        <v>9.0000000000000149E-4</v>
      </c>
      <c r="O35" s="15">
        <f t="shared" si="21"/>
        <v>4.0000000000000105E-4</v>
      </c>
      <c r="P35" s="15">
        <f t="shared" si="22"/>
        <v>5.9999999999999984E-4</v>
      </c>
      <c r="AD35" s="4"/>
    </row>
    <row r="36" spans="1:30" x14ac:dyDescent="0.35">
      <c r="A36" s="126" t="s">
        <v>126</v>
      </c>
      <c r="B36" s="141">
        <f>IFERROR(VLOOKUP(CONCATENATE(A36,$AE$9,"All",$B$10),Age!$A:$K,10,FALSE),0)</f>
        <v>6.1999999999999998E-3</v>
      </c>
      <c r="C36" s="15">
        <f>IFERROR(VLOOKUP(CONCATENATE(A36,$AE$9,"All",$B$10),Age!$A:$K,9,FALSE),0)</f>
        <v>6.7000000000000002E-3</v>
      </c>
      <c r="D36" s="142">
        <f>IFERROR(VLOOKUP(CONCATENATE(A36,$AE$9,"All",$B$10),Age!$A:$K,11,FALSE),0)</f>
        <v>7.1999999999999998E-3</v>
      </c>
      <c r="E36" s="141">
        <f>IFERROR(VLOOKUP(CONCATENATE(A36,$AE$9,"All",$E$10),Age!$A:$K,10,FALSE),0)</f>
        <v>2.3199999999999998E-2</v>
      </c>
      <c r="F36" s="15">
        <f>IFERROR(VLOOKUP(CONCATENATE(A36,$AE$9,"All",$E$10),Age!$A:$K,9,FALSE),0)</f>
        <v>2.3900000000000001E-2</v>
      </c>
      <c r="G36" s="142">
        <f>IFERROR(VLOOKUP(CONCATENATE(A36,$AE$9,"All",$E$10),Age!$A:$K,11,FALSE),0)</f>
        <v>2.4799999999999999E-2</v>
      </c>
      <c r="H36" s="141">
        <f>IFERROR(VLOOKUP(CONCATENATE(A36,$AE$9,"All",$H$10),Age!$A:$K,10,FALSE),0)</f>
        <v>8.3000000000000001E-3</v>
      </c>
      <c r="I36" s="15">
        <f>IFERROR(VLOOKUP(CONCATENATE(A36,$AE$9,"All",$H$10),Age!$A:$K,9,FALSE),0)</f>
        <v>8.8000000000000005E-3</v>
      </c>
      <c r="J36" s="142">
        <f>IFERROR(VLOOKUP(CONCATENATE(A36,$AE$9,"All",$H$10),Age!$A:$K,11,FALSE),0)</f>
        <v>9.4000000000000004E-3</v>
      </c>
      <c r="K36" s="15">
        <f t="shared" si="17"/>
        <v>5.0000000000000044E-4</v>
      </c>
      <c r="L36" s="15">
        <f t="shared" si="18"/>
        <v>4.9999999999999958E-4</v>
      </c>
      <c r="M36" s="15">
        <f t="shared" si="19"/>
        <v>7.000000000000027E-4</v>
      </c>
      <c r="N36" s="15">
        <f t="shared" si="20"/>
        <v>8.9999999999999802E-4</v>
      </c>
      <c r="O36" s="15">
        <f t="shared" si="21"/>
        <v>5.0000000000000044E-4</v>
      </c>
      <c r="P36" s="15">
        <f t="shared" si="22"/>
        <v>5.9999999999999984E-4</v>
      </c>
      <c r="AD36" s="4"/>
    </row>
    <row r="37" spans="1:30" x14ac:dyDescent="0.35">
      <c r="A37" s="156"/>
      <c r="B37" s="35"/>
      <c r="C37" s="19"/>
      <c r="D37" s="21"/>
      <c r="E37" s="35"/>
      <c r="F37" s="19"/>
      <c r="G37" s="21"/>
      <c r="H37" s="150"/>
      <c r="I37" s="151"/>
      <c r="J37" s="108"/>
      <c r="K37" s="18"/>
      <c r="L37" s="18"/>
      <c r="M37" s="18"/>
      <c r="N37" s="18"/>
      <c r="O37" s="113"/>
      <c r="P37" s="113"/>
      <c r="AD37" s="4"/>
    </row>
    <row r="39" spans="1:30" x14ac:dyDescent="0.35">
      <c r="A39" s="10" t="s">
        <v>19</v>
      </c>
      <c r="B39" s="166"/>
      <c r="C39" s="166"/>
      <c r="D39" s="166"/>
      <c r="E39" s="166"/>
      <c r="F39" s="166"/>
      <c r="G39" s="166"/>
      <c r="V39" s="16"/>
    </row>
    <row r="40" spans="1:30" ht="15" customHeight="1" x14ac:dyDescent="0.35">
      <c r="A40" s="170" t="s">
        <v>51</v>
      </c>
      <c r="B40" s="170"/>
      <c r="C40" s="170"/>
      <c r="D40" s="170"/>
      <c r="E40" s="170"/>
      <c r="F40" s="170"/>
      <c r="G40" s="170"/>
      <c r="H40" s="170"/>
      <c r="I40" s="170"/>
      <c r="J40" s="170"/>
    </row>
    <row r="41" spans="1:30" ht="30.75" customHeight="1" x14ac:dyDescent="0.35">
      <c r="A41" s="165" t="s">
        <v>52</v>
      </c>
      <c r="B41" s="165"/>
      <c r="C41" s="165"/>
      <c r="D41" s="165"/>
      <c r="E41" s="165"/>
      <c r="F41" s="165"/>
      <c r="G41" s="165"/>
      <c r="H41" s="165"/>
      <c r="I41" s="165"/>
      <c r="J41" s="165"/>
    </row>
    <row r="42" spans="1:30" ht="48" customHeight="1" x14ac:dyDescent="0.35">
      <c r="A42" s="164" t="s">
        <v>563</v>
      </c>
      <c r="B42" s="164"/>
      <c r="C42" s="164"/>
      <c r="D42" s="164"/>
      <c r="E42" s="164"/>
      <c r="F42" s="164"/>
      <c r="G42" s="164"/>
      <c r="H42" s="164"/>
      <c r="I42" s="164"/>
      <c r="J42" s="164"/>
    </row>
    <row r="43" spans="1:30" ht="33.75" customHeight="1" x14ac:dyDescent="0.35">
      <c r="A43" s="164"/>
      <c r="B43" s="164"/>
      <c r="C43" s="164"/>
      <c r="D43" s="164"/>
      <c r="E43" s="164"/>
      <c r="F43" s="164"/>
      <c r="G43" s="164"/>
      <c r="H43" s="164"/>
      <c r="I43" s="164"/>
      <c r="J43" s="164"/>
    </row>
  </sheetData>
  <sortState xmlns:xlrd2="http://schemas.microsoft.com/office/spreadsheetml/2017/richdata2" ref="AA10:AA17">
    <sortCondition ref="AA10:AA17"/>
  </sortState>
  <mergeCells count="22">
    <mergeCell ref="H26:J26"/>
    <mergeCell ref="B9:J9"/>
    <mergeCell ref="B10:D10"/>
    <mergeCell ref="E10:G10"/>
    <mergeCell ref="H10:J10"/>
    <mergeCell ref="B25:J25"/>
    <mergeCell ref="AW10:AX10"/>
    <mergeCell ref="AY10:AZ10"/>
    <mergeCell ref="BA10:BB10"/>
    <mergeCell ref="A43:J43"/>
    <mergeCell ref="K10:L10"/>
    <mergeCell ref="M10:N10"/>
    <mergeCell ref="O10:P10"/>
    <mergeCell ref="K26:L26"/>
    <mergeCell ref="M26:N26"/>
    <mergeCell ref="O26:P26"/>
    <mergeCell ref="B39:G39"/>
    <mergeCell ref="A42:J42"/>
    <mergeCell ref="A41:J41"/>
    <mergeCell ref="A40:J40"/>
    <mergeCell ref="B26:D26"/>
    <mergeCell ref="E26:G26"/>
  </mergeCells>
  <hyperlinks>
    <hyperlink ref="A2" location="Contents!A1" display="Back to contents" xr:uid="{808182A6-9F1F-48D1-BF74-50551B8A7B4B}"/>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9457" r:id="rId3" name="Drop Down 1">
              <controlPr defaultSize="0" autoLine="0" autoPict="0">
                <anchor moveWithCells="1">
                  <from>
                    <xdr:col>0</xdr:col>
                    <xdr:colOff>38100</xdr:colOff>
                    <xdr:row>5</xdr:row>
                    <xdr:rowOff>63500</xdr:rowOff>
                  </from>
                  <to>
                    <xdr:col>1</xdr:col>
                    <xdr:colOff>254000</xdr:colOff>
                    <xdr:row>6</xdr:row>
                    <xdr:rowOff>139700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1EFF83-72C8-4079-896C-7FCB4C511A09}">
  <sheetPr codeName="Sheet4"/>
  <dimension ref="A1:BT66"/>
  <sheetViews>
    <sheetView showGridLines="0" zoomScaleNormal="100" workbookViewId="0"/>
  </sheetViews>
  <sheetFormatPr defaultRowHeight="15.5" x14ac:dyDescent="0.35"/>
  <cols>
    <col min="1" max="1" width="21" customWidth="1"/>
    <col min="2" max="2" width="10.453125" bestFit="1" customWidth="1"/>
    <col min="3" max="3" width="14.1796875" customWidth="1"/>
    <col min="4" max="4" width="9.81640625" customWidth="1"/>
    <col min="5" max="5" width="10.453125" bestFit="1" customWidth="1"/>
    <col min="6" max="6" width="13.81640625" customWidth="1"/>
    <col min="7" max="7" width="9.1796875" customWidth="1"/>
    <col min="8" max="8" width="10.453125" bestFit="1" customWidth="1"/>
    <col min="9" max="9" width="12.453125" customWidth="1"/>
    <col min="10" max="10" width="9.54296875" customWidth="1"/>
    <col min="11" max="11" width="10" hidden="1" customWidth="1"/>
    <col min="12" max="21" width="8.81640625" hidden="1" customWidth="1"/>
    <col min="22" max="32" width="9.1796875" style="5" hidden="1" customWidth="1"/>
    <col min="33" max="33" width="8.81640625" style="5" hidden="1" customWidth="1"/>
    <col min="34" max="40" width="8.81640625" hidden="1" customWidth="1"/>
    <col min="62" max="62" width="0" hidden="1" customWidth="1"/>
    <col min="63" max="70" width="8.90625" hidden="1" customWidth="1"/>
    <col min="71" max="71" width="0" hidden="1" customWidth="1"/>
  </cols>
  <sheetData>
    <row r="1" spans="1:72" x14ac:dyDescent="0.35">
      <c r="A1" s="5"/>
      <c r="B1" s="5"/>
      <c r="C1" s="5"/>
      <c r="D1" s="5"/>
      <c r="E1" s="5"/>
      <c r="F1" s="5"/>
      <c r="G1" s="5"/>
      <c r="H1" s="5"/>
      <c r="I1" s="5"/>
      <c r="J1" s="5"/>
      <c r="V1" s="8"/>
      <c r="W1" s="8"/>
      <c r="X1" s="8"/>
      <c r="Y1" s="8"/>
      <c r="Z1" s="8"/>
      <c r="AA1" s="8"/>
      <c r="AB1" s="8"/>
      <c r="AC1" s="8"/>
      <c r="AD1" s="8"/>
      <c r="AE1" s="8"/>
      <c r="AF1" s="8"/>
      <c r="AG1" s="8"/>
      <c r="AH1" s="80"/>
      <c r="AI1" s="80"/>
      <c r="AJ1" s="80"/>
      <c r="AK1" s="80"/>
      <c r="AL1" s="80"/>
      <c r="AM1" s="80"/>
      <c r="AN1" s="80"/>
    </row>
    <row r="2" spans="1:72" x14ac:dyDescent="0.35">
      <c r="A2" s="132" t="s">
        <v>22</v>
      </c>
      <c r="B2" s="5"/>
      <c r="C2" s="5"/>
      <c r="D2" s="5"/>
      <c r="E2" s="5"/>
      <c r="F2" s="5"/>
      <c r="G2" s="5"/>
      <c r="H2" s="5"/>
      <c r="I2" s="5"/>
      <c r="J2" s="5"/>
    </row>
    <row r="3" spans="1:72" ht="17.5" x14ac:dyDescent="0.35">
      <c r="A3" s="10" t="s">
        <v>59</v>
      </c>
      <c r="B3" s="10" t="s">
        <v>570</v>
      </c>
      <c r="C3" s="5"/>
      <c r="D3" s="5"/>
      <c r="E3" s="5"/>
      <c r="F3" s="5"/>
      <c r="G3" s="5"/>
      <c r="H3" s="5"/>
      <c r="I3" s="5"/>
      <c r="J3" s="5"/>
    </row>
    <row r="4" spans="1:72" x14ac:dyDescent="0.35">
      <c r="A4" s="5"/>
      <c r="B4" s="5" t="s">
        <v>24</v>
      </c>
      <c r="C4" s="5"/>
      <c r="D4" s="5"/>
      <c r="E4" s="5"/>
      <c r="F4" s="5"/>
      <c r="G4" s="5"/>
      <c r="H4" s="5"/>
      <c r="I4" s="5"/>
      <c r="J4" s="5"/>
      <c r="AA4" s="5" t="str">
        <f>"Estimated prevalence of opioid dependence in "&amp;AE8&amp;", by age groups and sex"</f>
        <v>Estimated prevalence of opioid dependence in Scotland, by age groups and sex</v>
      </c>
      <c r="AH4" t="s">
        <v>60</v>
      </c>
    </row>
    <row r="5" spans="1:72" x14ac:dyDescent="0.35">
      <c r="A5" s="11" t="s">
        <v>25</v>
      </c>
      <c r="B5" s="5"/>
      <c r="C5" s="5"/>
      <c r="D5" s="11"/>
      <c r="E5" s="5"/>
      <c r="F5" s="5"/>
      <c r="G5" s="5"/>
      <c r="H5" s="5"/>
      <c r="I5" s="5"/>
      <c r="J5" s="5"/>
      <c r="AA5" s="5" t="str">
        <f>"Estimated number of people with opioid-dependence in "&amp;AE8&amp;", by age groups and sex"</f>
        <v>Estimated number of people with opioid-dependence in Scotland, by age groups and sex</v>
      </c>
      <c r="AH5" t="s">
        <v>61</v>
      </c>
    </row>
    <row r="6" spans="1:72" x14ac:dyDescent="0.35">
      <c r="A6" s="5"/>
      <c r="B6" s="5"/>
      <c r="C6" s="5"/>
      <c r="D6" s="5"/>
      <c r="E6" s="5"/>
      <c r="F6" s="5"/>
      <c r="G6" s="5"/>
      <c r="H6" s="5"/>
      <c r="I6" s="5"/>
      <c r="J6" s="5"/>
      <c r="AH6" t="s">
        <v>62</v>
      </c>
    </row>
    <row r="7" spans="1:72" x14ac:dyDescent="0.35">
      <c r="A7" s="5"/>
      <c r="B7" s="5"/>
      <c r="C7" s="5"/>
      <c r="D7" s="5"/>
      <c r="E7" s="5"/>
      <c r="F7" s="5"/>
      <c r="G7" s="5"/>
      <c r="H7" s="5"/>
      <c r="I7" s="5"/>
      <c r="J7" s="5"/>
      <c r="V7" s="5" t="s">
        <v>26</v>
      </c>
      <c r="W7" s="5" t="s">
        <v>27</v>
      </c>
      <c r="AA7" s="5" t="s">
        <v>28</v>
      </c>
      <c r="AF7" s="5" t="s">
        <v>29</v>
      </c>
      <c r="AH7" t="s">
        <v>63</v>
      </c>
    </row>
    <row r="8" spans="1:72" x14ac:dyDescent="0.35">
      <c r="A8" s="128" t="s">
        <v>30</v>
      </c>
      <c r="B8" s="5"/>
      <c r="C8" s="5"/>
      <c r="D8" s="5"/>
      <c r="E8" s="5"/>
      <c r="F8" s="5"/>
      <c r="G8" s="5"/>
      <c r="H8" s="5"/>
      <c r="I8" s="5"/>
      <c r="J8" s="5"/>
      <c r="V8" s="5" t="s">
        <v>31</v>
      </c>
      <c r="W8" s="5" t="s">
        <v>31</v>
      </c>
      <c r="X8" s="81"/>
      <c r="Y8" s="81"/>
      <c r="Z8" s="82" t="s">
        <v>32</v>
      </c>
      <c r="AA8" s="5" t="s">
        <v>32</v>
      </c>
      <c r="AB8" s="83"/>
      <c r="AD8" s="82">
        <v>1</v>
      </c>
      <c r="AE8" s="81" t="str">
        <f>INDEX(Z8:Z15,AD8)</f>
        <v>Scotland</v>
      </c>
      <c r="AH8" t="s">
        <v>64</v>
      </c>
    </row>
    <row r="9" spans="1:72" ht="24" customHeight="1" x14ac:dyDescent="0.35">
      <c r="A9" s="129" t="s">
        <v>26</v>
      </c>
      <c r="B9" s="171" t="s">
        <v>55</v>
      </c>
      <c r="C9" s="167"/>
      <c r="D9" s="167"/>
      <c r="E9" s="167"/>
      <c r="F9" s="167"/>
      <c r="G9" s="167"/>
      <c r="H9" s="167"/>
      <c r="I9" s="167"/>
      <c r="J9" s="168"/>
      <c r="V9" s="5" t="s">
        <v>37</v>
      </c>
      <c r="X9" s="81"/>
      <c r="Z9" s="5" t="str">
        <f>IF($W$8=5,AB9,IF($W$8=3,AC15,AA9))</f>
        <v>NHS Ayrshire &amp; Arran</v>
      </c>
      <c r="AA9" s="5" t="s">
        <v>130</v>
      </c>
      <c r="AD9" s="81"/>
      <c r="AH9" t="s">
        <v>65</v>
      </c>
      <c r="BT9" s="101" t="s">
        <v>66</v>
      </c>
    </row>
    <row r="10" spans="1:72" ht="24" customHeight="1" x14ac:dyDescent="0.35">
      <c r="A10" s="130" t="s">
        <v>37</v>
      </c>
      <c r="B10" s="178" t="s">
        <v>56</v>
      </c>
      <c r="C10" s="178"/>
      <c r="D10" s="179"/>
      <c r="E10" s="178" t="s">
        <v>57</v>
      </c>
      <c r="F10" s="178"/>
      <c r="G10" s="179"/>
      <c r="H10" s="178" t="s">
        <v>58</v>
      </c>
      <c r="I10" s="178"/>
      <c r="J10" s="179"/>
      <c r="V10" s="5" t="s">
        <v>42</v>
      </c>
      <c r="X10" s="81"/>
      <c r="Z10" s="5" t="str">
        <f t="shared" ref="Z10:Z15" si="0">IF($W$8=5,AB10,IF($W$8=3,AC16,AA10))</f>
        <v>NHS Fife</v>
      </c>
      <c r="AA10" s="5" t="s">
        <v>129</v>
      </c>
      <c r="AD10" s="84"/>
      <c r="BL10" s="172" t="s">
        <v>56</v>
      </c>
      <c r="BM10" s="169"/>
      <c r="BN10" s="169" t="s">
        <v>57</v>
      </c>
      <c r="BO10" s="169"/>
      <c r="BP10" s="169" t="s">
        <v>58</v>
      </c>
      <c r="BQ10" s="169"/>
    </row>
    <row r="11" spans="1:72" ht="24" customHeight="1" x14ac:dyDescent="0.35">
      <c r="A11" s="40" t="s">
        <v>33</v>
      </c>
      <c r="B11" s="41" t="s">
        <v>34</v>
      </c>
      <c r="C11" s="133" t="s">
        <v>35</v>
      </c>
      <c r="D11" s="133" t="s">
        <v>36</v>
      </c>
      <c r="E11" s="41" t="s">
        <v>34</v>
      </c>
      <c r="F11" s="133" t="s">
        <v>35</v>
      </c>
      <c r="G11" s="134" t="s">
        <v>36</v>
      </c>
      <c r="H11" s="133" t="s">
        <v>34</v>
      </c>
      <c r="I11" s="133" t="s">
        <v>35</v>
      </c>
      <c r="J11" s="134" t="s">
        <v>36</v>
      </c>
      <c r="K11" t="s">
        <v>41</v>
      </c>
      <c r="L11" t="s">
        <v>40</v>
      </c>
      <c r="M11" t="s">
        <v>41</v>
      </c>
      <c r="N11" t="s">
        <v>40</v>
      </c>
      <c r="O11" t="s">
        <v>41</v>
      </c>
      <c r="P11" t="s">
        <v>40</v>
      </c>
      <c r="X11" s="81"/>
      <c r="Z11" s="5" t="str">
        <f t="shared" si="0"/>
        <v>NHS Grampian</v>
      </c>
      <c r="AA11" s="5" t="s">
        <v>128</v>
      </c>
      <c r="AD11" s="85"/>
      <c r="BL11" s="5" t="s">
        <v>40</v>
      </c>
      <c r="BM11" s="5" t="s">
        <v>41</v>
      </c>
      <c r="BN11" s="5" t="s">
        <v>40</v>
      </c>
      <c r="BO11" s="5" t="s">
        <v>41</v>
      </c>
      <c r="BP11" s="5" t="s">
        <v>40</v>
      </c>
      <c r="BQ11" s="5" t="s">
        <v>41</v>
      </c>
    </row>
    <row r="12" spans="1:72" x14ac:dyDescent="0.35">
      <c r="A12" s="36" t="s">
        <v>39</v>
      </c>
      <c r="B12" s="135">
        <f>IFERROR(VLOOKUP(CONCATENATE($A12,$AE$8,$A$10,$B$10),SexAge!$A:$L,7,FALSE), 0)</f>
        <v>10000</v>
      </c>
      <c r="C12" s="114">
        <f>IFERROR(VLOOKUP(CONCATENATE($A12,$AE$8,$A$10,$B$10),SexAge!$A:$L,6,FALSE),0)</f>
        <v>10700</v>
      </c>
      <c r="D12" s="107">
        <f>IFERROR(VLOOKUP(CONCATENATE($A12,$AE$8,$A$10,$B$10),SexAge!$A:$L,8,FALSE), 0)</f>
        <v>11500</v>
      </c>
      <c r="E12" s="135">
        <f>IFERROR(VLOOKUP(CONCATENATE($A12,$AE$8,$A$10,$E$10),SexAge!$A:$L,7,FALSE), 0)</f>
        <v>18500</v>
      </c>
      <c r="F12" s="114">
        <f>IFERROR(VLOOKUP(CONCATENATE($A12,$AE$8,$A$10,$E$10),SexAge!$A:$L,6,FALSE),0)</f>
        <v>19300</v>
      </c>
      <c r="G12" s="107">
        <f>IFERROR(VLOOKUP(CONCATENATE($A12,$AE$8,$A$10,$E$10),SexAge!$A:$L,8,FALSE), 0)</f>
        <v>20200</v>
      </c>
      <c r="H12" s="135">
        <f>IFERROR(VLOOKUP(CONCATENATE($A12,$AE$8,$A$10,$H$10),SexAge!$A:$L,7,FALSE),0)</f>
        <v>2900</v>
      </c>
      <c r="I12" s="114">
        <f>IFERROR(VLOOKUP(CONCATENATE($A12,$AE$8,$A$10,$H$10),SexAge!$A:$L,6,FALSE),0)</f>
        <v>3300</v>
      </c>
      <c r="J12" s="107">
        <f>IFERROR(VLOOKUP(CONCATENATE($A12,$AE$8,$A$10,$H$10),SexAge!$A:$L,8,FALSE), 0)</f>
        <v>3800</v>
      </c>
      <c r="K12" s="18">
        <f>IFERROR(C12-B12, "X")</f>
        <v>700</v>
      </c>
      <c r="L12" s="18">
        <f>IFERROR(D12-C12, "X")</f>
        <v>800</v>
      </c>
      <c r="M12" s="18">
        <f>IFERROR(F12-E12, "X")</f>
        <v>800</v>
      </c>
      <c r="N12" s="18">
        <f>IFERROR(G12-F12, "X")</f>
        <v>900</v>
      </c>
      <c r="O12" s="113">
        <f>IFERROR(I12-H12, "X")</f>
        <v>400</v>
      </c>
      <c r="P12" s="113">
        <f>IFERROR(J12-I12, "X")</f>
        <v>500</v>
      </c>
      <c r="X12" s="81"/>
      <c r="Z12" s="5" t="str">
        <f t="shared" si="0"/>
        <v>NHS Greater Glasgow &amp; Clyde</v>
      </c>
      <c r="AA12" s="13" t="s">
        <v>38</v>
      </c>
      <c r="AD12" s="85"/>
      <c r="BL12" s="5">
        <f>IF(OR($K12 = "X",$L12="X"),"X", K12)</f>
        <v>700</v>
      </c>
      <c r="BM12" s="5">
        <f>IF(OR($K12 = "X",$L12="X"),"X", L12)</f>
        <v>800</v>
      </c>
      <c r="BN12" s="5">
        <f>IF(OR($M12 = "X",$N12="X"),"X", M12)</f>
        <v>800</v>
      </c>
      <c r="BO12" s="5">
        <f>IF(OR($M12 = "X",$N12="X"),"X", N12)</f>
        <v>900</v>
      </c>
      <c r="BP12" s="5">
        <f>IF(OR($O12 = "X",$P12="X"),"X", O12)</f>
        <v>400</v>
      </c>
      <c r="BQ12" s="5">
        <f>IF(OR($O12 = "X",$P12="X"),"X", P12)</f>
        <v>500</v>
      </c>
    </row>
    <row r="13" spans="1:72" x14ac:dyDescent="0.35">
      <c r="A13" s="36" t="s">
        <v>44</v>
      </c>
      <c r="B13" s="136">
        <f>IFERROR(VLOOKUP(CONCATENATE($A13,$AE$8,$A$10,$B$10),SexAge!$A:$L,7,FALSE), 0)</f>
        <v>9000</v>
      </c>
      <c r="C13" s="113">
        <f>IFERROR(VLOOKUP(CONCATENATE($A13,$AE$8,$A$10,$B$10),SexAge!$A:$L,6,FALSE),0)</f>
        <v>9700</v>
      </c>
      <c r="D13" s="106">
        <f>IFERROR(VLOOKUP(CONCATENATE($A13,$AE$8,$A$10,$B$10),SexAge!$A:$L,8,FALSE), 0)</f>
        <v>10400</v>
      </c>
      <c r="E13" s="136">
        <f>IFERROR(VLOOKUP(CONCATENATE($A13,$AE$8,$A$10,$E$10),SexAge!$A:$L,7,FALSE), 0)</f>
        <v>18400</v>
      </c>
      <c r="F13" s="113">
        <f>IFERROR(VLOOKUP(CONCATENATE($A13,$AE$8,$A$10,$E$10),SexAge!$A:$L,6,FALSE),0)</f>
        <v>19100</v>
      </c>
      <c r="G13" s="106">
        <f>IFERROR(VLOOKUP(CONCATENATE($A13,$AE$8,$A$10,$E$10),SexAge!$A:$L,8,FALSE), 0)</f>
        <v>19900</v>
      </c>
      <c r="H13" s="136">
        <f>IFERROR(VLOOKUP(CONCATENATE($A13,$AE$8,$A$10,$H$10),SexAge!$A:$L,7,FALSE),0)</f>
        <v>3200</v>
      </c>
      <c r="I13" s="113">
        <f>IFERROR(VLOOKUP(CONCATENATE($A13,$AE$8,$A$10,$H$10),SexAge!$A:$L,6,FALSE),0)</f>
        <v>3600</v>
      </c>
      <c r="J13" s="106">
        <f>IFERROR(VLOOKUP(CONCATENATE($A13,$AE$8,$A$10,$H$10),SexAge!$A:$L,8,FALSE), 0)</f>
        <v>4000</v>
      </c>
      <c r="K13" s="18">
        <f t="shared" ref="K13:K17" si="1">IFERROR(C13-B13, "X")</f>
        <v>700</v>
      </c>
      <c r="L13" s="18">
        <f t="shared" ref="L13:L17" si="2">IFERROR(D13-C13, "X")</f>
        <v>700</v>
      </c>
      <c r="M13" s="18">
        <f t="shared" ref="M13:M17" si="3">IFERROR(F13-E13, "X")</f>
        <v>700</v>
      </c>
      <c r="N13" s="18">
        <f t="shared" ref="N13:N17" si="4">IFERROR(G13-F13, "X")</f>
        <v>800</v>
      </c>
      <c r="O13" s="113">
        <f t="shared" ref="O13:O17" si="5">IFERROR(I13-H13, "X")</f>
        <v>400</v>
      </c>
      <c r="P13" s="113">
        <f t="shared" ref="P13:P17" si="6">IFERROR(J13-I13, "X")</f>
        <v>400</v>
      </c>
      <c r="X13" s="81"/>
      <c r="Z13" s="5" t="str">
        <f t="shared" si="0"/>
        <v>NHS Lanarkshire</v>
      </c>
      <c r="AA13" s="5" t="s">
        <v>127</v>
      </c>
      <c r="AD13" s="85"/>
      <c r="BL13" s="5">
        <f t="shared" ref="BL13:BL17" si="7">IF(OR($K13 = "X",$L13="X"),"X", K13)</f>
        <v>700</v>
      </c>
      <c r="BM13" s="5">
        <f t="shared" ref="BM13:BM17" si="8">IF(OR($K13 = "X",$L13="X"),"X", L13)</f>
        <v>700</v>
      </c>
      <c r="BN13" s="5">
        <f t="shared" ref="BN13:BN17" si="9">IF(OR($M13 = "X",$N13="X"),"X", M13)</f>
        <v>700</v>
      </c>
      <c r="BO13" s="5">
        <f t="shared" ref="BO13:BO17" si="10">IF(OR($M13 = "X",$N13="X"),"X", N13)</f>
        <v>800</v>
      </c>
      <c r="BP13" s="5">
        <f t="shared" ref="BP13:BP17" si="11">IF(OR($O13 = "X",$P13="X"),"X", O13)</f>
        <v>400</v>
      </c>
      <c r="BQ13" s="5">
        <f t="shared" ref="BQ13:BQ17" si="12">IF(OR($O13 = "X",$P13="X"),"X", P13)</f>
        <v>400</v>
      </c>
    </row>
    <row r="14" spans="1:72" x14ac:dyDescent="0.35">
      <c r="A14" s="36" t="s">
        <v>46</v>
      </c>
      <c r="B14" s="136">
        <f>IFERROR(VLOOKUP(CONCATENATE($A14,$AE$8,$A$10,$B$10),SexAge!$A:$L,7,FALSE), 0)</f>
        <v>7900</v>
      </c>
      <c r="C14" s="113">
        <f>IFERROR(VLOOKUP(CONCATENATE($A14,$AE$8,$A$10,$B$10),SexAge!$A:$L,6,FALSE),0)</f>
        <v>8500</v>
      </c>
      <c r="D14" s="106">
        <f>IFERROR(VLOOKUP(CONCATENATE($A14,$AE$8,$A$10,$B$10),SexAge!$A:$L,8,FALSE), 0)</f>
        <v>9100</v>
      </c>
      <c r="E14" s="136">
        <f>IFERROR(VLOOKUP(CONCATENATE($A14,$AE$8,$A$10,$E$10),SexAge!$A:$L,7,FALSE), 0)</f>
        <v>18600</v>
      </c>
      <c r="F14" s="113">
        <f>IFERROR(VLOOKUP(CONCATENATE($A14,$AE$8,$A$10,$E$10),SexAge!$A:$L,6,FALSE),0)</f>
        <v>19200</v>
      </c>
      <c r="G14" s="106">
        <f>IFERROR(VLOOKUP(CONCATENATE($A14,$AE$8,$A$10,$E$10),SexAge!$A:$L,8,FALSE), 0)</f>
        <v>19900</v>
      </c>
      <c r="H14" s="136">
        <f>IFERROR(VLOOKUP(CONCATENATE($A14,$AE$8,$A$10,$H$10),SexAge!$A:$L,7,FALSE),0)</f>
        <v>3800</v>
      </c>
      <c r="I14" s="113">
        <f>IFERROR(VLOOKUP(CONCATENATE($A14,$AE$8,$A$10,$H$10),SexAge!$A:$L,6,FALSE),0)</f>
        <v>4200</v>
      </c>
      <c r="J14" s="106">
        <f>IFERROR(VLOOKUP(CONCATENATE($A14,$AE$8,$A$10,$H$10),SexAge!$A:$L,8,FALSE), 0)</f>
        <v>4600</v>
      </c>
      <c r="K14" s="18">
        <f t="shared" si="1"/>
        <v>600</v>
      </c>
      <c r="L14" s="18">
        <f t="shared" si="2"/>
        <v>600</v>
      </c>
      <c r="M14" s="18">
        <f t="shared" si="3"/>
        <v>600</v>
      </c>
      <c r="N14" s="18">
        <f t="shared" si="4"/>
        <v>700</v>
      </c>
      <c r="O14" s="113">
        <f t="shared" si="5"/>
        <v>400</v>
      </c>
      <c r="P14" s="113">
        <f t="shared" si="6"/>
        <v>400</v>
      </c>
      <c r="X14" s="81"/>
      <c r="Z14" s="5" t="str">
        <f t="shared" si="0"/>
        <v>NHS Lothian</v>
      </c>
      <c r="AA14" s="13" t="s">
        <v>43</v>
      </c>
      <c r="AD14" s="85"/>
      <c r="BL14" s="5">
        <f t="shared" si="7"/>
        <v>600</v>
      </c>
      <c r="BM14" s="5">
        <f t="shared" si="8"/>
        <v>600</v>
      </c>
      <c r="BN14" s="5">
        <f t="shared" si="9"/>
        <v>600</v>
      </c>
      <c r="BO14" s="5">
        <f t="shared" si="10"/>
        <v>700</v>
      </c>
      <c r="BP14" s="5">
        <f t="shared" si="11"/>
        <v>400</v>
      </c>
      <c r="BQ14" s="5">
        <f t="shared" si="12"/>
        <v>400</v>
      </c>
    </row>
    <row r="15" spans="1:72" x14ac:dyDescent="0.35">
      <c r="A15" s="36" t="s">
        <v>47</v>
      </c>
      <c r="B15" s="136">
        <f>IFERROR(VLOOKUP(CONCATENATE($A15,$AE$8,$A$10,$B$10),SexAge!$A:$L,7,FALSE), 0)</f>
        <v>7100</v>
      </c>
      <c r="C15" s="113">
        <f>IFERROR(VLOOKUP(CONCATENATE($A15,$AE$8,$A$10,$B$10),SexAge!$A:$L,6,FALSE),0)</f>
        <v>7600</v>
      </c>
      <c r="D15" s="106">
        <f>IFERROR(VLOOKUP(CONCATENATE($A15,$AE$8,$A$10,$B$10),SexAge!$A:$L,8,FALSE), 0)</f>
        <v>8100</v>
      </c>
      <c r="E15" s="136">
        <f>IFERROR(VLOOKUP(CONCATENATE($A15,$AE$8,$A$10,$E$10),SexAge!$A:$L,7,FALSE), 0)</f>
        <v>18400</v>
      </c>
      <c r="F15" s="113">
        <f>IFERROR(VLOOKUP(CONCATENATE($A15,$AE$8,$A$10,$E$10),SexAge!$A:$L,6,FALSE),0)</f>
        <v>18900</v>
      </c>
      <c r="G15" s="106">
        <f>IFERROR(VLOOKUP(CONCATENATE($A15,$AE$8,$A$10,$E$10),SexAge!$A:$L,8,FALSE), 0)</f>
        <v>19500</v>
      </c>
      <c r="H15" s="136">
        <f>IFERROR(VLOOKUP(CONCATENATE($A15,$AE$8,$A$10,$H$10),SexAge!$A:$L,7,FALSE),0)</f>
        <v>3900</v>
      </c>
      <c r="I15" s="113">
        <f>IFERROR(VLOOKUP(CONCATENATE($A15,$AE$8,$A$10,$H$10),SexAge!$A:$L,6,FALSE),0)</f>
        <v>4100</v>
      </c>
      <c r="J15" s="106">
        <f>IFERROR(VLOOKUP(CONCATENATE($A15,$AE$8,$A$10,$H$10),SexAge!$A:$L,8,FALSE), 0)</f>
        <v>4400</v>
      </c>
      <c r="K15" s="18">
        <f t="shared" si="1"/>
        <v>500</v>
      </c>
      <c r="L15" s="18">
        <f t="shared" si="2"/>
        <v>500</v>
      </c>
      <c r="M15" s="18">
        <f t="shared" si="3"/>
        <v>500</v>
      </c>
      <c r="N15" s="18">
        <f t="shared" si="4"/>
        <v>600</v>
      </c>
      <c r="O15" s="113">
        <f t="shared" si="5"/>
        <v>200</v>
      </c>
      <c r="P15" s="113">
        <f t="shared" si="6"/>
        <v>300</v>
      </c>
      <c r="Z15" s="5" t="str">
        <f t="shared" si="0"/>
        <v>NHS Tayside</v>
      </c>
      <c r="AA15" s="13" t="s">
        <v>45</v>
      </c>
      <c r="AD15" s="85"/>
      <c r="BL15" s="5">
        <f t="shared" si="7"/>
        <v>500</v>
      </c>
      <c r="BM15" s="5">
        <f t="shared" si="8"/>
        <v>500</v>
      </c>
      <c r="BN15" s="5">
        <f t="shared" si="9"/>
        <v>500</v>
      </c>
      <c r="BO15" s="5">
        <f t="shared" si="10"/>
        <v>600</v>
      </c>
      <c r="BP15" s="5">
        <f t="shared" si="11"/>
        <v>200</v>
      </c>
      <c r="BQ15" s="5">
        <f t="shared" si="12"/>
        <v>300</v>
      </c>
    </row>
    <row r="16" spans="1:72" x14ac:dyDescent="0.35">
      <c r="A16" s="36" t="s">
        <v>48</v>
      </c>
      <c r="B16" s="136">
        <f>IFERROR(VLOOKUP(CONCATENATE($A16,$AE$8,$A$10,$B$10),SexAge!$A:$L,7,FALSE), 0)</f>
        <v>6900</v>
      </c>
      <c r="C16" s="113">
        <f>IFERROR(VLOOKUP(CONCATENATE($A16,$AE$8,$A$10,$B$10),SexAge!$A:$L,6,FALSE),0)</f>
        <v>7400</v>
      </c>
      <c r="D16" s="106">
        <f>IFERROR(VLOOKUP(CONCATENATE($A16,$AE$8,$A$10,$B$10),SexAge!$A:$L,8,FALSE), 0)</f>
        <v>7900</v>
      </c>
      <c r="E16" s="136">
        <f>IFERROR(VLOOKUP(CONCATENATE($A16,$AE$8,$A$10,$E$10),SexAge!$A:$L,7,FALSE), 0)</f>
        <v>18200</v>
      </c>
      <c r="F16" s="113">
        <f>IFERROR(VLOOKUP(CONCATENATE($A16,$AE$8,$A$10,$E$10),SexAge!$A:$L,6,FALSE),0)</f>
        <v>18800</v>
      </c>
      <c r="G16" s="106">
        <f>IFERROR(VLOOKUP(CONCATENATE($A16,$AE$8,$A$10,$E$10),SexAge!$A:$L,8,FALSE), 0)</f>
        <v>19300</v>
      </c>
      <c r="H16" s="136">
        <f>IFERROR(VLOOKUP(CONCATENATE($A16,$AE$8,$A$10,$H$10),SexAge!$A:$L,7,FALSE),0)</f>
        <v>4600</v>
      </c>
      <c r="I16" s="113">
        <f>IFERROR(VLOOKUP(CONCATENATE($A16,$AE$8,$A$10,$H$10),SexAge!$A:$L,6,FALSE),0)</f>
        <v>4900</v>
      </c>
      <c r="J16" s="106">
        <f>IFERROR(VLOOKUP(CONCATENATE($A16,$AE$8,$A$10,$H$10),SexAge!$A:$L,8,FALSE), 0)</f>
        <v>5200</v>
      </c>
      <c r="K16" s="18">
        <f t="shared" si="1"/>
        <v>500</v>
      </c>
      <c r="L16" s="18">
        <f t="shared" si="2"/>
        <v>500</v>
      </c>
      <c r="M16" s="18">
        <f t="shared" si="3"/>
        <v>600</v>
      </c>
      <c r="N16" s="18">
        <f t="shared" si="4"/>
        <v>500</v>
      </c>
      <c r="O16" s="113">
        <f t="shared" si="5"/>
        <v>300</v>
      </c>
      <c r="P16" s="113">
        <f t="shared" si="6"/>
        <v>300</v>
      </c>
      <c r="AD16" s="85"/>
      <c r="BL16" s="5">
        <f t="shared" si="7"/>
        <v>500</v>
      </c>
      <c r="BM16" s="5">
        <f t="shared" si="8"/>
        <v>500</v>
      </c>
      <c r="BN16" s="5">
        <f t="shared" si="9"/>
        <v>600</v>
      </c>
      <c r="BO16" s="5">
        <f t="shared" si="10"/>
        <v>500</v>
      </c>
      <c r="BP16" s="5">
        <f t="shared" si="11"/>
        <v>300</v>
      </c>
      <c r="BQ16" s="5">
        <f t="shared" si="12"/>
        <v>300</v>
      </c>
    </row>
    <row r="17" spans="1:69" x14ac:dyDescent="0.35">
      <c r="A17" s="36" t="s">
        <v>49</v>
      </c>
      <c r="B17" s="136">
        <f>IFERROR(VLOOKUP(CONCATENATE($A17,$AE$8,$A$10,$B$10),SexAge!$A:$L,7,FALSE), 0)</f>
        <v>7300</v>
      </c>
      <c r="C17" s="113">
        <f>IFERROR(VLOOKUP(CONCATENATE($A17,$AE$8,$A$10,$B$10),SexAge!$A:$L,6,FALSE),0)</f>
        <v>7900</v>
      </c>
      <c r="D17" s="106">
        <f>IFERROR(VLOOKUP(CONCATENATE($A17,$AE$8,$A$10,$B$10),SexAge!$A:$L,8,FALSE), 0)</f>
        <v>8500</v>
      </c>
      <c r="E17" s="136">
        <f>IFERROR(VLOOKUP(CONCATENATE($A17,$AE$8,$A$10,$E$10),SexAge!$A:$L,7,FALSE), 0)</f>
        <v>18500</v>
      </c>
      <c r="F17" s="113">
        <f>IFERROR(VLOOKUP(CONCATENATE($A17,$AE$8,$A$10,$E$10),SexAge!$A:$L,6,FALSE),0)</f>
        <v>19100</v>
      </c>
      <c r="G17" s="106">
        <f>IFERROR(VLOOKUP(CONCATENATE($A17,$AE$8,$A$10,$E$10),SexAge!$A:$L,8,FALSE), 0)</f>
        <v>19800</v>
      </c>
      <c r="H17" s="136">
        <f>IFERROR(VLOOKUP(CONCATENATE($A17,$AE$8,$A$10,$H$10),SexAge!$A:$L,7,FALSE),0)</f>
        <v>5200</v>
      </c>
      <c r="I17" s="113">
        <f>IFERROR(VLOOKUP(CONCATENATE($A17,$AE$8,$A$10,$H$10),SexAge!$A:$L,6,FALSE),0)</f>
        <v>5500</v>
      </c>
      <c r="J17" s="106">
        <f>IFERROR(VLOOKUP(CONCATENATE($A17,$AE$8,$A$10,$H$10),SexAge!$A:$L,8,FALSE), 0)</f>
        <v>5800</v>
      </c>
      <c r="K17" s="18">
        <f t="shared" si="1"/>
        <v>600</v>
      </c>
      <c r="L17" s="18">
        <f t="shared" si="2"/>
        <v>600</v>
      </c>
      <c r="M17" s="18">
        <f t="shared" si="3"/>
        <v>600</v>
      </c>
      <c r="N17" s="18">
        <f t="shared" si="4"/>
        <v>700</v>
      </c>
      <c r="O17" s="113">
        <f t="shared" si="5"/>
        <v>300</v>
      </c>
      <c r="P17" s="113">
        <f t="shared" si="6"/>
        <v>300</v>
      </c>
      <c r="AD17" s="85"/>
      <c r="BL17" s="5">
        <f t="shared" si="7"/>
        <v>600</v>
      </c>
      <c r="BM17" s="5">
        <f t="shared" si="8"/>
        <v>600</v>
      </c>
      <c r="BN17" s="5">
        <f t="shared" si="9"/>
        <v>600</v>
      </c>
      <c r="BO17" s="5">
        <f t="shared" si="10"/>
        <v>700</v>
      </c>
      <c r="BP17" s="5">
        <f t="shared" si="11"/>
        <v>300</v>
      </c>
      <c r="BQ17" s="5">
        <f t="shared" si="12"/>
        <v>300</v>
      </c>
    </row>
    <row r="18" spans="1:69" x14ac:dyDescent="0.35">
      <c r="A18" s="36" t="s">
        <v>124</v>
      </c>
      <c r="B18" s="136">
        <f>IFERROR(VLOOKUP(CONCATENATE($A18,$AE$8,$A$10,$B$10),SexAge!$A:$L,7,FALSE), 0)</f>
        <v>7300</v>
      </c>
      <c r="C18" s="113">
        <f>IFERROR(VLOOKUP(CONCATENATE($A18,$AE$8,$A$10,$B$10),SexAge!$A:$L,6,FALSE),0)</f>
        <v>7900</v>
      </c>
      <c r="D18" s="106">
        <f>IFERROR(VLOOKUP(CONCATENATE($A18,$AE$8,$A$10,$B$10),SexAge!$A:$L,8,FALSE), 0)</f>
        <v>8500</v>
      </c>
      <c r="E18" s="136">
        <f>IFERROR(VLOOKUP(CONCATENATE($A18,$AE$8,$A$10,$E$10),SexAge!$A:$L,7,FALSE), 0)</f>
        <v>18300</v>
      </c>
      <c r="F18" s="113">
        <f>IFERROR(VLOOKUP(CONCATENATE($A18,$AE$8,$A$10,$E$10),SexAge!$A:$L,6,FALSE),0)</f>
        <v>18900</v>
      </c>
      <c r="G18" s="106">
        <f>IFERROR(VLOOKUP(CONCATENATE($A18,$AE$8,$A$10,$E$10),SexAge!$A:$L,8,FALSE), 0)</f>
        <v>19500</v>
      </c>
      <c r="H18" s="136">
        <f>IFERROR(VLOOKUP(CONCATENATE($A18,$AE$8,$A$10,$H$10),SexAge!$A:$L,7,FALSE),0)</f>
        <v>6200</v>
      </c>
      <c r="I18" s="113">
        <f>IFERROR(VLOOKUP(CONCATENATE($A18,$AE$8,$A$10,$H$10),SexAge!$A:$L,6,FALSE),0)</f>
        <v>6500</v>
      </c>
      <c r="J18" s="106">
        <f>IFERROR(VLOOKUP(CONCATENATE($A18,$AE$8,$A$10,$H$10),SexAge!$A:$L,8,FALSE), 0)</f>
        <v>6900</v>
      </c>
      <c r="K18" s="18">
        <f t="shared" ref="K18:K20" si="13">IFERROR(C18-B18, "X")</f>
        <v>600</v>
      </c>
      <c r="L18" s="18">
        <f t="shared" ref="L18:L20" si="14">IFERROR(D18-C18, "X")</f>
        <v>600</v>
      </c>
      <c r="M18" s="18">
        <f t="shared" ref="M18:M20" si="15">IFERROR(F18-E18, "X")</f>
        <v>600</v>
      </c>
      <c r="N18" s="18">
        <f t="shared" ref="N18:N20" si="16">IFERROR(G18-F18, "X")</f>
        <v>600</v>
      </c>
      <c r="O18" s="113">
        <f t="shared" ref="O18:O20" si="17">IFERROR(I18-H18, "X")</f>
        <v>300</v>
      </c>
      <c r="P18" s="113">
        <f t="shared" ref="P18:P20" si="18">IFERROR(J18-I18, "X")</f>
        <v>400</v>
      </c>
      <c r="AD18" s="85"/>
      <c r="BL18" s="5">
        <f t="shared" ref="BL18:BL20" si="19">IF(OR($K18 = "X",$L18="X"),"X", K18)</f>
        <v>600</v>
      </c>
      <c r="BM18" s="5">
        <f t="shared" ref="BM18:BM20" si="20">IF(OR($K18 = "X",$L18="X"),"X", L18)</f>
        <v>600</v>
      </c>
      <c r="BN18" s="5">
        <f t="shared" ref="BN18:BN20" si="21">IF(OR($M18 = "X",$N18="X"),"X", M18)</f>
        <v>600</v>
      </c>
      <c r="BO18" s="5">
        <f t="shared" ref="BO18:BO20" si="22">IF(OR($M18 = "X",$N18="X"),"X", N18)</f>
        <v>600</v>
      </c>
      <c r="BP18" s="5">
        <f t="shared" ref="BP18:BP20" si="23">IF(OR($O18 = "X",$P18="X"),"X", O18)</f>
        <v>300</v>
      </c>
      <c r="BQ18" s="5">
        <f t="shared" ref="BQ18:BQ20" si="24">IF(OR($O18 = "X",$P18="X"),"X", P18)</f>
        <v>400</v>
      </c>
    </row>
    <row r="19" spans="1:69" x14ac:dyDescent="0.35">
      <c r="A19" s="36" t="s">
        <v>125</v>
      </c>
      <c r="B19" s="136">
        <f>IFERROR(VLOOKUP(CONCATENATE($A19,$AE$8,$A$10,$B$10),SexAge!$A:$L,7,FALSE), 0)</f>
        <v>6500</v>
      </c>
      <c r="C19" s="113">
        <f>IFERROR(VLOOKUP(CONCATENATE($A19,$AE$8,$A$10,$B$10),SexAge!$A:$L,6,FALSE),0)</f>
        <v>7000</v>
      </c>
      <c r="D19" s="106">
        <f>IFERROR(VLOOKUP(CONCATENATE($A19,$AE$8,$A$10,$B$10),SexAge!$A:$L,8,FALSE), 0)</f>
        <v>7700</v>
      </c>
      <c r="E19" s="136">
        <f>IFERROR(VLOOKUP(CONCATENATE($A19,$AE$8,$A$10,$E$10),SexAge!$A:$L,7,FALSE), 0)</f>
        <v>17100</v>
      </c>
      <c r="F19" s="113">
        <f>IFERROR(VLOOKUP(CONCATENATE($A19,$AE$8,$A$10,$E$10),SexAge!$A:$L,6,FALSE),0)</f>
        <v>17700</v>
      </c>
      <c r="G19" s="106">
        <f>IFERROR(VLOOKUP(CONCATENATE($A19,$AE$8,$A$10,$E$10),SexAge!$A:$L,8,FALSE), 0)</f>
        <v>18400</v>
      </c>
      <c r="H19" s="136">
        <f>IFERROR(VLOOKUP(CONCATENATE($A19,$AE$8,$A$10,$H$10),SexAge!$A:$L,7,FALSE),0)</f>
        <v>6700</v>
      </c>
      <c r="I19" s="113">
        <f>IFERROR(VLOOKUP(CONCATENATE($A19,$AE$8,$A$10,$H$10),SexAge!$A:$L,6,FALSE),0)</f>
        <v>7000</v>
      </c>
      <c r="J19" s="106">
        <f>IFERROR(VLOOKUP(CONCATENATE($A19,$AE$8,$A$10,$H$10),SexAge!$A:$L,8,FALSE), 0)</f>
        <v>7500</v>
      </c>
      <c r="K19" s="18">
        <f t="shared" si="13"/>
        <v>500</v>
      </c>
      <c r="L19" s="18">
        <f t="shared" si="14"/>
        <v>700</v>
      </c>
      <c r="M19" s="18">
        <f t="shared" si="15"/>
        <v>600</v>
      </c>
      <c r="N19" s="18">
        <f t="shared" si="16"/>
        <v>700</v>
      </c>
      <c r="O19" s="113">
        <f t="shared" si="17"/>
        <v>300</v>
      </c>
      <c r="P19" s="113">
        <f t="shared" si="18"/>
        <v>500</v>
      </c>
      <c r="AD19" s="85"/>
      <c r="BL19" s="5">
        <f t="shared" si="19"/>
        <v>500</v>
      </c>
      <c r="BM19" s="5">
        <f t="shared" si="20"/>
        <v>700</v>
      </c>
      <c r="BN19" s="5">
        <f t="shared" si="21"/>
        <v>600</v>
      </c>
      <c r="BO19" s="5">
        <f t="shared" si="22"/>
        <v>700</v>
      </c>
      <c r="BP19" s="5">
        <f t="shared" si="23"/>
        <v>300</v>
      </c>
      <c r="BQ19" s="5">
        <f t="shared" si="24"/>
        <v>500</v>
      </c>
    </row>
    <row r="20" spans="1:69" x14ac:dyDescent="0.35">
      <c r="A20" s="36" t="s">
        <v>126</v>
      </c>
      <c r="B20" s="136">
        <f>IFERROR(VLOOKUP(CONCATENATE($A20,$AE$8,$A$10,$B$10),SexAge!$A:$L,7,FALSE), 0)</f>
        <v>5400</v>
      </c>
      <c r="C20" s="113">
        <f>IFERROR(VLOOKUP(CONCATENATE($A20,$AE$8,$A$10,$B$10),SexAge!$A:$L,6,FALSE),0)</f>
        <v>5900</v>
      </c>
      <c r="D20" s="106">
        <f>IFERROR(VLOOKUP(CONCATENATE($A20,$AE$8,$A$10,$B$10),SexAge!$A:$L,8,FALSE), 0)</f>
        <v>6400</v>
      </c>
      <c r="E20" s="136">
        <f>IFERROR(VLOOKUP(CONCATENATE($A20,$AE$8,$A$10,$E$10),SexAge!$A:$L,7,FALSE), 0)</f>
        <v>15800</v>
      </c>
      <c r="F20" s="113">
        <f>IFERROR(VLOOKUP(CONCATENATE($A20,$AE$8,$A$10,$E$10),SexAge!$A:$L,6,FALSE),0)</f>
        <v>16300</v>
      </c>
      <c r="G20" s="106">
        <f>IFERROR(VLOOKUP(CONCATENATE($A20,$AE$8,$A$10,$E$10),SexAge!$A:$L,8,FALSE), 0)</f>
        <v>16900</v>
      </c>
      <c r="H20" s="136">
        <f>IFERROR(VLOOKUP(CONCATENATE($A20,$AE$8,$A$10,$H$10),SexAge!$A:$L,7,FALSE),0)</f>
        <v>7200</v>
      </c>
      <c r="I20" s="113">
        <f>IFERROR(VLOOKUP(CONCATENATE($A20,$AE$8,$A$10,$H$10),SexAge!$A:$L,6,FALSE),0)</f>
        <v>7600</v>
      </c>
      <c r="J20" s="106">
        <f>IFERROR(VLOOKUP(CONCATENATE($A20,$AE$8,$A$10,$H$10),SexAge!$A:$L,8,FALSE), 0)</f>
        <v>8200</v>
      </c>
      <c r="K20" s="18">
        <f t="shared" si="13"/>
        <v>500</v>
      </c>
      <c r="L20" s="18">
        <f t="shared" si="14"/>
        <v>500</v>
      </c>
      <c r="M20" s="18">
        <f t="shared" si="15"/>
        <v>500</v>
      </c>
      <c r="N20" s="18">
        <f t="shared" si="16"/>
        <v>600</v>
      </c>
      <c r="O20" s="113">
        <f t="shared" si="17"/>
        <v>400</v>
      </c>
      <c r="P20" s="113">
        <f t="shared" si="18"/>
        <v>600</v>
      </c>
      <c r="AD20" s="85"/>
      <c r="BL20" s="5">
        <f t="shared" si="19"/>
        <v>500</v>
      </c>
      <c r="BM20" s="5">
        <f t="shared" si="20"/>
        <v>500</v>
      </c>
      <c r="BN20" s="5">
        <f t="shared" si="21"/>
        <v>500</v>
      </c>
      <c r="BO20" s="5">
        <f t="shared" si="22"/>
        <v>600</v>
      </c>
      <c r="BP20" s="5">
        <f t="shared" si="23"/>
        <v>400</v>
      </c>
      <c r="BQ20" s="5">
        <f t="shared" si="24"/>
        <v>600</v>
      </c>
    </row>
    <row r="21" spans="1:69" x14ac:dyDescent="0.35">
      <c r="A21" s="137"/>
      <c r="B21" s="35"/>
      <c r="C21" s="19"/>
      <c r="D21" s="21"/>
      <c r="E21" s="35"/>
      <c r="F21" s="19"/>
      <c r="G21" s="21"/>
      <c r="H21" s="35"/>
      <c r="I21" s="19"/>
      <c r="J21" s="21"/>
      <c r="AD21" s="85"/>
    </row>
    <row r="22" spans="1:69" ht="24" customHeight="1" x14ac:dyDescent="0.35">
      <c r="A22" s="41" t="s">
        <v>42</v>
      </c>
      <c r="B22" s="180" t="s">
        <v>56</v>
      </c>
      <c r="C22" s="166"/>
      <c r="D22" s="181"/>
      <c r="E22" s="166" t="s">
        <v>57</v>
      </c>
      <c r="F22" s="166"/>
      <c r="G22" s="166"/>
      <c r="H22" s="180" t="s">
        <v>58</v>
      </c>
      <c r="I22" s="166"/>
      <c r="J22" s="181"/>
      <c r="AD22" s="85"/>
      <c r="BL22" s="172" t="s">
        <v>56</v>
      </c>
      <c r="BM22" s="169"/>
      <c r="BN22" s="169" t="s">
        <v>57</v>
      </c>
      <c r="BO22" s="169"/>
      <c r="BP22" s="169" t="s">
        <v>58</v>
      </c>
      <c r="BQ22" s="169"/>
    </row>
    <row r="23" spans="1:69" ht="24" customHeight="1" x14ac:dyDescent="0.35">
      <c r="A23" s="40" t="s">
        <v>33</v>
      </c>
      <c r="B23" s="41" t="s">
        <v>34</v>
      </c>
      <c r="C23" s="133" t="s">
        <v>35</v>
      </c>
      <c r="D23" s="134" t="s">
        <v>36</v>
      </c>
      <c r="E23" s="133" t="s">
        <v>34</v>
      </c>
      <c r="F23" s="133" t="s">
        <v>35</v>
      </c>
      <c r="G23" s="133" t="s">
        <v>36</v>
      </c>
      <c r="H23" s="41" t="s">
        <v>34</v>
      </c>
      <c r="I23" s="133" t="s">
        <v>35</v>
      </c>
      <c r="J23" s="134" t="s">
        <v>36</v>
      </c>
      <c r="K23" t="s">
        <v>41</v>
      </c>
      <c r="L23" t="s">
        <v>40</v>
      </c>
      <c r="M23" t="s">
        <v>41</v>
      </c>
      <c r="N23" t="s">
        <v>40</v>
      </c>
      <c r="O23" t="s">
        <v>41</v>
      </c>
      <c r="P23" t="s">
        <v>40</v>
      </c>
      <c r="AD23" s="85"/>
      <c r="BL23" s="5" t="s">
        <v>40</v>
      </c>
      <c r="BM23" s="5" t="s">
        <v>41</v>
      </c>
      <c r="BN23" s="5" t="s">
        <v>40</v>
      </c>
      <c r="BO23" s="5" t="s">
        <v>41</v>
      </c>
      <c r="BP23" s="5" t="s">
        <v>40</v>
      </c>
      <c r="BQ23" s="5" t="s">
        <v>41</v>
      </c>
    </row>
    <row r="24" spans="1:69" x14ac:dyDescent="0.35">
      <c r="A24" s="36" t="s">
        <v>39</v>
      </c>
      <c r="B24" s="135">
        <f>IFERROR(VLOOKUP(CONCATENATE($A24,$AE$8,$A$22,$B$10),SexAge!$A:$L,7,FALSE), 0)</f>
        <v>6100</v>
      </c>
      <c r="C24" s="114">
        <f>IFERROR(VLOOKUP(CONCATENATE($A24,$AE$8,$A$22,$B$10),SexAge!$A:$L,6,FALSE),0)</f>
        <v>6400</v>
      </c>
      <c r="D24" s="107">
        <f>IFERROR(VLOOKUP(CONCATENATE($A24,$AE$8,$A$22,$B$10),SexAge!$A:$L,8,FALSE), 0)</f>
        <v>6700</v>
      </c>
      <c r="E24" s="135">
        <f>IFERROR(VLOOKUP(CONCATENATE($A24,$AE$8,$A$22,$E$10),SexAge!$A:$L,7,FALSE), 0)</f>
        <v>7400</v>
      </c>
      <c r="F24" s="114">
        <f>IFERROR(VLOOKUP(CONCATENATE($A24,$AE$8,$A$22,$E$10),SexAge!$A:$L,6,FALSE),0)</f>
        <v>7700</v>
      </c>
      <c r="G24" s="107">
        <f>IFERROR(VLOOKUP(CONCATENATE($A24,$AE$8,$A$22,$E$10),SexAge!$A:$L,8,FALSE), 0)</f>
        <v>8100</v>
      </c>
      <c r="H24" s="135">
        <f>IFERROR(VLOOKUP(CONCATENATE($A24,$AE$8,$A$22,$H$10),SexAge!$A:$L,7,FALSE), 0)</f>
        <v>1100</v>
      </c>
      <c r="I24" s="114">
        <f>IFERROR(VLOOKUP(CONCATENATE($A24,$AE$8,$A$22,$H$10),SexAge!$A:$L,6,FALSE),0)</f>
        <v>1200</v>
      </c>
      <c r="J24" s="107">
        <f>IFERROR(VLOOKUP(CONCATENATE($A24,$AE$8,$A$22,$H$10),SexAge!$A:$L,8,FALSE), 0)</f>
        <v>1400</v>
      </c>
      <c r="K24" s="18">
        <f>IFERROR(C24-B24, "X")</f>
        <v>300</v>
      </c>
      <c r="L24" s="18">
        <f>IFERROR(D24-C24, "X")</f>
        <v>300</v>
      </c>
      <c r="M24" s="18">
        <f>IFERROR(F24-E24, "X")</f>
        <v>300</v>
      </c>
      <c r="N24" s="18">
        <f>IFERROR(G24-F24, "X")</f>
        <v>400</v>
      </c>
      <c r="O24" s="113">
        <f>IFERROR(I24-H24, "X")</f>
        <v>100</v>
      </c>
      <c r="P24" s="113">
        <f>IFERROR(J24-I24, "X")</f>
        <v>200</v>
      </c>
      <c r="AD24" s="85"/>
      <c r="BL24" s="5">
        <f>IF(OR($K24 = "X",$L24="X"),"X", K24)</f>
        <v>300</v>
      </c>
      <c r="BM24" s="5">
        <f>IF(OR($K24 = "X",$L24="X"),"X", L24)</f>
        <v>300</v>
      </c>
      <c r="BN24" s="5">
        <f>IF(OR($M24 = "X",$N24="X"),"X", M24)</f>
        <v>300</v>
      </c>
      <c r="BO24" s="5">
        <f>IF(OR($M24 = "X",$N24="X"),"X", N24)</f>
        <v>400</v>
      </c>
      <c r="BP24" s="5">
        <f>IF(OR($O24 = "X",$P24="X"),"X", O24)</f>
        <v>100</v>
      </c>
      <c r="BQ24" s="5">
        <f>IF(OR($O24 = "X",$P24="X"),"X", P24)</f>
        <v>200</v>
      </c>
    </row>
    <row r="25" spans="1:69" x14ac:dyDescent="0.35">
      <c r="A25" s="36" t="s">
        <v>44</v>
      </c>
      <c r="B25" s="136">
        <f>IFERROR(VLOOKUP(CONCATENATE($A25,$AE$8,$A$22,$B$10),SexAge!$A:$L,7,FALSE), 0)</f>
        <v>5500</v>
      </c>
      <c r="C25" s="113">
        <f>IFERROR(VLOOKUP(CONCATENATE($A25,$AE$8,$A$22,$B$10),SexAge!$A:$L,6,FALSE),0)</f>
        <v>5700</v>
      </c>
      <c r="D25" s="106">
        <f>IFERROR(VLOOKUP(CONCATENATE($A25,$AE$8,$A$22,$B$10),SexAge!$A:$L,8,FALSE), 0)</f>
        <v>6000</v>
      </c>
      <c r="E25" s="136">
        <f>IFERROR(VLOOKUP(CONCATENATE($A25,$AE$8,$A$22,$E$10),SexAge!$A:$L,7,FALSE), 0)</f>
        <v>7600</v>
      </c>
      <c r="F25" s="113">
        <f>IFERROR(VLOOKUP(CONCATENATE($A25,$AE$8,$A$22,$E$10),SexAge!$A:$L,6,FALSE),0)</f>
        <v>7900</v>
      </c>
      <c r="G25" s="106">
        <f>IFERROR(VLOOKUP(CONCATENATE($A25,$AE$8,$A$22,$E$10),SexAge!$A:$L,8,FALSE), 0)</f>
        <v>8200</v>
      </c>
      <c r="H25" s="136">
        <f>IFERROR(VLOOKUP(CONCATENATE($A25,$AE$8,$A$22,$H$10),SexAge!$A:$L,7,FALSE), 0)</f>
        <v>1200</v>
      </c>
      <c r="I25" s="113">
        <f>IFERROR(VLOOKUP(CONCATENATE($A25,$AE$8,$A$22,$H$10),SexAge!$A:$L,6,FALSE),0)</f>
        <v>1400</v>
      </c>
      <c r="J25" s="106">
        <f>IFERROR(VLOOKUP(CONCATENATE($A25,$AE$8,$A$22,$H$10),SexAge!$A:$L,8,FALSE), 0)</f>
        <v>1500</v>
      </c>
      <c r="K25" s="18">
        <f t="shared" ref="K25:K29" si="25">IFERROR(C25-B25, "X")</f>
        <v>200</v>
      </c>
      <c r="L25" s="18">
        <f t="shared" ref="L25:L29" si="26">IFERROR(D25-C25, "X")</f>
        <v>300</v>
      </c>
      <c r="M25" s="18">
        <f t="shared" ref="M25:M29" si="27">IFERROR(F25-E25, "X")</f>
        <v>300</v>
      </c>
      <c r="N25" s="18">
        <f t="shared" ref="N25:N29" si="28">IFERROR(G25-F25, "X")</f>
        <v>300</v>
      </c>
      <c r="O25" s="113">
        <f t="shared" ref="O25:O29" si="29">IFERROR(I25-H25, "X")</f>
        <v>200</v>
      </c>
      <c r="P25" s="113">
        <f t="shared" ref="P25:P29" si="30">IFERROR(J25-I25, "X")</f>
        <v>100</v>
      </c>
      <c r="AD25" s="85"/>
      <c r="BL25" s="5">
        <f t="shared" ref="BL25:BL29" si="31">IF(OR($K25 = "X",$L25="X"),"X", K25)</f>
        <v>200</v>
      </c>
      <c r="BM25" s="5">
        <f t="shared" ref="BM25:BM29" si="32">IF(OR($K25 = "X",$L25="X"),"X", L25)</f>
        <v>300</v>
      </c>
      <c r="BN25" s="5">
        <f t="shared" ref="BN25:BN29" si="33">IF(OR($M25 = "X",$N25="X"),"X", M25)</f>
        <v>300</v>
      </c>
      <c r="BO25" s="5">
        <f t="shared" ref="BO25:BO29" si="34">IF(OR($M25 = "X",$N25="X"),"X", N25)</f>
        <v>300</v>
      </c>
      <c r="BP25" s="5">
        <f t="shared" ref="BP25:BP29" si="35">IF(OR($O25 = "X",$P25="X"),"X", O25)</f>
        <v>200</v>
      </c>
      <c r="BQ25" s="5">
        <f t="shared" ref="BQ25:BQ29" si="36">IF(OR($O25 = "X",$P25="X"),"X", P25)</f>
        <v>100</v>
      </c>
    </row>
    <row r="26" spans="1:69" x14ac:dyDescent="0.35">
      <c r="A26" s="36" t="s">
        <v>46</v>
      </c>
      <c r="B26" s="136">
        <f>IFERROR(VLOOKUP(CONCATENATE($A26,$AE$8,$A$22,$B$10),SexAge!$A:$L,7,FALSE), 0)</f>
        <v>4800</v>
      </c>
      <c r="C26" s="113">
        <f>IFERROR(VLOOKUP(CONCATENATE($A26,$AE$8,$A$22,$B$10),SexAge!$A:$L,6,FALSE),0)</f>
        <v>5100</v>
      </c>
      <c r="D26" s="106">
        <f>IFERROR(VLOOKUP(CONCATENATE($A26,$AE$8,$A$22,$B$10),SexAge!$A:$L,8,FALSE), 0)</f>
        <v>5300</v>
      </c>
      <c r="E26" s="136">
        <f>IFERROR(VLOOKUP(CONCATENATE($A26,$AE$8,$A$22,$E$10),SexAge!$A:$L,7,FALSE), 0)</f>
        <v>7800</v>
      </c>
      <c r="F26" s="113">
        <f>IFERROR(VLOOKUP(CONCATENATE($A26,$AE$8,$A$22,$E$10),SexAge!$A:$L,6,FALSE),0)</f>
        <v>8100</v>
      </c>
      <c r="G26" s="106">
        <f>IFERROR(VLOOKUP(CONCATENATE($A26,$AE$8,$A$22,$E$10),SexAge!$A:$L,8,FALSE), 0)</f>
        <v>8400</v>
      </c>
      <c r="H26" s="136">
        <f>IFERROR(VLOOKUP(CONCATENATE($A26,$AE$8,$A$22,$H$10),SexAge!$A:$L,7,FALSE), 0)</f>
        <v>1400</v>
      </c>
      <c r="I26" s="113">
        <f>IFERROR(VLOOKUP(CONCATENATE($A26,$AE$8,$A$22,$H$10),SexAge!$A:$L,6,FALSE),0)</f>
        <v>1500</v>
      </c>
      <c r="J26" s="106">
        <f>IFERROR(VLOOKUP(CONCATENATE($A26,$AE$8,$A$22,$H$10),SexAge!$A:$L,8,FALSE), 0)</f>
        <v>1700</v>
      </c>
      <c r="K26" s="18">
        <f t="shared" si="25"/>
        <v>300</v>
      </c>
      <c r="L26" s="18">
        <f t="shared" si="26"/>
        <v>200</v>
      </c>
      <c r="M26" s="18">
        <f t="shared" si="27"/>
        <v>300</v>
      </c>
      <c r="N26" s="18">
        <f t="shared" si="28"/>
        <v>300</v>
      </c>
      <c r="O26" s="113">
        <f t="shared" si="29"/>
        <v>100</v>
      </c>
      <c r="P26" s="113">
        <f t="shared" si="30"/>
        <v>200</v>
      </c>
      <c r="BL26" s="5">
        <f t="shared" si="31"/>
        <v>300</v>
      </c>
      <c r="BM26" s="5">
        <f t="shared" si="32"/>
        <v>200</v>
      </c>
      <c r="BN26" s="5">
        <f t="shared" si="33"/>
        <v>300</v>
      </c>
      <c r="BO26" s="5">
        <f t="shared" si="34"/>
        <v>300</v>
      </c>
      <c r="BP26" s="5">
        <f t="shared" si="35"/>
        <v>100</v>
      </c>
      <c r="BQ26" s="5">
        <f t="shared" si="36"/>
        <v>200</v>
      </c>
    </row>
    <row r="27" spans="1:69" x14ac:dyDescent="0.35">
      <c r="A27" s="36" t="s">
        <v>47</v>
      </c>
      <c r="B27" s="136">
        <f>IFERROR(VLOOKUP(CONCATENATE($A27,$AE$8,$A$22,$B$10),SexAge!$A:$L,7,FALSE), 0)</f>
        <v>4300</v>
      </c>
      <c r="C27" s="113">
        <f>IFERROR(VLOOKUP(CONCATENATE($A27,$AE$8,$A$22,$B$10),SexAge!$A:$L,6,FALSE),0)</f>
        <v>4500</v>
      </c>
      <c r="D27" s="106">
        <f>IFERROR(VLOOKUP(CONCATENATE($A27,$AE$8,$A$22,$B$10),SexAge!$A:$L,8,FALSE), 0)</f>
        <v>4700</v>
      </c>
      <c r="E27" s="136">
        <f>IFERROR(VLOOKUP(CONCATENATE($A27,$AE$8,$A$22,$E$10),SexAge!$A:$L,7,FALSE), 0)</f>
        <v>7800</v>
      </c>
      <c r="F27" s="113">
        <f>IFERROR(VLOOKUP(CONCATENATE($A27,$AE$8,$A$22,$E$10),SexAge!$A:$L,6,FALSE),0)</f>
        <v>8100</v>
      </c>
      <c r="G27" s="106">
        <f>IFERROR(VLOOKUP(CONCATENATE($A27,$AE$8,$A$22,$E$10),SexAge!$A:$L,8,FALSE), 0)</f>
        <v>8400</v>
      </c>
      <c r="H27" s="136">
        <f>IFERROR(VLOOKUP(CONCATENATE($A27,$AE$8,$A$22,$H$10),SexAge!$A:$L,7,FALSE), 0)</f>
        <v>1400</v>
      </c>
      <c r="I27" s="113">
        <f>IFERROR(VLOOKUP(CONCATENATE($A27,$AE$8,$A$22,$H$10),SexAge!$A:$L,6,FALSE),0)</f>
        <v>1500</v>
      </c>
      <c r="J27" s="106">
        <f>IFERROR(VLOOKUP(CONCATENATE($A27,$AE$8,$A$22,$H$10),SexAge!$A:$L,8,FALSE), 0)</f>
        <v>1600</v>
      </c>
      <c r="K27" s="18">
        <f t="shared" si="25"/>
        <v>200</v>
      </c>
      <c r="L27" s="18">
        <f t="shared" si="26"/>
        <v>200</v>
      </c>
      <c r="M27" s="18">
        <f t="shared" si="27"/>
        <v>300</v>
      </c>
      <c r="N27" s="18">
        <f t="shared" si="28"/>
        <v>300</v>
      </c>
      <c r="O27" s="113">
        <f t="shared" si="29"/>
        <v>100</v>
      </c>
      <c r="P27" s="113">
        <f t="shared" si="30"/>
        <v>100</v>
      </c>
      <c r="BL27" s="5">
        <f t="shared" si="31"/>
        <v>200</v>
      </c>
      <c r="BM27" s="5">
        <f t="shared" si="32"/>
        <v>200</v>
      </c>
      <c r="BN27" s="5">
        <f t="shared" si="33"/>
        <v>300</v>
      </c>
      <c r="BO27" s="5">
        <f t="shared" si="34"/>
        <v>300</v>
      </c>
      <c r="BP27" s="5">
        <f t="shared" si="35"/>
        <v>100</v>
      </c>
      <c r="BQ27" s="5">
        <f t="shared" si="36"/>
        <v>100</v>
      </c>
    </row>
    <row r="28" spans="1:69" x14ac:dyDescent="0.35">
      <c r="A28" s="36" t="s">
        <v>48</v>
      </c>
      <c r="B28" s="136">
        <f>IFERROR(VLOOKUP(CONCATENATE($A28,$AE$8,$A$22,$B$10),SexAge!$A:$L,7,FALSE), 0)</f>
        <v>4000</v>
      </c>
      <c r="C28" s="113">
        <f>IFERROR(VLOOKUP(CONCATENATE($A28,$AE$8,$A$22,$B$10),SexAge!$A:$L,6,FALSE),0)</f>
        <v>4200</v>
      </c>
      <c r="D28" s="106">
        <f>IFERROR(VLOOKUP(CONCATENATE($A28,$AE$8,$A$22,$B$10),SexAge!$A:$L,8,FALSE), 0)</f>
        <v>4400</v>
      </c>
      <c r="E28" s="136">
        <f>IFERROR(VLOOKUP(CONCATENATE($A28,$AE$8,$A$22,$E$10),SexAge!$A:$L,7,FALSE), 0)</f>
        <v>8000</v>
      </c>
      <c r="F28" s="113">
        <f>IFERROR(VLOOKUP(CONCATENATE($A28,$AE$8,$A$22,$E$10),SexAge!$A:$L,6,FALSE),0)</f>
        <v>8200</v>
      </c>
      <c r="G28" s="106">
        <f>IFERROR(VLOOKUP(CONCATENATE($A28,$AE$8,$A$22,$E$10),SexAge!$A:$L,8,FALSE), 0)</f>
        <v>8500</v>
      </c>
      <c r="H28" s="136">
        <f>IFERROR(VLOOKUP(CONCATENATE($A28,$AE$8,$A$22,$H$10),SexAge!$A:$L,7,FALSE), 0)</f>
        <v>1700</v>
      </c>
      <c r="I28" s="113">
        <f>IFERROR(VLOOKUP(CONCATENATE($A28,$AE$8,$A$22,$H$10),SexAge!$A:$L,6,FALSE),0)</f>
        <v>1800</v>
      </c>
      <c r="J28" s="106">
        <f>IFERROR(VLOOKUP(CONCATENATE($A28,$AE$8,$A$22,$H$10),SexAge!$A:$L,8,FALSE), 0)</f>
        <v>1900</v>
      </c>
      <c r="K28" s="18">
        <f t="shared" si="25"/>
        <v>200</v>
      </c>
      <c r="L28" s="18">
        <f t="shared" si="26"/>
        <v>200</v>
      </c>
      <c r="M28" s="18">
        <f t="shared" si="27"/>
        <v>200</v>
      </c>
      <c r="N28" s="18">
        <f t="shared" si="28"/>
        <v>300</v>
      </c>
      <c r="O28" s="113">
        <f t="shared" si="29"/>
        <v>100</v>
      </c>
      <c r="P28" s="113">
        <f t="shared" si="30"/>
        <v>100</v>
      </c>
      <c r="BL28" s="5">
        <f t="shared" si="31"/>
        <v>200</v>
      </c>
      <c r="BM28" s="5">
        <f t="shared" si="32"/>
        <v>200</v>
      </c>
      <c r="BN28" s="5">
        <f t="shared" si="33"/>
        <v>200</v>
      </c>
      <c r="BO28" s="5">
        <f t="shared" si="34"/>
        <v>300</v>
      </c>
      <c r="BP28" s="5">
        <f t="shared" si="35"/>
        <v>100</v>
      </c>
      <c r="BQ28" s="5">
        <f t="shared" si="36"/>
        <v>100</v>
      </c>
    </row>
    <row r="29" spans="1:69" x14ac:dyDescent="0.35">
      <c r="A29" s="36" t="s">
        <v>49</v>
      </c>
      <c r="B29" s="136">
        <f>IFERROR(VLOOKUP(CONCATENATE($A29,$AE$8,$A$22,$B$10),SexAge!$A:$L,7,FALSE), 0)</f>
        <v>3900</v>
      </c>
      <c r="C29" s="113">
        <f>IFERROR(VLOOKUP(CONCATENATE($A29,$AE$8,$A$22,$B$10),SexAge!$A:$L,6,FALSE),0)</f>
        <v>4100</v>
      </c>
      <c r="D29" s="106">
        <f>IFERROR(VLOOKUP(CONCATENATE($A29,$AE$8,$A$22,$B$10),SexAge!$A:$L,8,FALSE), 0)</f>
        <v>4400</v>
      </c>
      <c r="E29" s="136">
        <f>IFERROR(VLOOKUP(CONCATENATE($A29,$AE$8,$A$22,$E$10),SexAge!$A:$L,7,FALSE), 0)</f>
        <v>8200</v>
      </c>
      <c r="F29" s="113">
        <f>IFERROR(VLOOKUP(CONCATENATE($A29,$AE$8,$A$22,$E$10),SexAge!$A:$L,6,FALSE),0)</f>
        <v>8500</v>
      </c>
      <c r="G29" s="106">
        <f>IFERROR(VLOOKUP(CONCATENATE($A29,$AE$8,$A$22,$E$10),SexAge!$A:$L,8,FALSE), 0)</f>
        <v>8800</v>
      </c>
      <c r="H29" s="136">
        <f>IFERROR(VLOOKUP(CONCATENATE($A29,$AE$8,$A$22,$H$10),SexAge!$A:$L,7,FALSE), 0)</f>
        <v>1800</v>
      </c>
      <c r="I29" s="113">
        <f>IFERROR(VLOOKUP(CONCATENATE($A29,$AE$8,$A$22,$H$10),SexAge!$A:$L,6,FALSE),0)</f>
        <v>2000</v>
      </c>
      <c r="J29" s="106">
        <f>IFERROR(VLOOKUP(CONCATENATE($A29,$AE$8,$A$22,$H$10),SexAge!$A:$L,8,FALSE), 0)</f>
        <v>2100</v>
      </c>
      <c r="K29" s="18">
        <f t="shared" si="25"/>
        <v>200</v>
      </c>
      <c r="L29" s="18">
        <f t="shared" si="26"/>
        <v>300</v>
      </c>
      <c r="M29" s="18">
        <f t="shared" si="27"/>
        <v>300</v>
      </c>
      <c r="N29" s="18">
        <f t="shared" si="28"/>
        <v>300</v>
      </c>
      <c r="O29" s="113">
        <f t="shared" si="29"/>
        <v>200</v>
      </c>
      <c r="P29" s="113">
        <f t="shared" si="30"/>
        <v>100</v>
      </c>
      <c r="BL29" s="5">
        <f t="shared" si="31"/>
        <v>200</v>
      </c>
      <c r="BM29" s="5">
        <f t="shared" si="32"/>
        <v>300</v>
      </c>
      <c r="BN29" s="5">
        <f t="shared" si="33"/>
        <v>300</v>
      </c>
      <c r="BO29" s="5">
        <f t="shared" si="34"/>
        <v>300</v>
      </c>
      <c r="BP29" s="5">
        <f t="shared" si="35"/>
        <v>200</v>
      </c>
      <c r="BQ29" s="5">
        <f t="shared" si="36"/>
        <v>100</v>
      </c>
    </row>
    <row r="30" spans="1:69" x14ac:dyDescent="0.35">
      <c r="A30" s="36" t="s">
        <v>124</v>
      </c>
      <c r="B30" s="136">
        <f>IFERROR(VLOOKUP(CONCATENATE($A30,$AE$8,$A$22,$B$10),SexAge!$A:$L,7,FALSE), 0)</f>
        <v>3700</v>
      </c>
      <c r="C30" s="113">
        <f>IFERROR(VLOOKUP(CONCATENATE($A30,$AE$8,$A$22,$B$10),SexAge!$A:$L,6,FALSE),0)</f>
        <v>4000</v>
      </c>
      <c r="D30" s="106">
        <f>IFERROR(VLOOKUP(CONCATENATE($A30,$AE$8,$A$22,$B$10),SexAge!$A:$L,8,FALSE), 0)</f>
        <v>4200</v>
      </c>
      <c r="E30" s="136">
        <f>IFERROR(VLOOKUP(CONCATENATE($A30,$AE$8,$A$22,$E$10),SexAge!$A:$L,7,FALSE), 0)</f>
        <v>8300</v>
      </c>
      <c r="F30" s="113">
        <f>IFERROR(VLOOKUP(CONCATENATE($A30,$AE$8,$A$22,$E$10),SexAge!$A:$L,6,FALSE),0)</f>
        <v>8600</v>
      </c>
      <c r="G30" s="106">
        <f>IFERROR(VLOOKUP(CONCATENATE($A30,$AE$8,$A$22,$E$10),SexAge!$A:$L,8,FALSE), 0)</f>
        <v>8900</v>
      </c>
      <c r="H30" s="136">
        <f>IFERROR(VLOOKUP(CONCATENATE($A30,$AE$8,$A$22,$H$10),SexAge!$A:$L,7,FALSE), 0)</f>
        <v>2100</v>
      </c>
      <c r="I30" s="113">
        <f>IFERROR(VLOOKUP(CONCATENATE($A30,$AE$8,$A$22,$H$10),SexAge!$A:$L,6,FALSE),0)</f>
        <v>2300</v>
      </c>
      <c r="J30" s="106">
        <f>IFERROR(VLOOKUP(CONCATENATE($A30,$AE$8,$A$22,$H$10),SexAge!$A:$L,8,FALSE), 0)</f>
        <v>2500</v>
      </c>
      <c r="K30" s="18">
        <f t="shared" ref="K30:K32" si="37">IFERROR(C30-B30, "X")</f>
        <v>300</v>
      </c>
      <c r="L30" s="18">
        <f t="shared" ref="L30:L32" si="38">IFERROR(D30-C30, "X")</f>
        <v>200</v>
      </c>
      <c r="M30" s="18">
        <f t="shared" ref="M30:M32" si="39">IFERROR(F30-E30, "X")</f>
        <v>300</v>
      </c>
      <c r="N30" s="18">
        <f t="shared" ref="N30:N32" si="40">IFERROR(G30-F30, "X")</f>
        <v>300</v>
      </c>
      <c r="O30" s="113">
        <f t="shared" ref="O30:O32" si="41">IFERROR(I30-H30, "X")</f>
        <v>200</v>
      </c>
      <c r="P30" s="113">
        <f t="shared" ref="P30:P32" si="42">IFERROR(J30-I30, "X")</f>
        <v>200</v>
      </c>
      <c r="AD30" s="85"/>
      <c r="BL30" s="5">
        <f t="shared" ref="BL30:BL32" si="43">IF(OR($K30 = "X",$L30="X"),"X", K30)</f>
        <v>300</v>
      </c>
      <c r="BM30" s="5">
        <f t="shared" ref="BM30:BM32" si="44">IF(OR($K30 = "X",$L30="X"),"X", L30)</f>
        <v>200</v>
      </c>
      <c r="BN30" s="5">
        <f t="shared" ref="BN30:BN32" si="45">IF(OR($M30 = "X",$N30="X"),"X", M30)</f>
        <v>300</v>
      </c>
      <c r="BO30" s="5">
        <f t="shared" ref="BO30:BO32" si="46">IF(OR($M30 = "X",$N30="X"),"X", N30)</f>
        <v>300</v>
      </c>
      <c r="BP30" s="5">
        <f t="shared" ref="BP30:BP32" si="47">IF(OR($O30 = "X",$P30="X"),"X", O30)</f>
        <v>200</v>
      </c>
      <c r="BQ30" s="5">
        <f t="shared" ref="BQ30:BQ32" si="48">IF(OR($O30 = "X",$P30="X"),"X", P30)</f>
        <v>200</v>
      </c>
    </row>
    <row r="31" spans="1:69" x14ac:dyDescent="0.35">
      <c r="A31" s="36" t="s">
        <v>125</v>
      </c>
      <c r="B31" s="136">
        <f>IFERROR(VLOOKUP(CONCATENATE($A31,$AE$8,$A$22,$B$10),SexAge!$A:$L,7,FALSE), 0)</f>
        <v>3300</v>
      </c>
      <c r="C31" s="113">
        <f>IFERROR(VLOOKUP(CONCATENATE($A31,$AE$8,$A$22,$B$10),SexAge!$A:$L,6,FALSE),0)</f>
        <v>3500</v>
      </c>
      <c r="D31" s="106">
        <f>IFERROR(VLOOKUP(CONCATENATE($A31,$AE$8,$A$22,$B$10),SexAge!$A:$L,8,FALSE), 0)</f>
        <v>3800</v>
      </c>
      <c r="E31" s="136">
        <f>IFERROR(VLOOKUP(CONCATENATE($A31,$AE$8,$A$22,$E$10),SexAge!$A:$L,7,FALSE), 0)</f>
        <v>8100</v>
      </c>
      <c r="F31" s="113">
        <f>IFERROR(VLOOKUP(CONCATENATE($A31,$AE$8,$A$22,$E$10),SexAge!$A:$L,6,FALSE),0)</f>
        <v>8300</v>
      </c>
      <c r="G31" s="106">
        <f>IFERROR(VLOOKUP(CONCATENATE($A31,$AE$8,$A$22,$E$10),SexAge!$A:$L,8,FALSE), 0)</f>
        <v>8600</v>
      </c>
      <c r="H31" s="136">
        <f>IFERROR(VLOOKUP(CONCATENATE($A31,$AE$8,$A$22,$H$10),SexAge!$A:$L,7,FALSE), 0)</f>
        <v>2300</v>
      </c>
      <c r="I31" s="113">
        <f>IFERROR(VLOOKUP(CONCATENATE($A31,$AE$8,$A$22,$H$10),SexAge!$A:$L,6,FALSE),0)</f>
        <v>2500</v>
      </c>
      <c r="J31" s="106">
        <f>IFERROR(VLOOKUP(CONCATENATE($A31,$AE$8,$A$22,$H$10),SexAge!$A:$L,8,FALSE), 0)</f>
        <v>2600</v>
      </c>
      <c r="K31" s="18">
        <f t="shared" si="37"/>
        <v>200</v>
      </c>
      <c r="L31" s="18">
        <f t="shared" si="38"/>
        <v>300</v>
      </c>
      <c r="M31" s="18">
        <f t="shared" si="39"/>
        <v>200</v>
      </c>
      <c r="N31" s="18">
        <f t="shared" si="40"/>
        <v>300</v>
      </c>
      <c r="O31" s="113">
        <f t="shared" si="41"/>
        <v>200</v>
      </c>
      <c r="P31" s="113">
        <f t="shared" si="42"/>
        <v>100</v>
      </c>
      <c r="AD31" s="85"/>
      <c r="BL31" s="5">
        <f t="shared" si="43"/>
        <v>200</v>
      </c>
      <c r="BM31" s="5">
        <f t="shared" si="44"/>
        <v>300</v>
      </c>
      <c r="BN31" s="5">
        <f t="shared" si="45"/>
        <v>200</v>
      </c>
      <c r="BO31" s="5">
        <f t="shared" si="46"/>
        <v>300</v>
      </c>
      <c r="BP31" s="5">
        <f t="shared" si="47"/>
        <v>200</v>
      </c>
      <c r="BQ31" s="5">
        <f t="shared" si="48"/>
        <v>100</v>
      </c>
    </row>
    <row r="32" spans="1:69" x14ac:dyDescent="0.35">
      <c r="A32" s="36" t="s">
        <v>126</v>
      </c>
      <c r="B32" s="136">
        <f>IFERROR(VLOOKUP(CONCATENATE($A32,$AE$8,$A$22,$B$10),SexAge!$A:$L,7,FALSE), 0)</f>
        <v>2800</v>
      </c>
      <c r="C32" s="113">
        <f>IFERROR(VLOOKUP(CONCATENATE($A32,$AE$8,$A$22,$B$10),SexAge!$A:$L,6,FALSE),0)</f>
        <v>3000</v>
      </c>
      <c r="D32" s="106">
        <f>IFERROR(VLOOKUP(CONCATENATE($A32,$AE$8,$A$22,$B$10),SexAge!$A:$L,8,FALSE), 0)</f>
        <v>3200</v>
      </c>
      <c r="E32" s="136">
        <f>IFERROR(VLOOKUP(CONCATENATE($A32,$AE$8,$A$22,$E$10),SexAge!$A:$L,7,FALSE), 0)</f>
        <v>7700</v>
      </c>
      <c r="F32" s="113">
        <f>IFERROR(VLOOKUP(CONCATENATE($A32,$AE$8,$A$22,$E$10),SexAge!$A:$L,6,FALSE),0)</f>
        <v>7900</v>
      </c>
      <c r="G32" s="106">
        <f>IFERROR(VLOOKUP(CONCATENATE($A32,$AE$8,$A$22,$E$10),SexAge!$A:$L,8,FALSE), 0)</f>
        <v>8200</v>
      </c>
      <c r="H32" s="136">
        <f>IFERROR(VLOOKUP(CONCATENATE($A32,$AE$8,$A$22,$H$10),SexAge!$A:$L,7,FALSE), 0)</f>
        <v>2500</v>
      </c>
      <c r="I32" s="113">
        <f>IFERROR(VLOOKUP(CONCATENATE($A32,$AE$8,$A$22,$H$10),SexAge!$A:$L,6,FALSE),0)</f>
        <v>2700</v>
      </c>
      <c r="J32" s="106">
        <f>IFERROR(VLOOKUP(CONCATENATE($A32,$AE$8,$A$22,$H$10),SexAge!$A:$L,8,FALSE), 0)</f>
        <v>2900</v>
      </c>
      <c r="K32" s="18">
        <f t="shared" si="37"/>
        <v>200</v>
      </c>
      <c r="L32" s="18">
        <f t="shared" si="38"/>
        <v>200</v>
      </c>
      <c r="M32" s="18">
        <f t="shared" si="39"/>
        <v>200</v>
      </c>
      <c r="N32" s="18">
        <f t="shared" si="40"/>
        <v>300</v>
      </c>
      <c r="O32" s="113">
        <f t="shared" si="41"/>
        <v>200</v>
      </c>
      <c r="P32" s="113">
        <f t="shared" si="42"/>
        <v>200</v>
      </c>
      <c r="AD32" s="85"/>
      <c r="BL32" s="5">
        <f t="shared" si="43"/>
        <v>200</v>
      </c>
      <c r="BM32" s="5">
        <f t="shared" si="44"/>
        <v>200</v>
      </c>
      <c r="BN32" s="5">
        <f t="shared" si="45"/>
        <v>200</v>
      </c>
      <c r="BO32" s="5">
        <f t="shared" si="46"/>
        <v>300</v>
      </c>
      <c r="BP32" s="5">
        <f t="shared" si="47"/>
        <v>200</v>
      </c>
      <c r="BQ32" s="5">
        <f t="shared" si="48"/>
        <v>200</v>
      </c>
    </row>
    <row r="33" spans="1:69" x14ac:dyDescent="0.35">
      <c r="A33" s="25"/>
      <c r="B33" s="35"/>
      <c r="C33" s="19"/>
      <c r="D33" s="21"/>
      <c r="E33" s="35"/>
      <c r="F33" s="19"/>
      <c r="G33" s="21"/>
      <c r="H33" s="35"/>
      <c r="I33" s="19"/>
      <c r="J33" s="21"/>
    </row>
    <row r="34" spans="1:69" x14ac:dyDescent="0.35">
      <c r="V34" s="16"/>
    </row>
    <row r="35" spans="1:69" ht="24" customHeight="1" x14ac:dyDescent="0.35">
      <c r="A35" s="128" t="s">
        <v>50</v>
      </c>
      <c r="B35" s="5"/>
      <c r="C35" s="5"/>
      <c r="D35" s="5"/>
      <c r="E35" s="5"/>
      <c r="F35" s="5"/>
      <c r="G35" s="5"/>
      <c r="H35" s="5"/>
      <c r="I35" s="5"/>
      <c r="J35" s="5"/>
      <c r="V35" s="16"/>
    </row>
    <row r="36" spans="1:69" ht="24" customHeight="1" x14ac:dyDescent="0.35">
      <c r="A36" s="129" t="s">
        <v>26</v>
      </c>
      <c r="B36" s="171" t="s">
        <v>55</v>
      </c>
      <c r="C36" s="167"/>
      <c r="D36" s="167"/>
      <c r="E36" s="167"/>
      <c r="F36" s="167"/>
      <c r="G36" s="167"/>
      <c r="H36" s="167"/>
      <c r="I36" s="167"/>
      <c r="J36" s="168"/>
    </row>
    <row r="37" spans="1:69" ht="24" customHeight="1" x14ac:dyDescent="0.35">
      <c r="A37" s="130" t="s">
        <v>37</v>
      </c>
      <c r="B37" s="167" t="s">
        <v>56</v>
      </c>
      <c r="C37" s="167"/>
      <c r="D37" s="168"/>
      <c r="E37" s="167" t="s">
        <v>57</v>
      </c>
      <c r="F37" s="167"/>
      <c r="G37" s="168"/>
      <c r="H37" s="167" t="s">
        <v>58</v>
      </c>
      <c r="I37" s="167"/>
      <c r="J37" s="168"/>
    </row>
    <row r="38" spans="1:69" ht="24" customHeight="1" x14ac:dyDescent="0.35">
      <c r="A38" s="130" t="s">
        <v>33</v>
      </c>
      <c r="B38" s="138" t="s">
        <v>34</v>
      </c>
      <c r="C38" s="139" t="s">
        <v>35</v>
      </c>
      <c r="D38" s="140" t="s">
        <v>36</v>
      </c>
      <c r="E38" s="139" t="s">
        <v>34</v>
      </c>
      <c r="F38" s="139" t="s">
        <v>35</v>
      </c>
      <c r="G38" s="139" t="s">
        <v>36</v>
      </c>
      <c r="H38" s="138" t="s">
        <v>34</v>
      </c>
      <c r="I38" s="139" t="s">
        <v>35</v>
      </c>
      <c r="J38" s="140" t="s">
        <v>36</v>
      </c>
      <c r="K38" t="s">
        <v>41</v>
      </c>
      <c r="L38" t="s">
        <v>40</v>
      </c>
      <c r="M38" t="s">
        <v>41</v>
      </c>
      <c r="N38" t="s">
        <v>40</v>
      </c>
      <c r="O38" t="s">
        <v>41</v>
      </c>
      <c r="P38" t="s">
        <v>40</v>
      </c>
    </row>
    <row r="39" spans="1:69" x14ac:dyDescent="0.35">
      <c r="A39" s="36" t="s">
        <v>39</v>
      </c>
      <c r="B39" s="141">
        <f>IFERROR(VLOOKUP(CONCATENATE(A39,$AE$8,$A$10,$B$10),SexAge!$A:$L,10,FALSE),0)</f>
        <v>1.46E-2</v>
      </c>
      <c r="C39" s="15">
        <f>IFERROR(VLOOKUP(CONCATENATE(A39,$AE$8,$A$10,$B$10),SexAge!$A:$L,9,FALSE),0)</f>
        <v>1.5599999999999999E-2</v>
      </c>
      <c r="D39" s="142">
        <f>IFERROR(VLOOKUP(CONCATENATE(A39,$AE$8,$A$10,$B$10),SexAge!$A:$L,11,FALSE),0)</f>
        <v>1.6799999999999999E-2</v>
      </c>
      <c r="E39" s="15">
        <f>IFERROR(VLOOKUP(CONCATENATE(A39,$AE$8,$A$10,$E$10),SexAge!$A:$L,10,FALSE),0)</f>
        <v>3.5099999999999999E-2</v>
      </c>
      <c r="F39" s="15">
        <f>IFERROR(VLOOKUP(CONCATENATE(A39,$AE$8,$A$10,$E$10),SexAge!$A:$L,9,FALSE),0)</f>
        <v>3.6600000000000001E-2</v>
      </c>
      <c r="G39" s="15">
        <f>IFERROR(VLOOKUP(CONCATENATE(A39,$AE$8,$A$10,$E$10),SexAge!$A:$L,11,FALSE),0)</f>
        <v>3.8300000000000001E-2</v>
      </c>
      <c r="H39" s="141">
        <f>IFERROR(VLOOKUP(CONCATENATE(A39,$AE$8,$A$10,$H$10),SexAge!$A:$L,10,FALSE),0)</f>
        <v>5.5999999999999999E-3</v>
      </c>
      <c r="I39" s="15">
        <f>IFERROR(VLOOKUP(CONCATENATE(A39,$AE$8,$A$10,$H$10),SexAge!$A:$L,9,FALSE),0)</f>
        <v>6.4000000000000003E-3</v>
      </c>
      <c r="J39" s="142">
        <f>IFERROR(VLOOKUP(CONCATENATE(A39,$AE$8,$A$10,$H$10),SexAge!$A:$L,11,FALSE),0)</f>
        <v>7.1999999999999998E-3</v>
      </c>
      <c r="K39" s="1">
        <f t="shared" ref="K39:L39" si="49">C39-B39</f>
        <v>9.9999999999999915E-4</v>
      </c>
      <c r="L39" s="1">
        <f t="shared" si="49"/>
        <v>1.1999999999999997E-3</v>
      </c>
      <c r="M39" s="1">
        <f t="shared" ref="M39:N39" si="50">F39-E39</f>
        <v>1.5000000000000013E-3</v>
      </c>
      <c r="N39" s="1">
        <f t="shared" si="50"/>
        <v>1.7000000000000001E-3</v>
      </c>
      <c r="O39" s="1">
        <f t="shared" ref="O39:P39" si="51">I39-H39</f>
        <v>8.0000000000000036E-4</v>
      </c>
      <c r="P39" s="1">
        <f t="shared" si="51"/>
        <v>7.999999999999995E-4</v>
      </c>
    </row>
    <row r="40" spans="1:69" x14ac:dyDescent="0.35">
      <c r="A40" s="36" t="s">
        <v>44</v>
      </c>
      <c r="B40" s="141">
        <f>IFERROR(VLOOKUP(CONCATENATE(A40,$AE$8,$A$10,$B$10),SexAge!$A:$L,10,FALSE),0)</f>
        <v>1.3100000000000001E-2</v>
      </c>
      <c r="C40" s="15">
        <f>IFERROR(VLOOKUP(CONCATENATE(A40,$AE$8,$A$10,$B$10),SexAge!$A:$L,9,FALSE),0)</f>
        <v>1.4E-2</v>
      </c>
      <c r="D40" s="142">
        <f>IFERROR(VLOOKUP(CONCATENATE(A40,$AE$8,$A$10,$B$10),SexAge!$A:$L,11,FALSE),0)</f>
        <v>1.5100000000000001E-2</v>
      </c>
      <c r="E40" s="15">
        <f>IFERROR(VLOOKUP(CONCATENATE(A40,$AE$8,$A$10,$E$10),SexAge!$A:$L,10,FALSE),0)</f>
        <v>3.5499999999999997E-2</v>
      </c>
      <c r="F40" s="15">
        <f>IFERROR(VLOOKUP(CONCATENATE(A40,$AE$8,$A$10,$E$10),SexAge!$A:$L,9,FALSE),0)</f>
        <v>3.6799999999999999E-2</v>
      </c>
      <c r="G40" s="15">
        <f>IFERROR(VLOOKUP(CONCATENATE(A40,$AE$8,$A$10,$E$10),SexAge!$A:$L,11,FALSE),0)</f>
        <v>3.8300000000000001E-2</v>
      </c>
      <c r="H40" s="141">
        <f>IFERROR(VLOOKUP(CONCATENATE(A40,$AE$8,$A$10,$H$10),SexAge!$A:$L,10,FALSE),0)</f>
        <v>6.1000000000000004E-3</v>
      </c>
      <c r="I40" s="15">
        <f>IFERROR(VLOOKUP(CONCATENATE(A40,$AE$8,$A$10,$H$10),SexAge!$A:$L,9,FALSE),0)</f>
        <v>6.7999999999999996E-3</v>
      </c>
      <c r="J40" s="142">
        <f>IFERROR(VLOOKUP(CONCATENATE(A40,$AE$8,$A$10,$H$10),SexAge!$A:$L,11,FALSE),0)</f>
        <v>7.6E-3</v>
      </c>
      <c r="K40" s="1">
        <f t="shared" ref="K40:K47" si="52">C40-B40</f>
        <v>8.9999999999999976E-4</v>
      </c>
      <c r="L40" s="1">
        <f t="shared" ref="L40:L47" si="53">D40-C40</f>
        <v>1.1000000000000003E-3</v>
      </c>
      <c r="M40" s="1">
        <f t="shared" ref="M40:M47" si="54">F40-E40</f>
        <v>1.3000000000000025E-3</v>
      </c>
      <c r="N40" s="1">
        <f t="shared" ref="N40:N47" si="55">G40-F40</f>
        <v>1.5000000000000013E-3</v>
      </c>
      <c r="O40" s="1">
        <f t="shared" ref="O40:O47" si="56">I40-H40</f>
        <v>6.9999999999999923E-4</v>
      </c>
      <c r="P40" s="1">
        <f t="shared" ref="P40:P47" si="57">J40-I40</f>
        <v>8.0000000000000036E-4</v>
      </c>
    </row>
    <row r="41" spans="1:69" x14ac:dyDescent="0.35">
      <c r="A41" s="36" t="s">
        <v>46</v>
      </c>
      <c r="B41" s="141">
        <f>IFERROR(VLOOKUP(CONCATENATE(A41,$AE$8,$A$10,$B$10),SexAge!$A:$L,10,FALSE),0)</f>
        <v>1.15E-2</v>
      </c>
      <c r="C41" s="15">
        <f>IFERROR(VLOOKUP(CONCATENATE(A41,$AE$8,$A$10,$B$10),SexAge!$A:$L,9,FALSE),0)</f>
        <v>1.23E-2</v>
      </c>
      <c r="D41" s="142">
        <f>IFERROR(VLOOKUP(CONCATENATE(A41,$AE$8,$A$10,$B$10),SexAge!$A:$L,11,FALSE),0)</f>
        <v>1.3100000000000001E-2</v>
      </c>
      <c r="E41" s="15">
        <f>IFERROR(VLOOKUP(CONCATENATE(A41,$AE$8,$A$10,$E$10),SexAge!$A:$L,10,FALSE),0)</f>
        <v>3.61E-2</v>
      </c>
      <c r="F41" s="15">
        <f>IFERROR(VLOOKUP(CONCATENATE(A41,$AE$8,$A$10,$E$10),SexAge!$A:$L,9,FALSE),0)</f>
        <v>3.73E-2</v>
      </c>
      <c r="G41" s="15">
        <f>IFERROR(VLOOKUP(CONCATENATE(A41,$AE$8,$A$10,$E$10),SexAge!$A:$L,11,FALSE),0)</f>
        <v>3.8600000000000002E-2</v>
      </c>
      <c r="H41" s="141">
        <f>IFERROR(VLOOKUP(CONCATENATE(A41,$AE$8,$A$10,$H$10),SexAge!$A:$L,10,FALSE),0)</f>
        <v>7.1000000000000004E-3</v>
      </c>
      <c r="I41" s="15">
        <f>IFERROR(VLOOKUP(CONCATENATE(A41,$AE$8,$A$10,$H$10),SexAge!$A:$L,9,FALSE),0)</f>
        <v>7.7999999999999996E-3</v>
      </c>
      <c r="J41" s="142">
        <f>IFERROR(VLOOKUP(CONCATENATE(A41,$AE$8,$A$10,$H$10),SexAge!$A:$L,11,FALSE),0)</f>
        <v>8.6E-3</v>
      </c>
      <c r="K41" s="1">
        <f t="shared" si="52"/>
        <v>8.0000000000000036E-4</v>
      </c>
      <c r="L41" s="1">
        <f t="shared" si="53"/>
        <v>8.0000000000000036E-4</v>
      </c>
      <c r="M41" s="1">
        <f t="shared" si="54"/>
        <v>1.1999999999999997E-3</v>
      </c>
      <c r="N41" s="1">
        <f t="shared" si="55"/>
        <v>1.3000000000000025E-3</v>
      </c>
      <c r="O41" s="1">
        <f t="shared" si="56"/>
        <v>6.9999999999999923E-4</v>
      </c>
      <c r="P41" s="1">
        <f t="shared" si="57"/>
        <v>8.0000000000000036E-4</v>
      </c>
    </row>
    <row r="42" spans="1:69" x14ac:dyDescent="0.35">
      <c r="A42" s="36" t="s">
        <v>47</v>
      </c>
      <c r="B42" s="141">
        <f>IFERROR(VLOOKUP(CONCATENATE(A42,$AE$8,$A$10,$B$10),SexAge!$A:$L,10,FALSE),0)</f>
        <v>1.03E-2</v>
      </c>
      <c r="C42" s="15">
        <f>IFERROR(VLOOKUP(CONCATENATE(A42,$AE$8,$A$10,$B$10),SexAge!$A:$L,9,FALSE),0)</f>
        <v>1.0999999999999999E-2</v>
      </c>
      <c r="D42" s="142">
        <f>IFERROR(VLOOKUP(CONCATENATE(A42,$AE$8,$A$10,$B$10),SexAge!$A:$L,11,FALSE),0)</f>
        <v>1.17E-2</v>
      </c>
      <c r="E42" s="15">
        <f>IFERROR(VLOOKUP(CONCATENATE(A42,$AE$8,$A$10,$E$10),SexAge!$A:$L,10,FALSE),0)</f>
        <v>3.5999999999999997E-2</v>
      </c>
      <c r="F42" s="15">
        <f>IFERROR(VLOOKUP(CONCATENATE(A42,$AE$8,$A$10,$E$10),SexAge!$A:$L,9,FALSE),0)</f>
        <v>3.6999999999999998E-2</v>
      </c>
      <c r="G42" s="15">
        <f>IFERROR(VLOOKUP(CONCATENATE(A42,$AE$8,$A$10,$E$10),SexAge!$A:$L,11,FALSE),0)</f>
        <v>3.8199999999999998E-2</v>
      </c>
      <c r="H42" s="141">
        <f>IFERROR(VLOOKUP(CONCATENATE(A42,$AE$8,$A$10,$H$10),SexAge!$A:$L,10,FALSE),0)</f>
        <v>7.1000000000000004E-3</v>
      </c>
      <c r="I42" s="15">
        <f>IFERROR(VLOOKUP(CONCATENATE(A42,$AE$8,$A$10,$H$10),SexAge!$A:$L,9,FALSE),0)</f>
        <v>7.6E-3</v>
      </c>
      <c r="J42" s="142">
        <f>IFERROR(VLOOKUP(CONCATENATE(A42,$AE$8,$A$10,$H$10),SexAge!$A:$L,11,FALSE),0)</f>
        <v>8.2000000000000007E-3</v>
      </c>
      <c r="K42" s="1">
        <f t="shared" si="52"/>
        <v>6.9999999999999923E-4</v>
      </c>
      <c r="L42" s="1">
        <f t="shared" si="53"/>
        <v>7.0000000000000097E-4</v>
      </c>
      <c r="M42" s="1">
        <f t="shared" si="54"/>
        <v>1.0000000000000009E-3</v>
      </c>
      <c r="N42" s="1">
        <f t="shared" si="55"/>
        <v>1.1999999999999997E-3</v>
      </c>
      <c r="O42" s="1">
        <f t="shared" si="56"/>
        <v>4.9999999999999958E-4</v>
      </c>
      <c r="P42" s="1">
        <f t="shared" si="57"/>
        <v>6.0000000000000071E-4</v>
      </c>
    </row>
    <row r="43" spans="1:69" x14ac:dyDescent="0.35">
      <c r="A43" s="36" t="s">
        <v>48</v>
      </c>
      <c r="B43" s="141">
        <f>IFERROR(VLOOKUP(CONCATENATE(A43,$AE$8,$A$10,$B$10),SexAge!$A:$L,10,FALSE),0)</f>
        <v>0.01</v>
      </c>
      <c r="C43" s="15">
        <f>IFERROR(VLOOKUP(CONCATENATE(A43,$AE$8,$A$10,$B$10),SexAge!$A:$L,9,FALSE),0)</f>
        <v>1.0699999999999999E-2</v>
      </c>
      <c r="D43" s="142">
        <f>IFERROR(VLOOKUP(CONCATENATE(A43,$AE$8,$A$10,$B$10),SexAge!$A:$L,11,FALSE),0)</f>
        <v>1.14E-2</v>
      </c>
      <c r="E43" s="15">
        <f>IFERROR(VLOOKUP(CONCATENATE(A43,$AE$8,$A$10,$E$10),SexAge!$A:$L,10,FALSE),0)</f>
        <v>3.5999999999999997E-2</v>
      </c>
      <c r="F43" s="15">
        <f>IFERROR(VLOOKUP(CONCATENATE(A43,$AE$8,$A$10,$E$10),SexAge!$A:$L,9,FALSE),0)</f>
        <v>3.6999999999999998E-2</v>
      </c>
      <c r="G43" s="15">
        <f>IFERROR(VLOOKUP(CONCATENATE(A43,$AE$8,$A$10,$E$10),SexAge!$A:$L,11,FALSE),0)</f>
        <v>3.8100000000000002E-2</v>
      </c>
      <c r="H43" s="141">
        <f>IFERROR(VLOOKUP(CONCATENATE(A43,$AE$8,$A$10,$H$10),SexAge!$A:$L,10,FALSE),0)</f>
        <v>8.3999999999999995E-3</v>
      </c>
      <c r="I43" s="15">
        <f>IFERROR(VLOOKUP(CONCATENATE(A43,$AE$8,$A$10,$H$10),SexAge!$A:$L,9,FALSE),0)</f>
        <v>8.9999999999999993E-3</v>
      </c>
      <c r="J43" s="142">
        <f>IFERROR(VLOOKUP(CONCATENATE(A43,$AE$8,$A$10,$H$10),SexAge!$A:$L,11,FALSE),0)</f>
        <v>9.4999999999999998E-3</v>
      </c>
      <c r="K43" s="1">
        <f t="shared" si="52"/>
        <v>6.9999999999999923E-4</v>
      </c>
      <c r="L43" s="1">
        <f t="shared" si="53"/>
        <v>7.0000000000000097E-4</v>
      </c>
      <c r="M43" s="1">
        <f t="shared" si="54"/>
        <v>1.0000000000000009E-3</v>
      </c>
      <c r="N43" s="1">
        <f t="shared" si="55"/>
        <v>1.1000000000000038E-3</v>
      </c>
      <c r="O43" s="1">
        <f t="shared" si="56"/>
        <v>5.9999999999999984E-4</v>
      </c>
      <c r="P43" s="1">
        <f t="shared" si="57"/>
        <v>5.0000000000000044E-4</v>
      </c>
    </row>
    <row r="44" spans="1:69" x14ac:dyDescent="0.35">
      <c r="A44" s="36" t="s">
        <v>49</v>
      </c>
      <c r="B44" s="141">
        <f>IFERROR(VLOOKUP(CONCATENATE(A44,$AE$8,$A$10,$B$10),SexAge!$A:$L,10,FALSE),0)</f>
        <v>1.0500000000000001E-2</v>
      </c>
      <c r="C44" s="15">
        <f>IFERROR(VLOOKUP(CONCATENATE(A44,$AE$8,$A$10,$B$10),SexAge!$A:$L,9,FALSE),0)</f>
        <v>1.14E-2</v>
      </c>
      <c r="D44" s="142">
        <f>IFERROR(VLOOKUP(CONCATENATE(A44,$AE$8,$A$10,$B$10),SexAge!$A:$L,11,FALSE),0)</f>
        <v>1.2200000000000001E-2</v>
      </c>
      <c r="E44" s="15">
        <f>IFERROR(VLOOKUP(CONCATENATE(A44,$AE$8,$A$10,$E$10),SexAge!$A:$L,10,FALSE),0)</f>
        <v>3.6700000000000003E-2</v>
      </c>
      <c r="F44" s="15">
        <f>IFERROR(VLOOKUP(CONCATENATE(A44,$AE$8,$A$10,$E$10),SexAge!$A:$L,9,FALSE),0)</f>
        <v>3.7900000000000003E-2</v>
      </c>
      <c r="G44" s="15">
        <f>IFERROR(VLOOKUP(CONCATENATE(A44,$AE$8,$A$10,$E$10),SexAge!$A:$L,11,FALSE),0)</f>
        <v>3.9199999999999999E-2</v>
      </c>
      <c r="H44" s="141">
        <f>IFERROR(VLOOKUP(CONCATENATE(A44,$AE$8,$A$10,$H$10),SexAge!$A:$L,10,FALSE),0)</f>
        <v>9.4000000000000004E-3</v>
      </c>
      <c r="I44" s="15">
        <f>IFERROR(VLOOKUP(CONCATENATE(A44,$AE$8,$A$10,$H$10),SexAge!$A:$L,9,FALSE),0)</f>
        <v>9.9000000000000008E-3</v>
      </c>
      <c r="J44" s="142">
        <f>IFERROR(VLOOKUP(CONCATENATE(A44,$AE$8,$A$10,$H$10),SexAge!$A:$L,11,FALSE),0)</f>
        <v>1.0500000000000001E-2</v>
      </c>
      <c r="K44" s="1">
        <f t="shared" si="52"/>
        <v>8.9999999999999976E-4</v>
      </c>
      <c r="L44" s="1">
        <f t="shared" si="53"/>
        <v>8.0000000000000036E-4</v>
      </c>
      <c r="M44" s="1">
        <f t="shared" si="54"/>
        <v>1.1999999999999997E-3</v>
      </c>
      <c r="N44" s="1">
        <f t="shared" si="55"/>
        <v>1.2999999999999956E-3</v>
      </c>
      <c r="O44" s="1">
        <f t="shared" si="56"/>
        <v>5.0000000000000044E-4</v>
      </c>
      <c r="P44" s="1">
        <f t="shared" si="57"/>
        <v>5.9999999999999984E-4</v>
      </c>
    </row>
    <row r="45" spans="1:69" x14ac:dyDescent="0.35">
      <c r="A45" s="126" t="s">
        <v>124</v>
      </c>
      <c r="B45" s="141">
        <f>IFERROR(VLOOKUP(CONCATENATE(A45,$AE$8,$A$10,$B$10),SexAge!$A:$L,10,FALSE),0)</f>
        <v>1.0500000000000001E-2</v>
      </c>
      <c r="C45" s="15">
        <f>IFERROR(VLOOKUP(CONCATENATE(A45,$AE$8,$A$10,$B$10),SexAge!$A:$L,9,FALSE),0)</f>
        <v>1.1299999999999999E-2</v>
      </c>
      <c r="D45" s="142">
        <f>IFERROR(VLOOKUP(CONCATENATE(A45,$AE$8,$A$10,$B$10),SexAge!$A:$L,11,FALSE),0)</f>
        <v>1.2200000000000001E-2</v>
      </c>
      <c r="E45" s="15">
        <f>IFERROR(VLOOKUP(CONCATENATE(A45,$AE$8,$A$10,$E$10),SexAge!$A:$L,10,FALSE),0)</f>
        <v>3.6299999999999999E-2</v>
      </c>
      <c r="F45" s="15">
        <f>IFERROR(VLOOKUP(CONCATENATE(A45,$AE$8,$A$10,$E$10),SexAge!$A:$L,9,FALSE),0)</f>
        <v>3.7499999999999999E-2</v>
      </c>
      <c r="G45" s="15">
        <f>IFERROR(VLOOKUP(CONCATENATE(A45,$AE$8,$A$10,$E$10),SexAge!$A:$L,11,FALSE),0)</f>
        <v>3.8800000000000001E-2</v>
      </c>
      <c r="H45" s="141">
        <f>IFERROR(VLOOKUP(CONCATENATE(A45,$AE$8,$A$10,$H$10),SexAge!$A:$L,10,FALSE),0)</f>
        <v>1.11E-2</v>
      </c>
      <c r="I45" s="15">
        <f>IFERROR(VLOOKUP(CONCATENATE(A45,$AE$8,$A$10,$H$10),SexAge!$A:$L,9,FALSE),0)</f>
        <v>1.18E-2</v>
      </c>
      <c r="J45" s="142">
        <f>IFERROR(VLOOKUP(CONCATENATE(A45,$AE$8,$A$10,$H$10),SexAge!$A:$L,11,FALSE),0)</f>
        <v>1.2500000000000001E-2</v>
      </c>
      <c r="K45" s="1">
        <f t="shared" si="52"/>
        <v>7.9999999999999863E-4</v>
      </c>
      <c r="L45" s="1">
        <f t="shared" si="53"/>
        <v>9.0000000000000149E-4</v>
      </c>
      <c r="M45" s="1">
        <f t="shared" si="54"/>
        <v>1.1999999999999997E-3</v>
      </c>
      <c r="N45" s="1">
        <f t="shared" si="55"/>
        <v>1.3000000000000025E-3</v>
      </c>
      <c r="O45" s="1">
        <f t="shared" si="56"/>
        <v>6.9999999999999923E-4</v>
      </c>
      <c r="P45" s="1">
        <f t="shared" si="57"/>
        <v>7.0000000000000097E-4</v>
      </c>
      <c r="AD45" s="85"/>
      <c r="BL45" s="5"/>
      <c r="BM45" s="5"/>
      <c r="BN45" s="5"/>
      <c r="BO45" s="5"/>
      <c r="BP45" s="5"/>
      <c r="BQ45" s="5"/>
    </row>
    <row r="46" spans="1:69" x14ac:dyDescent="0.35">
      <c r="A46" s="126" t="s">
        <v>125</v>
      </c>
      <c r="B46" s="141">
        <f>IFERROR(VLOOKUP(CONCATENATE(A46,$AE$8,$A$10,$B$10),SexAge!$A:$L,10,FALSE),0)</f>
        <v>9.4000000000000004E-3</v>
      </c>
      <c r="C46" s="15">
        <f>IFERROR(VLOOKUP(CONCATENATE(A46,$AE$8,$A$10,$B$10),SexAge!$A:$L,9,FALSE),0)</f>
        <v>1.0200000000000001E-2</v>
      </c>
      <c r="D46" s="142">
        <f>IFERROR(VLOOKUP(CONCATENATE(A46,$AE$8,$A$10,$B$10),SexAge!$A:$L,11,FALSE),0)</f>
        <v>1.12E-2</v>
      </c>
      <c r="E46" s="15">
        <f>IFERROR(VLOOKUP(CONCATENATE(A46,$AE$8,$A$10,$E$10),SexAge!$A:$L,10,FALSE),0)</f>
        <v>3.39E-2</v>
      </c>
      <c r="F46" s="15">
        <f>IFERROR(VLOOKUP(CONCATENATE(A46,$AE$8,$A$10,$E$10),SexAge!$A:$L,9,FALSE),0)</f>
        <v>3.5099999999999999E-2</v>
      </c>
      <c r="G46" s="15">
        <f>IFERROR(VLOOKUP(CONCATENATE(A46,$AE$8,$A$10,$E$10),SexAge!$A:$L,11,FALSE),0)</f>
        <v>3.6499999999999998E-2</v>
      </c>
      <c r="H46" s="141">
        <f>IFERROR(VLOOKUP(CONCATENATE(A46,$AE$8,$A$10,$H$10),SexAge!$A:$L,10,FALSE),0)</f>
        <v>1.2E-2</v>
      </c>
      <c r="I46" s="15">
        <f>IFERROR(VLOOKUP(CONCATENATE(A46,$AE$8,$A$10,$H$10),SexAge!$A:$L,9,FALSE),0)</f>
        <v>1.2699999999999999E-2</v>
      </c>
      <c r="J46" s="142">
        <f>IFERROR(VLOOKUP(CONCATENATE(A46,$AE$8,$A$10,$H$10),SexAge!$A:$L,11,FALSE),0)</f>
        <v>1.35E-2</v>
      </c>
      <c r="K46" s="1">
        <f t="shared" si="52"/>
        <v>8.0000000000000036E-4</v>
      </c>
      <c r="L46" s="1">
        <f t="shared" si="53"/>
        <v>9.9999999999999915E-4</v>
      </c>
      <c r="M46" s="1">
        <f t="shared" si="54"/>
        <v>1.1999999999999997E-3</v>
      </c>
      <c r="N46" s="1">
        <f t="shared" si="55"/>
        <v>1.3999999999999985E-3</v>
      </c>
      <c r="O46" s="1">
        <f t="shared" si="56"/>
        <v>6.9999999999999923E-4</v>
      </c>
      <c r="P46" s="1">
        <f t="shared" si="57"/>
        <v>8.0000000000000036E-4</v>
      </c>
      <c r="AD46" s="85"/>
      <c r="BL46" s="5"/>
      <c r="BM46" s="5"/>
      <c r="BN46" s="5"/>
      <c r="BO46" s="5"/>
      <c r="BP46" s="5"/>
      <c r="BQ46" s="5"/>
    </row>
    <row r="47" spans="1:69" x14ac:dyDescent="0.35">
      <c r="A47" s="126" t="s">
        <v>126</v>
      </c>
      <c r="B47" s="141">
        <f>IFERROR(VLOOKUP(CONCATENATE(A47,$AE$8,$A$10,$B$10),SexAge!$A:$L,10,FALSE),0)</f>
        <v>8.2000000000000007E-3</v>
      </c>
      <c r="C47" s="15">
        <f>IFERROR(VLOOKUP(CONCATENATE(A47,$AE$8,$A$10,$B$10),SexAge!$A:$L,9,FALSE),0)</f>
        <v>8.8999999999999999E-3</v>
      </c>
      <c r="D47" s="142">
        <f>IFERROR(VLOOKUP(CONCATENATE(A47,$AE$8,$A$10,$B$10),SexAge!$A:$L,11,FALSE),0)</f>
        <v>9.7000000000000003E-3</v>
      </c>
      <c r="E47" s="15">
        <f>IFERROR(VLOOKUP(CONCATENATE(A47,$AE$8,$A$10,$E$10),SexAge!$A:$L,10,FALSE),0)</f>
        <v>3.2000000000000001E-2</v>
      </c>
      <c r="F47" s="15">
        <f>IFERROR(VLOOKUP(CONCATENATE(A47,$AE$8,$A$10,$E$10),SexAge!$A:$L,9,FALSE),0)</f>
        <v>3.3099999999999997E-2</v>
      </c>
      <c r="G47" s="15">
        <f>IFERROR(VLOOKUP(CONCATENATE(A47,$AE$8,$A$10,$E$10),SexAge!$A:$L,11,FALSE),0)</f>
        <v>3.44E-2</v>
      </c>
      <c r="H47" s="141">
        <f>IFERROR(VLOOKUP(CONCATENATE(A47,$AE$8,$A$10,$H$10),SexAge!$A:$L,10,FALSE),0)</f>
        <v>1.2699999999999999E-2</v>
      </c>
      <c r="I47" s="15">
        <f>IFERROR(VLOOKUP(CONCATENATE(A47,$AE$8,$A$10,$H$10),SexAge!$A:$L,9,FALSE),0)</f>
        <v>1.35E-2</v>
      </c>
      <c r="J47" s="142">
        <f>IFERROR(VLOOKUP(CONCATENATE(A47,$AE$8,$A$10,$H$10),SexAge!$A:$L,11,FALSE),0)</f>
        <v>1.44E-2</v>
      </c>
      <c r="K47" s="1">
        <f t="shared" si="52"/>
        <v>6.9999999999999923E-4</v>
      </c>
      <c r="L47" s="1">
        <f t="shared" si="53"/>
        <v>8.0000000000000036E-4</v>
      </c>
      <c r="M47" s="1">
        <f t="shared" si="54"/>
        <v>1.0999999999999968E-3</v>
      </c>
      <c r="N47" s="1">
        <f t="shared" si="55"/>
        <v>1.3000000000000025E-3</v>
      </c>
      <c r="O47" s="1">
        <f t="shared" si="56"/>
        <v>8.0000000000000036E-4</v>
      </c>
      <c r="P47" s="1">
        <f t="shared" si="57"/>
        <v>8.9999999999999976E-4</v>
      </c>
      <c r="AD47" s="85"/>
      <c r="BL47" s="5"/>
      <c r="BM47" s="5"/>
      <c r="BN47" s="5"/>
      <c r="BO47" s="5"/>
      <c r="BP47" s="5"/>
      <c r="BQ47" s="5"/>
    </row>
    <row r="48" spans="1:69" x14ac:dyDescent="0.35">
      <c r="A48" s="25"/>
      <c r="B48" s="143"/>
      <c r="C48" s="1"/>
      <c r="D48" s="144"/>
      <c r="E48" s="1"/>
      <c r="F48" s="1"/>
      <c r="G48" s="1"/>
      <c r="H48" s="143"/>
      <c r="I48" s="1"/>
      <c r="J48" s="144"/>
      <c r="K48" s="1"/>
      <c r="L48" s="1"/>
      <c r="M48" s="1"/>
      <c r="N48" s="1"/>
      <c r="O48" s="1"/>
      <c r="P48" s="1"/>
    </row>
    <row r="49" spans="1:69" ht="24" customHeight="1" x14ac:dyDescent="0.35">
      <c r="A49" s="40" t="s">
        <v>42</v>
      </c>
      <c r="B49" s="175" t="s">
        <v>56</v>
      </c>
      <c r="C49" s="176"/>
      <c r="D49" s="177"/>
      <c r="E49" s="176" t="s">
        <v>57</v>
      </c>
      <c r="F49" s="176"/>
      <c r="G49" s="176"/>
      <c r="H49" s="175" t="s">
        <v>58</v>
      </c>
      <c r="I49" s="176"/>
      <c r="J49" s="177"/>
      <c r="K49" s="1"/>
      <c r="L49" s="1"/>
      <c r="M49" s="1"/>
      <c r="N49" s="1"/>
      <c r="O49" s="1"/>
      <c r="P49" s="1"/>
    </row>
    <row r="50" spans="1:69" ht="24" customHeight="1" x14ac:dyDescent="0.35">
      <c r="A50" s="130" t="s">
        <v>33</v>
      </c>
      <c r="B50" s="138" t="s">
        <v>34</v>
      </c>
      <c r="C50" s="139" t="s">
        <v>35</v>
      </c>
      <c r="D50" s="140" t="s">
        <v>36</v>
      </c>
      <c r="E50" s="139" t="s">
        <v>34</v>
      </c>
      <c r="F50" s="139" t="s">
        <v>35</v>
      </c>
      <c r="G50" s="139" t="s">
        <v>36</v>
      </c>
      <c r="H50" s="138" t="s">
        <v>34</v>
      </c>
      <c r="I50" s="139" t="s">
        <v>35</v>
      </c>
      <c r="J50" s="140" t="s">
        <v>36</v>
      </c>
      <c r="K50" s="1" t="s">
        <v>41</v>
      </c>
      <c r="L50" s="1" t="s">
        <v>40</v>
      </c>
      <c r="M50" s="1" t="s">
        <v>41</v>
      </c>
      <c r="N50" s="1" t="s">
        <v>40</v>
      </c>
      <c r="O50" s="1" t="s">
        <v>41</v>
      </c>
      <c r="P50" s="1" t="s">
        <v>40</v>
      </c>
    </row>
    <row r="51" spans="1:69" x14ac:dyDescent="0.35">
      <c r="A51" s="36" t="s">
        <v>39</v>
      </c>
      <c r="B51" s="141">
        <f>IFERROR(VLOOKUP(CONCATENATE(A51,$AE$8,$A$22,$B$10),SexAge!$A:$L,10,FALSE),0)</f>
        <v>8.8000000000000005E-3</v>
      </c>
      <c r="C51" s="15">
        <f>IFERROR(VLOOKUP(CONCATENATE(A51,$AE$8,$A$22,$B$10),SexAge!$A:$L,9,FALSE),0)</f>
        <v>9.1999999999999998E-3</v>
      </c>
      <c r="D51" s="142">
        <f>IFERROR(VLOOKUP(CONCATENATE(A51,$AE$8,$A$22,$B$10),SexAge!$A:$L,11,FALSE),0)</f>
        <v>9.7000000000000003E-3</v>
      </c>
      <c r="E51" s="15">
        <f>IFERROR(VLOOKUP(CONCATENATE(A51,$AE$8,$A$22,$E$10),SexAge!$A:$L,10,FALSE),0)</f>
        <v>1.34E-2</v>
      </c>
      <c r="F51" s="15">
        <f>IFERROR(VLOOKUP(CONCATENATE(A51,$AE$8,$A$22,$E$10),SexAge!$A:$L,9,FALSE),0)</f>
        <v>1.4E-2</v>
      </c>
      <c r="G51" s="15">
        <f>IFERROR(VLOOKUP(CONCATENATE(A51,$AE$8,$A$22,$E$10),SexAge!$A:$L,11,FALSE),0)</f>
        <v>1.46E-2</v>
      </c>
      <c r="H51" s="141">
        <f>IFERROR(VLOOKUP(CONCATENATE(A51,$AE$8,$A$22,$H$10),SexAge!$A:$L,10,FALSE),0)</f>
        <v>2E-3</v>
      </c>
      <c r="I51" s="15">
        <f>IFERROR(VLOOKUP(CONCATENATE(A51,$AE$8,$A$22,$H$10),SexAge!$A:$L,9,FALSE),0)</f>
        <v>2.3E-3</v>
      </c>
      <c r="J51" s="142">
        <f>IFERROR(VLOOKUP(CONCATENATE(A51,$AE$8,$A$22,$H$10),SexAge!$A:$L,11,FALSE),0)</f>
        <v>2.5999999999999999E-3</v>
      </c>
      <c r="K51" s="1">
        <f t="shared" ref="K51:L51" si="58">C51-B51</f>
        <v>3.9999999999999931E-4</v>
      </c>
      <c r="L51" s="1">
        <f t="shared" si="58"/>
        <v>5.0000000000000044E-4</v>
      </c>
      <c r="M51" s="1">
        <f t="shared" ref="M51:N51" si="59">F51-E51</f>
        <v>5.9999999999999984E-4</v>
      </c>
      <c r="N51" s="1">
        <f t="shared" si="59"/>
        <v>5.9999999999999984E-4</v>
      </c>
      <c r="O51" s="1">
        <f t="shared" ref="O51:P51" si="60">I51-H51</f>
        <v>2.9999999999999992E-4</v>
      </c>
      <c r="P51" s="1">
        <f t="shared" si="60"/>
        <v>2.9999999999999992E-4</v>
      </c>
    </row>
    <row r="52" spans="1:69" x14ac:dyDescent="0.35">
      <c r="A52" s="36" t="s">
        <v>44</v>
      </c>
      <c r="B52" s="141">
        <f>IFERROR(VLOOKUP(CONCATENATE(A52,$AE$8,$A$22,$B$10),SexAge!$A:$L,10,FALSE),0)</f>
        <v>7.9000000000000008E-3</v>
      </c>
      <c r="C52" s="15">
        <f>IFERROR(VLOOKUP(CONCATENATE(A52,$AE$8,$A$22,$B$10),SexAge!$A:$L,9,FALSE),0)</f>
        <v>8.3000000000000001E-3</v>
      </c>
      <c r="D52" s="142">
        <f>IFERROR(VLOOKUP(CONCATENATE(A52,$AE$8,$A$22,$B$10),SexAge!$A:$L,11,FALSE),0)</f>
        <v>8.6999999999999994E-3</v>
      </c>
      <c r="E52" s="15">
        <f>IFERROR(VLOOKUP(CONCATENATE(A52,$AE$8,$A$22,$E$10),SexAge!$A:$L,10,FALSE),0)</f>
        <v>1.3899999999999999E-2</v>
      </c>
      <c r="F52" s="15">
        <f>IFERROR(VLOOKUP(CONCATENATE(A52,$AE$8,$A$22,$E$10),SexAge!$A:$L,9,FALSE),0)</f>
        <v>1.44E-2</v>
      </c>
      <c r="G52" s="15">
        <f>IFERROR(VLOOKUP(CONCATENATE(A52,$AE$8,$A$22,$E$10),SexAge!$A:$L,11,FALSE),0)</f>
        <v>1.4999999999999999E-2</v>
      </c>
      <c r="H52" s="141">
        <f>IFERROR(VLOOKUP(CONCATENATE(A52,$AE$8,$A$22,$H$10),SexAge!$A:$L,10,FALSE),0)</f>
        <v>2.2000000000000001E-3</v>
      </c>
      <c r="I52" s="15">
        <f>IFERROR(VLOOKUP(CONCATENATE(A52,$AE$8,$A$22,$H$10),SexAge!$A:$L,9,FALSE),0)</f>
        <v>2.5000000000000001E-3</v>
      </c>
      <c r="J52" s="142">
        <f>IFERROR(VLOOKUP(CONCATENATE(A52,$AE$8,$A$22,$H$10),SexAge!$A:$L,11,FALSE),0)</f>
        <v>2.8E-3</v>
      </c>
      <c r="K52" s="1">
        <f t="shared" ref="K52:K59" si="61">C52-B52</f>
        <v>3.9999999999999931E-4</v>
      </c>
      <c r="L52" s="1">
        <f t="shared" ref="L52:L59" si="62">D52-C52</f>
        <v>3.9999999999999931E-4</v>
      </c>
      <c r="M52" s="1">
        <f t="shared" ref="M52:M59" si="63">F52-E52</f>
        <v>5.0000000000000044E-4</v>
      </c>
      <c r="N52" s="1">
        <f t="shared" ref="N52:N59" si="64">G52-F52</f>
        <v>5.9999999999999984E-4</v>
      </c>
      <c r="O52" s="1">
        <f t="shared" ref="O52:O59" si="65">I52-H52</f>
        <v>2.9999999999999992E-4</v>
      </c>
      <c r="P52" s="1">
        <f t="shared" ref="P52:P59" si="66">J52-I52</f>
        <v>2.9999999999999992E-4</v>
      </c>
    </row>
    <row r="53" spans="1:69" x14ac:dyDescent="0.35">
      <c r="A53" s="36" t="s">
        <v>46</v>
      </c>
      <c r="B53" s="141">
        <f>IFERROR(VLOOKUP(CONCATENATE(A53,$AE$8,$A$22,$B$10),SexAge!$A:$L,10,FALSE),0)</f>
        <v>6.8999999999999999E-3</v>
      </c>
      <c r="C53" s="15">
        <f>IFERROR(VLOOKUP(CONCATENATE(A53,$AE$8,$A$22,$B$10),SexAge!$A:$L,9,FALSE),0)</f>
        <v>7.3000000000000001E-3</v>
      </c>
      <c r="D53" s="142">
        <f>IFERROR(VLOOKUP(CONCATENATE(A53,$AE$8,$A$22,$B$10),SexAge!$A:$L,11,FALSE),0)</f>
        <v>7.7000000000000002E-3</v>
      </c>
      <c r="E53" s="15">
        <f>IFERROR(VLOOKUP(CONCATENATE(A53,$AE$8,$A$22,$E$10),SexAge!$A:$L,10,FALSE),0)</f>
        <v>1.43E-2</v>
      </c>
      <c r="F53" s="15">
        <f>IFERROR(VLOOKUP(CONCATENATE(A53,$AE$8,$A$22,$E$10),SexAge!$A:$L,9,FALSE),0)</f>
        <v>1.49E-2</v>
      </c>
      <c r="G53" s="15">
        <f>IFERROR(VLOOKUP(CONCATENATE(A53,$AE$8,$A$22,$E$10),SexAge!$A:$L,11,FALSE),0)</f>
        <v>1.54E-2</v>
      </c>
      <c r="H53" s="141">
        <f>IFERROR(VLOOKUP(CONCATENATE(A53,$AE$8,$A$22,$H$10),SexAge!$A:$L,10,FALSE),0)</f>
        <v>2.5000000000000001E-3</v>
      </c>
      <c r="I53" s="15">
        <f>IFERROR(VLOOKUP(CONCATENATE(A53,$AE$8,$A$22,$H$10),SexAge!$A:$L,9,FALSE),0)</f>
        <v>2.7000000000000001E-3</v>
      </c>
      <c r="J53" s="142">
        <f>IFERROR(VLOOKUP(CONCATENATE(A53,$AE$8,$A$22,$H$10),SexAge!$A:$L,11,FALSE),0)</f>
        <v>3.0000000000000001E-3</v>
      </c>
      <c r="K53" s="1">
        <f t="shared" si="61"/>
        <v>4.0000000000000018E-4</v>
      </c>
      <c r="L53" s="1">
        <f t="shared" si="62"/>
        <v>4.0000000000000018E-4</v>
      </c>
      <c r="M53" s="1">
        <f t="shared" si="63"/>
        <v>5.9999999999999984E-4</v>
      </c>
      <c r="N53" s="1">
        <f t="shared" si="64"/>
        <v>5.0000000000000044E-4</v>
      </c>
      <c r="O53" s="1">
        <f t="shared" si="65"/>
        <v>2.0000000000000009E-4</v>
      </c>
      <c r="P53" s="1">
        <f t="shared" si="66"/>
        <v>2.9999999999999992E-4</v>
      </c>
    </row>
    <row r="54" spans="1:69" x14ac:dyDescent="0.35">
      <c r="A54" s="36" t="s">
        <v>47</v>
      </c>
      <c r="B54" s="141">
        <f>IFERROR(VLOOKUP(CONCATENATE(A54,$AE$8,$A$22,$B$10),SexAge!$A:$L,10,FALSE),0)</f>
        <v>6.1999999999999998E-3</v>
      </c>
      <c r="C54" s="15">
        <f>IFERROR(VLOOKUP(CONCATENATE(A54,$AE$8,$A$22,$B$10),SexAge!$A:$L,9,FALSE),0)</f>
        <v>6.4999999999999997E-3</v>
      </c>
      <c r="D54" s="142">
        <f>IFERROR(VLOOKUP(CONCATENATE(A54,$AE$8,$A$22,$B$10),SexAge!$A:$L,11,FALSE),0)</f>
        <v>6.8999999999999999E-3</v>
      </c>
      <c r="E54" s="15">
        <f>IFERROR(VLOOKUP(CONCATENATE(A54,$AE$8,$A$22,$E$10),SexAge!$A:$L,10,FALSE),0)</f>
        <v>1.46E-2</v>
      </c>
      <c r="F54" s="15">
        <f>IFERROR(VLOOKUP(CONCATENATE(A54,$AE$8,$A$22,$E$10),SexAge!$A:$L,9,FALSE),0)</f>
        <v>1.4999999999999999E-2</v>
      </c>
      <c r="G54" s="15">
        <f>IFERROR(VLOOKUP(CONCATENATE(A54,$AE$8,$A$22,$E$10),SexAge!$A:$L,11,FALSE),0)</f>
        <v>1.55E-2</v>
      </c>
      <c r="H54" s="141">
        <f>IFERROR(VLOOKUP(CONCATENATE(A54,$AE$8,$A$22,$H$10),SexAge!$A:$L,10,FALSE),0)</f>
        <v>2.3999999999999998E-3</v>
      </c>
      <c r="I54" s="15">
        <f>IFERROR(VLOOKUP(CONCATENATE(A54,$AE$8,$A$22,$H$10),SexAge!$A:$L,9,FALSE),0)</f>
        <v>2.5999999999999999E-3</v>
      </c>
      <c r="J54" s="142">
        <f>IFERROR(VLOOKUP(CONCATENATE(A54,$AE$8,$A$22,$H$10),SexAge!$A:$L,11,FALSE),0)</f>
        <v>2.8E-3</v>
      </c>
      <c r="K54" s="1">
        <f t="shared" si="61"/>
        <v>2.9999999999999992E-4</v>
      </c>
      <c r="L54" s="1">
        <f t="shared" si="62"/>
        <v>4.0000000000000018E-4</v>
      </c>
      <c r="M54" s="1">
        <f t="shared" si="63"/>
        <v>3.9999999999999931E-4</v>
      </c>
      <c r="N54" s="1">
        <f t="shared" si="64"/>
        <v>5.0000000000000044E-4</v>
      </c>
      <c r="O54" s="1">
        <f t="shared" si="65"/>
        <v>2.0000000000000009E-4</v>
      </c>
      <c r="P54" s="1">
        <f t="shared" si="66"/>
        <v>2.0000000000000009E-4</v>
      </c>
    </row>
    <row r="55" spans="1:69" x14ac:dyDescent="0.35">
      <c r="A55" s="36" t="s">
        <v>48</v>
      </c>
      <c r="B55" s="141">
        <f>IFERROR(VLOOKUP(CONCATENATE(A55,$AE$8,$A$22,$B$10),SexAge!$A:$L,10,FALSE),0)</f>
        <v>5.7999999999999996E-3</v>
      </c>
      <c r="C55" s="15">
        <f>IFERROR(VLOOKUP(CONCATENATE(A55,$AE$8,$A$22,$B$10),SexAge!$A:$L,9,FALSE),0)</f>
        <v>6.1000000000000004E-3</v>
      </c>
      <c r="D55" s="142">
        <f>IFERROR(VLOOKUP(CONCATENATE(A55,$AE$8,$A$22,$B$10),SexAge!$A:$L,11,FALSE),0)</f>
        <v>6.4000000000000003E-3</v>
      </c>
      <c r="E55" s="15">
        <f>IFERROR(VLOOKUP(CONCATENATE(A55,$AE$8,$A$22,$E$10),SexAge!$A:$L,10,FALSE),0)</f>
        <v>1.49E-2</v>
      </c>
      <c r="F55" s="15">
        <f>IFERROR(VLOOKUP(CONCATENATE(A55,$AE$8,$A$22,$E$10),SexAge!$A:$L,9,FALSE),0)</f>
        <v>1.54E-2</v>
      </c>
      <c r="G55" s="15">
        <f>IFERROR(VLOOKUP(CONCATENATE(A55,$AE$8,$A$22,$E$10),SexAge!$A:$L,11,FALSE),0)</f>
        <v>1.5900000000000001E-2</v>
      </c>
      <c r="H55" s="141">
        <f>IFERROR(VLOOKUP(CONCATENATE(A55,$AE$8,$A$22,$H$10),SexAge!$A:$L,10,FALSE),0)</f>
        <v>2.8999999999999998E-3</v>
      </c>
      <c r="I55" s="15">
        <f>IFERROR(VLOOKUP(CONCATENATE(A55,$AE$8,$A$22,$H$10),SexAge!$A:$L,9,FALSE),0)</f>
        <v>3.0999999999999999E-3</v>
      </c>
      <c r="J55" s="142">
        <f>IFERROR(VLOOKUP(CONCATENATE(A55,$AE$8,$A$22,$H$10),SexAge!$A:$L,11,FALSE),0)</f>
        <v>3.3E-3</v>
      </c>
      <c r="K55" s="1">
        <f t="shared" si="61"/>
        <v>3.0000000000000079E-4</v>
      </c>
      <c r="L55" s="1">
        <f t="shared" si="62"/>
        <v>2.9999999999999992E-4</v>
      </c>
      <c r="M55" s="1">
        <f t="shared" si="63"/>
        <v>5.0000000000000044E-4</v>
      </c>
      <c r="N55" s="1">
        <f t="shared" si="64"/>
        <v>5.0000000000000044E-4</v>
      </c>
      <c r="O55" s="1">
        <f t="shared" si="65"/>
        <v>2.0000000000000009E-4</v>
      </c>
      <c r="P55" s="1">
        <f t="shared" si="66"/>
        <v>2.0000000000000009E-4</v>
      </c>
    </row>
    <row r="56" spans="1:69" x14ac:dyDescent="0.35">
      <c r="A56" s="36" t="s">
        <v>49</v>
      </c>
      <c r="B56" s="141">
        <f>IFERROR(VLOOKUP(CONCATENATE(A56,$AE$8,$A$22,$B$10),SexAge!$A:$L,10,FALSE),0)</f>
        <v>5.7000000000000002E-3</v>
      </c>
      <c r="C56" s="15">
        <f>IFERROR(VLOOKUP(CONCATENATE(A56,$AE$8,$A$22,$B$10),SexAge!$A:$L,9,FALSE),0)</f>
        <v>6.0000000000000001E-3</v>
      </c>
      <c r="D56" s="142">
        <f>IFERROR(VLOOKUP(CONCATENATE(A56,$AE$8,$A$22,$B$10),SexAge!$A:$L,11,FALSE),0)</f>
        <v>6.4000000000000003E-3</v>
      </c>
      <c r="E56" s="15">
        <f>IFERROR(VLOOKUP(CONCATENATE(A56,$AE$8,$A$22,$E$10),SexAge!$A:$L,10,FALSE),0)</f>
        <v>1.5599999999999999E-2</v>
      </c>
      <c r="F56" s="15">
        <f>IFERROR(VLOOKUP(CONCATENATE(A56,$AE$8,$A$22,$E$10),SexAge!$A:$L,9,FALSE),0)</f>
        <v>1.61E-2</v>
      </c>
      <c r="G56" s="15">
        <f>IFERROR(VLOOKUP(CONCATENATE(A56,$AE$8,$A$22,$E$10),SexAge!$A:$L,11,FALSE),0)</f>
        <v>1.67E-2</v>
      </c>
      <c r="H56" s="141">
        <f>IFERROR(VLOOKUP(CONCATENATE(A56,$AE$8,$A$22,$H$10),SexAge!$A:$L,10,FALSE),0)</f>
        <v>3.0999999999999999E-3</v>
      </c>
      <c r="I56" s="15">
        <f>IFERROR(VLOOKUP(CONCATENATE(A56,$AE$8,$A$22,$H$10),SexAge!$A:$L,9,FALSE),0)</f>
        <v>3.3E-3</v>
      </c>
      <c r="J56" s="142">
        <f>IFERROR(VLOOKUP(CONCATENATE(A56,$AE$8,$A$22,$H$10),SexAge!$A:$L,11,FALSE),0)</f>
        <v>3.5999999999999999E-3</v>
      </c>
      <c r="K56" s="1">
        <f t="shared" si="61"/>
        <v>2.9999999999999992E-4</v>
      </c>
      <c r="L56" s="1">
        <f t="shared" si="62"/>
        <v>4.0000000000000018E-4</v>
      </c>
      <c r="M56" s="1">
        <f t="shared" si="63"/>
        <v>5.0000000000000044E-4</v>
      </c>
      <c r="N56" s="1">
        <f t="shared" si="64"/>
        <v>5.9999999999999984E-4</v>
      </c>
      <c r="O56" s="1">
        <f t="shared" si="65"/>
        <v>2.0000000000000009E-4</v>
      </c>
      <c r="P56" s="1">
        <f t="shared" si="66"/>
        <v>2.9999999999999992E-4</v>
      </c>
    </row>
    <row r="57" spans="1:69" x14ac:dyDescent="0.35">
      <c r="A57" s="126" t="s">
        <v>124</v>
      </c>
      <c r="B57" s="141">
        <f>IFERROR(VLOOKUP(CONCATENATE(A57,$AE$8,$A$22,$B$10),SexAge!$A:$L,10,FALSE),0)</f>
        <v>5.4999999999999997E-3</v>
      </c>
      <c r="C57" s="15">
        <f>IFERROR(VLOOKUP(CONCATENATE(A57,$AE$8,$A$22,$B$10),SexAge!$A:$L,9,FALSE),0)</f>
        <v>5.7999999999999996E-3</v>
      </c>
      <c r="D57" s="142">
        <f>IFERROR(VLOOKUP(CONCATENATE(A57,$AE$8,$A$22,$B$10),SexAge!$A:$L,11,FALSE),0)</f>
        <v>6.1999999999999998E-3</v>
      </c>
      <c r="E57" s="15">
        <f>IFERROR(VLOOKUP(CONCATENATE(A57,$AE$8,$A$22,$E$10),SexAge!$A:$L,10,FALSE),0)</f>
        <v>1.5800000000000002E-2</v>
      </c>
      <c r="F57" s="15">
        <f>IFERROR(VLOOKUP(CONCATENATE(A57,$AE$8,$A$22,$E$10),SexAge!$A:$L,9,FALSE),0)</f>
        <v>1.6299999999999999E-2</v>
      </c>
      <c r="G57" s="15">
        <f>IFERROR(VLOOKUP(CONCATENATE(A57,$AE$8,$A$22,$E$10),SexAge!$A:$L,11,FALSE),0)</f>
        <v>1.6899999999999998E-2</v>
      </c>
      <c r="H57" s="141">
        <f>IFERROR(VLOOKUP(CONCATENATE(A57,$AE$8,$A$22,$H$10),SexAge!$A:$L,10,FALSE),0)</f>
        <v>3.5999999999999999E-3</v>
      </c>
      <c r="I57" s="15">
        <f>IFERROR(VLOOKUP(CONCATENATE(A57,$AE$8,$A$22,$H$10),SexAge!$A:$L,9,FALSE),0)</f>
        <v>3.8999999999999998E-3</v>
      </c>
      <c r="J57" s="142">
        <f>IFERROR(VLOOKUP(CONCATENATE(A57,$AE$8,$A$22,$H$10),SexAge!$A:$L,11,FALSE),0)</f>
        <v>4.1999999999999997E-3</v>
      </c>
      <c r="K57" s="1">
        <f t="shared" si="61"/>
        <v>2.9999999999999992E-4</v>
      </c>
      <c r="L57" s="1">
        <f t="shared" si="62"/>
        <v>4.0000000000000018E-4</v>
      </c>
      <c r="M57" s="1">
        <f t="shared" si="63"/>
        <v>4.9999999999999697E-4</v>
      </c>
      <c r="N57" s="1">
        <f t="shared" si="64"/>
        <v>5.9999999999999984E-4</v>
      </c>
      <c r="O57" s="1">
        <f t="shared" si="65"/>
        <v>2.9999999999999992E-4</v>
      </c>
      <c r="P57" s="1">
        <f t="shared" si="66"/>
        <v>2.9999999999999992E-4</v>
      </c>
      <c r="AD57" s="85"/>
      <c r="BL57" s="5"/>
      <c r="BM57" s="5"/>
      <c r="BN57" s="5"/>
      <c r="BO57" s="5"/>
      <c r="BP57" s="5"/>
      <c r="BQ57" s="5"/>
    </row>
    <row r="58" spans="1:69" x14ac:dyDescent="0.35">
      <c r="A58" s="126" t="s">
        <v>125</v>
      </c>
      <c r="B58" s="141">
        <f>IFERROR(VLOOKUP(CONCATENATE(A58,$AE$8,$A$22,$B$10),SexAge!$A:$L,10,FALSE),0)</f>
        <v>4.7999999999999996E-3</v>
      </c>
      <c r="C58" s="15">
        <f>IFERROR(VLOOKUP(CONCATENATE(A58,$AE$8,$A$22,$B$10),SexAge!$A:$L,9,FALSE),0)</f>
        <v>5.1999999999999998E-3</v>
      </c>
      <c r="D58" s="142">
        <f>IFERROR(VLOOKUP(CONCATENATE(A58,$AE$8,$A$22,$B$10),SexAge!$A:$L,11,FALSE),0)</f>
        <v>5.4999999999999997E-3</v>
      </c>
      <c r="E58" s="15">
        <f>IFERROR(VLOOKUP(CONCATENATE(A58,$AE$8,$A$22,$E$10),SexAge!$A:$L,10,FALSE),0)</f>
        <v>1.5299999999999999E-2</v>
      </c>
      <c r="F58" s="15">
        <f>IFERROR(VLOOKUP(CONCATENATE(A58,$AE$8,$A$22,$E$10),SexAge!$A:$L,9,FALSE),0)</f>
        <v>1.5900000000000001E-2</v>
      </c>
      <c r="G58" s="15">
        <f>IFERROR(VLOOKUP(CONCATENATE(A58,$AE$8,$A$22,$E$10),SexAge!$A:$L,11,FALSE),0)</f>
        <v>1.6400000000000001E-2</v>
      </c>
      <c r="H58" s="141">
        <f>IFERROR(VLOOKUP(CONCATENATE(A58,$AE$8,$A$22,$H$10),SexAge!$A:$L,10,FALSE),0)</f>
        <v>3.8E-3</v>
      </c>
      <c r="I58" s="15">
        <f>IFERROR(VLOOKUP(CONCATENATE(A58,$AE$8,$A$22,$H$10),SexAge!$A:$L,9,FALSE),0)</f>
        <v>4.1000000000000003E-3</v>
      </c>
      <c r="J58" s="142">
        <f>IFERROR(VLOOKUP(CONCATENATE(A58,$AE$8,$A$22,$H$10),SexAge!$A:$L,11,FALSE),0)</f>
        <v>4.4000000000000003E-3</v>
      </c>
      <c r="K58" s="1">
        <f t="shared" si="61"/>
        <v>4.0000000000000018E-4</v>
      </c>
      <c r="L58" s="1">
        <f t="shared" si="62"/>
        <v>2.9999999999999992E-4</v>
      </c>
      <c r="M58" s="1">
        <f t="shared" si="63"/>
        <v>6.0000000000000157E-4</v>
      </c>
      <c r="N58" s="1">
        <f t="shared" si="64"/>
        <v>5.0000000000000044E-4</v>
      </c>
      <c r="O58" s="1">
        <f t="shared" si="65"/>
        <v>3.0000000000000035E-4</v>
      </c>
      <c r="P58" s="1">
        <f t="shared" si="66"/>
        <v>2.9999999999999992E-4</v>
      </c>
      <c r="AD58" s="85"/>
      <c r="BL58" s="5"/>
      <c r="BM58" s="5"/>
      <c r="BN58" s="5"/>
      <c r="BO58" s="5"/>
      <c r="BP58" s="5"/>
      <c r="BQ58" s="5"/>
    </row>
    <row r="59" spans="1:69" x14ac:dyDescent="0.35">
      <c r="A59" s="126" t="s">
        <v>126</v>
      </c>
      <c r="B59" s="141">
        <f>IFERROR(VLOOKUP(CONCATENATE(A59,$AE$8,$A$22,$B$10),SexAge!$A:$L,10,FALSE),0)</f>
        <v>4.1000000000000003E-3</v>
      </c>
      <c r="C59" s="15">
        <f>IFERROR(VLOOKUP(CONCATENATE(A59,$AE$8,$A$22,$B$10),SexAge!$A:$L,9,FALSE),0)</f>
        <v>4.4000000000000003E-3</v>
      </c>
      <c r="D59" s="142">
        <f>IFERROR(VLOOKUP(CONCATENATE(A59,$AE$8,$A$22,$B$10),SexAge!$A:$L,11,FALSE),0)</f>
        <v>4.7000000000000002E-3</v>
      </c>
      <c r="E59" s="15">
        <f>IFERROR(VLOOKUP(CONCATENATE(A59,$AE$8,$A$22,$E$10),SexAge!$A:$L,10,FALSE),0)</f>
        <v>1.47E-2</v>
      </c>
      <c r="F59" s="15">
        <f>IFERROR(VLOOKUP(CONCATENATE(A59,$AE$8,$A$22,$E$10),SexAge!$A:$L,9,FALSE),0)</f>
        <v>1.52E-2</v>
      </c>
      <c r="G59" s="15">
        <f>IFERROR(VLOOKUP(CONCATENATE(A59,$AE$8,$A$22,$E$10),SexAge!$A:$L,11,FALSE),0)</f>
        <v>1.5800000000000002E-2</v>
      </c>
      <c r="H59" s="141">
        <f>IFERROR(VLOOKUP(CONCATENATE(A59,$AE$8,$A$22,$H$10),SexAge!$A:$L,10,FALSE),0)</f>
        <v>4.1000000000000003E-3</v>
      </c>
      <c r="I59" s="15">
        <f>IFERROR(VLOOKUP(CONCATENATE(A59,$AE$8,$A$22,$H$10),SexAge!$A:$L,9,FALSE),0)</f>
        <v>4.4000000000000003E-3</v>
      </c>
      <c r="J59" s="142">
        <f>IFERROR(VLOOKUP(CONCATENATE(A59,$AE$8,$A$22,$H$10),SexAge!$A:$L,11,FALSE),0)</f>
        <v>4.7999999999999996E-3</v>
      </c>
      <c r="K59" s="1">
        <f t="shared" si="61"/>
        <v>2.9999999999999992E-4</v>
      </c>
      <c r="L59" s="1">
        <f t="shared" si="62"/>
        <v>2.9999999999999992E-4</v>
      </c>
      <c r="M59" s="1">
        <f t="shared" si="63"/>
        <v>5.0000000000000044E-4</v>
      </c>
      <c r="N59" s="1">
        <f t="shared" si="64"/>
        <v>6.0000000000000157E-4</v>
      </c>
      <c r="O59" s="1">
        <f t="shared" si="65"/>
        <v>2.9999999999999992E-4</v>
      </c>
      <c r="P59" s="1">
        <f t="shared" si="66"/>
        <v>3.9999999999999931E-4</v>
      </c>
      <c r="AD59" s="85"/>
      <c r="BL59" s="5"/>
      <c r="BM59" s="5"/>
      <c r="BN59" s="5"/>
      <c r="BO59" s="5"/>
      <c r="BP59" s="5"/>
      <c r="BQ59" s="5"/>
    </row>
    <row r="60" spans="1:69" x14ac:dyDescent="0.35">
      <c r="A60" s="25"/>
      <c r="B60" s="145"/>
      <c r="C60" s="146"/>
      <c r="D60" s="147"/>
      <c r="E60" s="146"/>
      <c r="F60" s="146"/>
      <c r="G60" s="146"/>
      <c r="H60" s="145"/>
      <c r="I60" s="146"/>
      <c r="J60" s="147"/>
      <c r="K60" s="86"/>
      <c r="L60" s="86"/>
      <c r="M60" s="86"/>
      <c r="N60" s="86"/>
      <c r="O60" s="86"/>
      <c r="P60" s="86"/>
    </row>
    <row r="62" spans="1:69" x14ac:dyDescent="0.35">
      <c r="A62" s="10" t="s">
        <v>19</v>
      </c>
      <c r="B62" s="166"/>
      <c r="C62" s="166"/>
      <c r="D62" s="166"/>
      <c r="E62" s="166"/>
      <c r="F62" s="166"/>
      <c r="G62" s="166"/>
      <c r="H62" s="5"/>
      <c r="I62" s="5"/>
      <c r="J62" s="5"/>
    </row>
    <row r="63" spans="1:69" x14ac:dyDescent="0.35">
      <c r="A63" s="170" t="s">
        <v>51</v>
      </c>
      <c r="B63" s="170"/>
      <c r="C63" s="170"/>
      <c r="D63" s="170"/>
      <c r="E63" s="170"/>
      <c r="F63" s="170"/>
      <c r="G63" s="170"/>
      <c r="H63" s="170"/>
      <c r="I63" s="170"/>
      <c r="J63" s="170"/>
    </row>
    <row r="64" spans="1:69" ht="19.25" customHeight="1" x14ac:dyDescent="0.35">
      <c r="A64" s="164" t="s">
        <v>52</v>
      </c>
      <c r="B64" s="164"/>
      <c r="C64" s="164"/>
      <c r="D64" s="164"/>
      <c r="E64" s="164"/>
      <c r="F64" s="164"/>
      <c r="G64" s="164"/>
      <c r="H64" s="164"/>
      <c r="I64" s="164"/>
      <c r="J64" s="164"/>
    </row>
    <row r="65" spans="1:10" ht="29.5" customHeight="1" x14ac:dyDescent="0.35">
      <c r="A65" s="165" t="s">
        <v>563</v>
      </c>
      <c r="B65" s="165"/>
      <c r="C65" s="165"/>
      <c r="D65" s="165"/>
      <c r="E65" s="165"/>
      <c r="F65" s="165"/>
      <c r="G65" s="165"/>
      <c r="H65" s="165"/>
      <c r="I65" s="165"/>
      <c r="J65" s="165"/>
    </row>
    <row r="66" spans="1:10" ht="32.25" customHeight="1" x14ac:dyDescent="0.35">
      <c r="A66" s="164"/>
      <c r="B66" s="164"/>
      <c r="C66" s="164"/>
      <c r="D66" s="164"/>
      <c r="E66" s="164"/>
      <c r="F66" s="164"/>
      <c r="G66" s="164"/>
      <c r="H66" s="164"/>
      <c r="I66" s="164"/>
      <c r="J66" s="164"/>
    </row>
  </sheetData>
  <mergeCells count="25">
    <mergeCell ref="A65:J65"/>
    <mergeCell ref="B9:J9"/>
    <mergeCell ref="B36:J36"/>
    <mergeCell ref="B10:D10"/>
    <mergeCell ref="E10:G10"/>
    <mergeCell ref="H10:J10"/>
    <mergeCell ref="B22:D22"/>
    <mergeCell ref="E22:G22"/>
    <mergeCell ref="H22:J22"/>
    <mergeCell ref="A66:J66"/>
    <mergeCell ref="BL10:BM10"/>
    <mergeCell ref="BN10:BO10"/>
    <mergeCell ref="BP10:BQ10"/>
    <mergeCell ref="BL22:BM22"/>
    <mergeCell ref="BN22:BO22"/>
    <mergeCell ref="BP22:BQ22"/>
    <mergeCell ref="B37:D37"/>
    <mergeCell ref="E37:G37"/>
    <mergeCell ref="H37:J37"/>
    <mergeCell ref="B49:D49"/>
    <mergeCell ref="E49:G49"/>
    <mergeCell ref="H49:J49"/>
    <mergeCell ref="B62:G62"/>
    <mergeCell ref="A63:J63"/>
    <mergeCell ref="A64:J64"/>
  </mergeCells>
  <hyperlinks>
    <hyperlink ref="A2" location="Contents!A1" display="Back to contents" xr:uid="{0AE2BDC2-DC6B-4A15-ADD6-F01C9249AF27}"/>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Drop Down 1">
              <controlPr defaultSize="0" autoLine="0" autoPict="0">
                <anchor moveWithCells="1">
                  <from>
                    <xdr:col>0</xdr:col>
                    <xdr:colOff>38100</xdr:colOff>
                    <xdr:row>5</xdr:row>
                    <xdr:rowOff>63500</xdr:rowOff>
                  </from>
                  <to>
                    <xdr:col>1</xdr:col>
                    <xdr:colOff>0</xdr:colOff>
                    <xdr:row>6</xdr:row>
                    <xdr:rowOff>139700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DE962-980B-4C76-954F-0A4E1AA0D71F}">
  <dimension ref="A1:BP53"/>
  <sheetViews>
    <sheetView showGridLines="0" zoomScaleNormal="100" workbookViewId="0"/>
  </sheetViews>
  <sheetFormatPr defaultRowHeight="14.5" x14ac:dyDescent="0.35"/>
  <cols>
    <col min="1" max="1" width="19.1796875" bestFit="1" customWidth="1"/>
    <col min="2" max="2" width="18.1796875" customWidth="1"/>
    <col min="3" max="3" width="20.1796875" customWidth="1"/>
    <col min="4" max="4" width="25.81640625" customWidth="1"/>
    <col min="5" max="20" width="9.1796875" hidden="1" customWidth="1"/>
  </cols>
  <sheetData>
    <row r="1" spans="1:68" ht="15.5" x14ac:dyDescent="0.35">
      <c r="A1" s="5"/>
      <c r="B1" s="5"/>
      <c r="C1" s="5"/>
      <c r="D1" s="5"/>
      <c r="H1" s="37"/>
      <c r="I1" s="8"/>
      <c r="J1" s="8"/>
      <c r="K1" s="8"/>
      <c r="L1" s="8"/>
      <c r="M1" s="8"/>
      <c r="N1" s="8"/>
      <c r="O1" s="8"/>
      <c r="P1" s="8"/>
      <c r="Q1" s="8"/>
      <c r="R1" s="8"/>
      <c r="S1" s="8"/>
      <c r="AS1" s="101" t="s">
        <v>21</v>
      </c>
    </row>
    <row r="2" spans="1:68" ht="15.5" x14ac:dyDescent="0.35">
      <c r="A2" s="9" t="s">
        <v>22</v>
      </c>
      <c r="B2" s="5"/>
      <c r="C2" s="5"/>
      <c r="D2" s="5"/>
      <c r="H2" s="5" t="str">
        <f>"Estimated % OAT exposure in "&amp;R$9&amp;""</f>
        <v>Estimated % OAT exposure in Scotland</v>
      </c>
      <c r="I2" s="5"/>
      <c r="J2" s="5"/>
      <c r="K2" s="5"/>
      <c r="L2" s="5"/>
      <c r="M2" s="5"/>
      <c r="N2" s="5" t="str">
        <f>" Estimated OAT composition in "&amp;R$9&amp;""</f>
        <v xml:space="preserve"> Estimated OAT composition in Scotland</v>
      </c>
      <c r="O2" s="5"/>
      <c r="P2" s="5"/>
      <c r="Q2" s="5"/>
      <c r="R2" s="5"/>
      <c r="S2" s="5"/>
      <c r="BP2" s="101">
        <v>1</v>
      </c>
    </row>
    <row r="3" spans="1:68" ht="17.5" x14ac:dyDescent="0.35">
      <c r="A3" s="10" t="s">
        <v>67</v>
      </c>
      <c r="B3" s="10" t="s">
        <v>572</v>
      </c>
      <c r="C3" s="5"/>
      <c r="D3" s="22"/>
      <c r="H3" s="5"/>
      <c r="I3" s="5"/>
      <c r="J3" s="5"/>
      <c r="K3" s="5"/>
      <c r="L3" s="5"/>
      <c r="M3" s="5"/>
      <c r="N3" s="5"/>
      <c r="O3" s="5"/>
      <c r="P3" s="5"/>
      <c r="Q3" s="5"/>
      <c r="R3" s="5"/>
      <c r="S3" s="5"/>
    </row>
    <row r="4" spans="1:68" ht="15.5" x14ac:dyDescent="0.35">
      <c r="A4" s="5"/>
      <c r="B4" s="5" t="s">
        <v>68</v>
      </c>
      <c r="C4" s="5"/>
      <c r="D4" s="22"/>
      <c r="H4" s="5"/>
      <c r="I4" s="5"/>
      <c r="J4" s="5"/>
      <c r="K4" s="5"/>
      <c r="L4" s="5"/>
      <c r="M4" s="5"/>
      <c r="N4" s="5"/>
      <c r="O4" s="5"/>
      <c r="P4" s="5"/>
      <c r="Q4" s="5"/>
      <c r="R4" s="5"/>
      <c r="S4" s="5"/>
    </row>
    <row r="5" spans="1:68" ht="15.5" x14ac:dyDescent="0.35">
      <c r="A5" s="11" t="s">
        <v>25</v>
      </c>
      <c r="B5" s="11"/>
      <c r="C5" s="5"/>
      <c r="D5" s="5"/>
      <c r="H5" s="7"/>
      <c r="I5" s="5"/>
      <c r="J5" s="5"/>
      <c r="K5" s="5"/>
      <c r="L5" s="5"/>
      <c r="M5" s="5"/>
      <c r="N5" s="5"/>
      <c r="O5" s="5"/>
      <c r="P5" s="5"/>
      <c r="Q5" s="5"/>
      <c r="R5" s="5"/>
      <c r="S5" s="5"/>
    </row>
    <row r="6" spans="1:68" ht="15.5" x14ac:dyDescent="0.35">
      <c r="A6" s="5"/>
      <c r="B6" s="5"/>
      <c r="C6" s="5"/>
      <c r="D6" s="5"/>
      <c r="H6" s="7"/>
      <c r="I6" s="5"/>
      <c r="J6" s="5"/>
      <c r="K6" s="5"/>
      <c r="L6" s="5"/>
      <c r="M6" s="5"/>
      <c r="N6" s="5"/>
      <c r="O6" s="5"/>
      <c r="P6" s="5"/>
      <c r="Q6" s="5"/>
      <c r="R6" s="5"/>
      <c r="S6" s="5"/>
    </row>
    <row r="7" spans="1:68" ht="15.5" x14ac:dyDescent="0.35">
      <c r="A7" s="5"/>
      <c r="B7" s="5"/>
      <c r="C7" s="5"/>
      <c r="D7" s="5"/>
      <c r="H7" s="7"/>
      <c r="I7" s="5" t="s">
        <v>26</v>
      </c>
      <c r="J7" s="5" t="s">
        <v>27</v>
      </c>
      <c r="K7" s="5"/>
      <c r="L7" s="5"/>
      <c r="M7" s="5"/>
      <c r="N7" s="5" t="s">
        <v>28</v>
      </c>
      <c r="O7" s="5"/>
      <c r="P7" s="5"/>
      <c r="Q7" s="5"/>
      <c r="R7" s="5"/>
      <c r="S7" s="5" t="s">
        <v>29</v>
      </c>
    </row>
    <row r="8" spans="1:68" ht="15.5" x14ac:dyDescent="0.35">
      <c r="H8" s="7"/>
      <c r="I8" s="5"/>
      <c r="J8" s="5"/>
      <c r="K8" s="5"/>
      <c r="L8" s="5"/>
      <c r="M8" s="5"/>
      <c r="N8" s="5"/>
      <c r="O8" s="5"/>
      <c r="P8" s="5"/>
      <c r="Q8" s="5"/>
      <c r="R8" s="5"/>
      <c r="S8" s="5"/>
    </row>
    <row r="9" spans="1:68" ht="15.5" x14ac:dyDescent="0.35">
      <c r="A9" s="5"/>
      <c r="B9" s="5"/>
      <c r="C9" s="5"/>
      <c r="D9" s="5"/>
      <c r="H9" s="7"/>
      <c r="I9" s="5" t="s">
        <v>31</v>
      </c>
      <c r="J9" s="5" t="s">
        <v>31</v>
      </c>
      <c r="K9" s="12"/>
      <c r="L9" s="5" t="s">
        <v>32</v>
      </c>
      <c r="M9" s="5" t="s">
        <v>32</v>
      </c>
      <c r="N9" s="5"/>
      <c r="O9" s="14"/>
      <c r="P9" s="5"/>
      <c r="Q9" s="13">
        <v>1</v>
      </c>
      <c r="R9" s="12" t="str">
        <f>INDEX(M9:M16,Q9)</f>
        <v>Scotland</v>
      </c>
      <c r="S9" s="5"/>
    </row>
    <row r="10" spans="1:68" ht="15.5" x14ac:dyDescent="0.35">
      <c r="A10" s="119"/>
      <c r="B10" s="183"/>
      <c r="C10" s="183"/>
      <c r="D10" s="183"/>
      <c r="H10" s="57"/>
      <c r="I10" s="5" t="s">
        <v>37</v>
      </c>
      <c r="J10" s="5"/>
      <c r="K10" s="12"/>
      <c r="L10" s="5" t="str">
        <f>IF($AF$9=5,N10,IF($AF$9=3,O16,M10))</f>
        <v>NHS Ayrshire &amp; Arran</v>
      </c>
      <c r="M10" s="5" t="s">
        <v>130</v>
      </c>
      <c r="N10" s="5"/>
      <c r="O10" s="5"/>
      <c r="P10" s="12"/>
      <c r="Q10" s="5"/>
      <c r="R10" s="5"/>
      <c r="S10" s="5"/>
    </row>
    <row r="11" spans="1:68" ht="24" customHeight="1" x14ac:dyDescent="0.35">
      <c r="A11" s="28" t="s">
        <v>30</v>
      </c>
      <c r="B11" s="167" t="s">
        <v>31</v>
      </c>
      <c r="C11" s="167"/>
      <c r="D11" s="168"/>
      <c r="F11" s="184"/>
      <c r="G11" s="184"/>
      <c r="H11" s="57"/>
      <c r="I11" s="5" t="s">
        <v>42</v>
      </c>
      <c r="J11" s="5"/>
      <c r="K11" s="12"/>
      <c r="L11" s="5" t="str">
        <f>IF($AF$9=5,N11,IF($AF$9=3,O23,M11))</f>
        <v>NHS Fife</v>
      </c>
      <c r="M11" s="5" t="s">
        <v>129</v>
      </c>
      <c r="N11" s="5"/>
      <c r="O11" s="5"/>
      <c r="P11" s="3"/>
      <c r="Q11" s="5"/>
      <c r="R11" s="5"/>
      <c r="S11" s="5"/>
      <c r="AJ11" t="s">
        <v>69</v>
      </c>
    </row>
    <row r="12" spans="1:68" ht="53.25" customHeight="1" x14ac:dyDescent="0.35">
      <c r="A12" s="44" t="s">
        <v>33</v>
      </c>
      <c r="B12" s="97" t="s">
        <v>70</v>
      </c>
      <c r="C12" s="98" t="s">
        <v>71</v>
      </c>
      <c r="D12" s="99" t="s">
        <v>72</v>
      </c>
      <c r="F12" s="67" t="s">
        <v>73</v>
      </c>
      <c r="G12" s="67" t="s">
        <v>35</v>
      </c>
      <c r="H12" s="57"/>
      <c r="I12" s="5"/>
      <c r="J12" s="5"/>
      <c r="K12" s="12"/>
      <c r="L12" s="5" t="str">
        <f t="shared" ref="L12:L16" si="0">IF($AF$9=5,N12,IF($AF$9=3,O24,M12))</f>
        <v>NHS Grampian</v>
      </c>
      <c r="M12" s="5" t="s">
        <v>128</v>
      </c>
      <c r="N12" s="5"/>
      <c r="O12" s="5"/>
      <c r="P12" s="4"/>
      <c r="Q12" s="5"/>
      <c r="R12" s="5"/>
      <c r="S12" s="5"/>
    </row>
    <row r="13" spans="1:68" ht="15.5" x14ac:dyDescent="0.35">
      <c r="A13" s="38" t="s">
        <v>39</v>
      </c>
      <c r="B13" s="33">
        <f>INDEX(Sex!$A:$S,MATCH(CONCATENATE($A13,$R$9,"All","All"),Sex!$A:$A,0),16)</f>
        <v>28360</v>
      </c>
      <c r="C13" s="30">
        <f>F13-B13</f>
        <v>6842</v>
      </c>
      <c r="D13" s="31">
        <f t="shared" ref="D13" si="1">G13-F13</f>
        <v>13498</v>
      </c>
      <c r="F13" s="30">
        <f>INDEX(Sex!$A:$S,MATCH(CONCATENATE($A13,$R$9,"All","All"),Sex!$A:$A,0),12)</f>
        <v>35202</v>
      </c>
      <c r="G13" s="30">
        <f>INDEX(Sex!$A:$S,MATCH(CONCATENATE($A13,$R$9,"All","All"),Sex!$A:$A,0),6)</f>
        <v>48700</v>
      </c>
      <c r="H13" s="57"/>
      <c r="I13" s="5"/>
      <c r="J13" s="5"/>
      <c r="K13" s="12"/>
      <c r="L13" s="5" t="str">
        <f t="shared" si="0"/>
        <v>NHS Greater Glasgow &amp; Clyde</v>
      </c>
      <c r="M13" s="13" t="s">
        <v>38</v>
      </c>
      <c r="N13" s="5"/>
      <c r="O13" s="5"/>
      <c r="P13" s="5"/>
      <c r="Q13" s="4"/>
      <c r="R13" s="5"/>
      <c r="S13" s="5"/>
    </row>
    <row r="14" spans="1:68" ht="15.5" x14ac:dyDescent="0.35">
      <c r="A14" s="36" t="s">
        <v>44</v>
      </c>
      <c r="B14" s="34">
        <f>INDEX(Sex!$A:$S,MATCH(CONCATENATE($A14,$R$9,"All","All"),Sex!$A:$A,0),16)</f>
        <v>28818</v>
      </c>
      <c r="C14" s="18">
        <f t="shared" ref="C14:C21" si="2">F14-B14</f>
        <v>6513</v>
      </c>
      <c r="D14" s="20">
        <f t="shared" ref="D14:D21" si="3">G14-F14</f>
        <v>12069</v>
      </c>
      <c r="F14" s="30">
        <f>INDEX(Sex!$A:$S,MATCH(CONCATENATE($A14,$R$9,"All","All"),Sex!$A:$A,0),12)</f>
        <v>35331</v>
      </c>
      <c r="G14" s="30">
        <f>INDEX(Sex!$A:$S,MATCH(CONCATENATE($A14,$R$9,"All","All"),Sex!$A:$A,0),6)</f>
        <v>47400</v>
      </c>
      <c r="H14" s="57"/>
      <c r="I14" s="5"/>
      <c r="J14" s="5"/>
      <c r="K14" s="12"/>
      <c r="L14" s="5" t="str">
        <f t="shared" si="0"/>
        <v>NHS Lanarkshire</v>
      </c>
      <c r="M14" s="5" t="s">
        <v>127</v>
      </c>
      <c r="N14" s="5"/>
      <c r="O14" s="5"/>
      <c r="P14" s="5"/>
      <c r="Q14" s="4"/>
      <c r="R14" s="5"/>
      <c r="S14" s="5"/>
    </row>
    <row r="15" spans="1:68" ht="15.5" x14ac:dyDescent="0.35">
      <c r="A15" s="36" t="s">
        <v>46</v>
      </c>
      <c r="B15" s="34">
        <f>INDEX(Sex!$A:$S,MATCH(CONCATENATE($A15,$R$9,"All","All"),Sex!$A:$A,0),16)</f>
        <v>29220</v>
      </c>
      <c r="C15" s="18">
        <f t="shared" si="2"/>
        <v>6187</v>
      </c>
      <c r="D15" s="20">
        <f t="shared" si="3"/>
        <v>11093</v>
      </c>
      <c r="F15" s="30">
        <f>INDEX(Sex!$A:$S,MATCH(CONCATENATE($A15,$R$9,"All","All"),Sex!$A:$A,0),12)</f>
        <v>35407</v>
      </c>
      <c r="G15" s="30">
        <f>INDEX(Sex!$A:$S,MATCH(CONCATENATE($A15,$R$9,"All","All"),Sex!$A:$A,0),6)</f>
        <v>46500</v>
      </c>
      <c r="H15" s="57"/>
      <c r="I15" s="5"/>
      <c r="J15" s="5"/>
      <c r="K15" s="12"/>
      <c r="L15" s="5" t="str">
        <f t="shared" si="0"/>
        <v>NHS Lothian</v>
      </c>
      <c r="M15" s="13" t="s">
        <v>43</v>
      </c>
      <c r="N15" s="5"/>
      <c r="O15" s="5"/>
      <c r="P15" s="5"/>
      <c r="Q15" s="4"/>
      <c r="R15" s="5"/>
      <c r="S15" s="5"/>
    </row>
    <row r="16" spans="1:68" ht="15.5" x14ac:dyDescent="0.35">
      <c r="A16" s="36" t="s">
        <v>47</v>
      </c>
      <c r="B16" s="34">
        <f>INDEX(Sex!$A:$S,MATCH(CONCATENATE($A16,$R$9,"All","All"),Sex!$A:$A,0),16)</f>
        <v>29381</v>
      </c>
      <c r="C16" s="18">
        <f t="shared" si="2"/>
        <v>5976</v>
      </c>
      <c r="D16" s="20">
        <f t="shared" si="3"/>
        <v>9443</v>
      </c>
      <c r="F16" s="30">
        <f>INDEX(Sex!$A:$S,MATCH(CONCATENATE($A16,$R$9,"All","All"),Sex!$A:$A,0),12)</f>
        <v>35357</v>
      </c>
      <c r="G16" s="30">
        <f>INDEX(Sex!$A:$S,MATCH(CONCATENATE($A16,$R$9,"All","All"),Sex!$A:$A,0),6)</f>
        <v>44800</v>
      </c>
      <c r="H16" s="57"/>
      <c r="I16" s="5"/>
      <c r="J16" s="5"/>
      <c r="K16" s="5"/>
      <c r="L16" s="5" t="str">
        <f t="shared" si="0"/>
        <v>NHS Tayside</v>
      </c>
      <c r="M16" s="13" t="s">
        <v>45</v>
      </c>
      <c r="N16" s="5"/>
      <c r="O16" s="5"/>
      <c r="P16" s="5"/>
      <c r="Q16" s="4"/>
      <c r="R16" s="5"/>
      <c r="S16" s="5"/>
    </row>
    <row r="17" spans="1:19" ht="15.5" x14ac:dyDescent="0.35">
      <c r="A17" s="36" t="s">
        <v>48</v>
      </c>
      <c r="B17" s="34">
        <f>INDEX(Sex!$A:$S,MATCH(CONCATENATE($A17,$R$9,"All","All"),Sex!$A:$A,0),16)</f>
        <v>29072</v>
      </c>
      <c r="C17" s="18">
        <f t="shared" si="2"/>
        <v>5973</v>
      </c>
      <c r="D17" s="20">
        <f t="shared" si="3"/>
        <v>10155</v>
      </c>
      <c r="F17" s="30">
        <f>INDEX(Sex!$A:$S,MATCH(CONCATENATE($A17,$R$9,"All","All"),Sex!$A:$A,0),12)</f>
        <v>35045</v>
      </c>
      <c r="G17" s="30">
        <f>INDEX(Sex!$A:$S,MATCH(CONCATENATE($A17,$R$9,"All","All"),Sex!$A:$A,0),6)</f>
        <v>45200</v>
      </c>
      <c r="H17" s="57"/>
      <c r="I17" s="5"/>
      <c r="J17" s="5"/>
      <c r="K17" s="5"/>
      <c r="L17" s="5"/>
      <c r="M17" s="5"/>
      <c r="N17" s="5"/>
      <c r="O17" s="5"/>
      <c r="P17" s="5"/>
      <c r="Q17" s="4"/>
      <c r="R17" s="5"/>
      <c r="S17" s="5"/>
    </row>
    <row r="18" spans="1:19" ht="15.5" x14ac:dyDescent="0.35">
      <c r="A18" s="36" t="s">
        <v>49</v>
      </c>
      <c r="B18" s="34">
        <f>INDEX(Sex!$A:$S,MATCH(CONCATENATE($A18,$R$9,"All","All"),Sex!$A:$A,0),16)</f>
        <v>28865</v>
      </c>
      <c r="C18" s="18">
        <f t="shared" si="2"/>
        <v>6072</v>
      </c>
      <c r="D18" s="20">
        <f t="shared" si="3"/>
        <v>12163</v>
      </c>
      <c r="F18" s="30">
        <f>INDEX(Sex!$A:$S,MATCH(CONCATENATE($A18,$R$9,"All","All"),Sex!$A:$A,0),12)</f>
        <v>34937</v>
      </c>
      <c r="G18" s="30">
        <f>INDEX(Sex!$A:$S,MATCH(CONCATENATE($A18,$R$9,"All","All"),Sex!$A:$A,0),6)</f>
        <v>47100</v>
      </c>
      <c r="H18" s="57"/>
      <c r="I18" s="5"/>
      <c r="J18" s="5"/>
      <c r="K18" s="5"/>
      <c r="L18" s="5"/>
      <c r="M18" s="5"/>
      <c r="N18" s="5"/>
      <c r="O18" s="5"/>
      <c r="P18" s="5"/>
      <c r="Q18" s="4"/>
      <c r="R18" s="5"/>
      <c r="S18" s="5"/>
    </row>
    <row r="19" spans="1:19" ht="15.5" x14ac:dyDescent="0.35">
      <c r="A19" s="36" t="s">
        <v>124</v>
      </c>
      <c r="B19" s="34">
        <f>INDEX(Sex!$A:$S,MATCH(CONCATENATE($A19,$R$9,"All","All"),Sex!$A:$A,0),16)</f>
        <v>29051</v>
      </c>
      <c r="C19" s="18">
        <f t="shared" si="2"/>
        <v>5948</v>
      </c>
      <c r="D19" s="20">
        <f t="shared" si="3"/>
        <v>13101</v>
      </c>
      <c r="F19" s="30">
        <f>INDEX(Sex!$A:$S,MATCH(CONCATENATE($A19,$R$9,"All","All"),Sex!$A:$A,0),12)</f>
        <v>34999</v>
      </c>
      <c r="G19" s="30">
        <f>INDEX(Sex!$A:$S,MATCH(CONCATENATE($A19,$R$9,"All","All"),Sex!$A:$A,0),6)</f>
        <v>48100</v>
      </c>
      <c r="H19" s="57"/>
      <c r="I19" s="5"/>
      <c r="J19" s="5"/>
      <c r="K19" s="5"/>
      <c r="L19" s="5"/>
      <c r="M19" s="5"/>
      <c r="N19" s="5"/>
      <c r="O19" s="5"/>
      <c r="P19" s="5"/>
      <c r="Q19" s="4"/>
      <c r="R19" s="5"/>
      <c r="S19" s="5"/>
    </row>
    <row r="20" spans="1:19" ht="15.5" x14ac:dyDescent="0.35">
      <c r="A20" s="36" t="s">
        <v>125</v>
      </c>
      <c r="B20" s="34">
        <f>INDEX(Sex!$A:$S,MATCH(CONCATENATE($A20,$R$9,"All","All"),Sex!$A:$A,0),16)</f>
        <v>29212</v>
      </c>
      <c r="C20" s="18">
        <f t="shared" si="2"/>
        <v>5402</v>
      </c>
      <c r="D20" s="20">
        <f t="shared" si="3"/>
        <v>11486</v>
      </c>
      <c r="F20" s="30">
        <f>INDEX(Sex!$A:$S,MATCH(CONCATENATE($A20,$R$9,"All","All"),Sex!$A:$A,0),12)</f>
        <v>34614</v>
      </c>
      <c r="G20" s="30">
        <f>INDEX(Sex!$A:$S,MATCH(CONCATENATE($A20,$R$9,"All","All"),Sex!$A:$A,0),6)</f>
        <v>46100</v>
      </c>
      <c r="H20" s="57"/>
      <c r="I20" s="5"/>
      <c r="J20" s="5"/>
      <c r="K20" s="5"/>
      <c r="L20" s="5"/>
      <c r="M20" s="5"/>
      <c r="N20" s="5"/>
      <c r="O20" s="5"/>
      <c r="P20" s="5"/>
      <c r="Q20" s="4"/>
      <c r="R20" s="5"/>
      <c r="S20" s="5"/>
    </row>
    <row r="21" spans="1:19" ht="15.5" x14ac:dyDescent="0.35">
      <c r="A21" s="36" t="s">
        <v>126</v>
      </c>
      <c r="B21" s="34">
        <f>INDEX(Sex!$A:$S,MATCH(CONCATENATE($A21,$R$9,"All","All"),Sex!$A:$A,0),16)</f>
        <v>28576</v>
      </c>
      <c r="C21" s="18">
        <f t="shared" si="2"/>
        <v>5543</v>
      </c>
      <c r="D21" s="20">
        <f t="shared" si="3"/>
        <v>9281</v>
      </c>
      <c r="F21" s="30">
        <f>INDEX(Sex!$A:$S,MATCH(CONCATENATE($A21,$R$9,"All","All"),Sex!$A:$A,0),12)</f>
        <v>34119</v>
      </c>
      <c r="G21" s="30">
        <f>INDEX(Sex!$A:$S,MATCH(CONCATENATE($A21,$R$9,"All","All"),Sex!$A:$A,0),6)</f>
        <v>43400</v>
      </c>
      <c r="H21" s="57"/>
      <c r="I21" s="5"/>
      <c r="J21" s="5"/>
      <c r="K21" s="5"/>
      <c r="L21" s="5"/>
      <c r="M21" s="5"/>
      <c r="N21" s="5"/>
      <c r="O21" s="5"/>
      <c r="P21" s="5"/>
      <c r="Q21" s="4"/>
      <c r="R21" s="5"/>
      <c r="S21" s="5"/>
    </row>
    <row r="22" spans="1:19" ht="15.5" x14ac:dyDescent="0.35">
      <c r="A22" s="25"/>
      <c r="B22" s="25"/>
      <c r="C22" s="26"/>
      <c r="D22" s="27"/>
      <c r="H22" s="57"/>
      <c r="I22" s="5"/>
      <c r="J22" s="5"/>
      <c r="K22" s="5"/>
      <c r="L22" s="5"/>
      <c r="M22" s="5"/>
      <c r="N22" s="5"/>
      <c r="O22" s="5"/>
      <c r="P22" s="5"/>
      <c r="Q22" s="4"/>
      <c r="R22" s="5"/>
      <c r="S22" s="5"/>
    </row>
    <row r="23" spans="1:19" ht="15.5" x14ac:dyDescent="0.35">
      <c r="H23" s="5"/>
      <c r="I23" s="5"/>
      <c r="J23" s="5"/>
      <c r="K23" s="5"/>
      <c r="L23" s="5"/>
      <c r="M23" s="5"/>
      <c r="N23" s="5"/>
      <c r="O23" s="5"/>
      <c r="P23" s="4"/>
      <c r="Q23" s="5"/>
      <c r="R23" s="5"/>
      <c r="S23" s="5"/>
    </row>
    <row r="24" spans="1:19" ht="15.5" x14ac:dyDescent="0.35">
      <c r="H24" s="16"/>
      <c r="I24" s="5"/>
      <c r="J24" s="5"/>
      <c r="K24" s="5"/>
      <c r="L24" s="5"/>
      <c r="M24" s="5"/>
      <c r="N24" s="5"/>
      <c r="O24" s="5"/>
      <c r="P24" s="5"/>
      <c r="Q24" s="5"/>
      <c r="R24" s="5"/>
      <c r="S24" s="5"/>
    </row>
    <row r="25" spans="1:19" ht="15.5" x14ac:dyDescent="0.35">
      <c r="A25" s="119"/>
      <c r="B25" s="183"/>
      <c r="C25" s="183"/>
      <c r="D25" s="183"/>
      <c r="H25" s="5"/>
      <c r="I25" s="5"/>
      <c r="J25" s="5"/>
      <c r="K25" s="5"/>
      <c r="L25" s="5"/>
      <c r="M25" s="5"/>
      <c r="N25" s="5"/>
      <c r="O25" s="5"/>
      <c r="P25" s="5"/>
      <c r="Q25" s="5"/>
      <c r="R25" s="5"/>
      <c r="S25" s="5"/>
    </row>
    <row r="26" spans="1:19" ht="24" customHeight="1" x14ac:dyDescent="0.35">
      <c r="A26" s="28" t="s">
        <v>74</v>
      </c>
      <c r="B26" s="171" t="s">
        <v>31</v>
      </c>
      <c r="C26" s="167"/>
      <c r="D26" s="168"/>
      <c r="F26" s="184"/>
      <c r="G26" s="184"/>
      <c r="H26" s="5"/>
      <c r="I26" s="5"/>
      <c r="J26" s="5"/>
      <c r="K26" s="5"/>
      <c r="L26" s="5"/>
      <c r="M26" s="5"/>
      <c r="N26" s="5"/>
      <c r="O26" s="5"/>
      <c r="P26" s="5"/>
      <c r="Q26" s="5"/>
      <c r="R26" s="5"/>
      <c r="S26" s="5"/>
    </row>
    <row r="27" spans="1:19" ht="24" customHeight="1" x14ac:dyDescent="0.35">
      <c r="A27" s="131" t="s">
        <v>33</v>
      </c>
      <c r="B27" s="64" t="s">
        <v>34</v>
      </c>
      <c r="C27" s="64" t="s">
        <v>35</v>
      </c>
      <c r="D27" s="65" t="s">
        <v>36</v>
      </c>
      <c r="F27" s="67" t="s">
        <v>41</v>
      </c>
      <c r="G27" s="67" t="s">
        <v>40</v>
      </c>
      <c r="H27" s="5"/>
      <c r="I27" s="5"/>
      <c r="J27" s="5"/>
      <c r="K27" s="5"/>
      <c r="L27" s="5"/>
      <c r="M27" s="5"/>
      <c r="N27" s="5"/>
      <c r="O27" s="5"/>
      <c r="P27" s="5"/>
      <c r="Q27" s="5"/>
      <c r="R27" s="5"/>
      <c r="S27" s="5"/>
    </row>
    <row r="28" spans="1:19" ht="15.5" x14ac:dyDescent="0.35">
      <c r="A28" s="38" t="s">
        <v>39</v>
      </c>
      <c r="B28" s="45">
        <f>INDEX(Sex!$A:$S,MATCH(CONCATENATE($A13,$R$9,"All","All"),Sex!$A:$A,0),18)</f>
        <v>0.56000000000000005</v>
      </c>
      <c r="C28" s="46">
        <f>INDEX(Sex!$A:$S,MATCH(CONCATENATE($A13,$R$9,"All","All"),Sex!$A:$A,0),17)</f>
        <v>0.57999999999999996</v>
      </c>
      <c r="D28" s="47">
        <f>INDEX(Sex!$A:$S,MATCH(CONCATENATE($A13,$R$9,"All","All"),Sex!$A:$A,0),19)</f>
        <v>0.61</v>
      </c>
      <c r="F28" s="2">
        <f t="shared" ref="F28" si="4">D28-C28</f>
        <v>3.0000000000000027E-2</v>
      </c>
      <c r="G28" s="2">
        <f t="shared" ref="G28" si="5">C28-B28</f>
        <v>1.9999999999999907E-2</v>
      </c>
      <c r="H28" s="5"/>
      <c r="I28" s="5"/>
      <c r="J28" s="5"/>
      <c r="K28" s="5"/>
      <c r="L28" s="5"/>
      <c r="M28" s="5"/>
      <c r="N28" s="5"/>
      <c r="O28" s="5"/>
      <c r="P28" s="5"/>
      <c r="Q28" s="5"/>
      <c r="R28" s="5"/>
      <c r="S28" s="5"/>
    </row>
    <row r="29" spans="1:19" ht="15.5" x14ac:dyDescent="0.35">
      <c r="A29" s="36" t="s">
        <v>44</v>
      </c>
      <c r="B29" s="48">
        <f>INDEX(Sex!$A:$S,MATCH(CONCATENATE($A14,$R$9,"All","All"),Sex!$A:$A,0),18)</f>
        <v>0.57999999999999996</v>
      </c>
      <c r="C29" s="49">
        <f>INDEX(Sex!$A:$S,MATCH(CONCATENATE($A14,$R$9,"All","All"),Sex!$A:$A,0),17)</f>
        <v>0.61</v>
      </c>
      <c r="D29" s="50">
        <f>INDEX(Sex!$A:$S,MATCH(CONCATENATE($A14,$R$9,"All","All"),Sex!$A:$A,0),19)</f>
        <v>0.63</v>
      </c>
      <c r="F29" s="2">
        <f t="shared" ref="F29:F36" si="6">D29-C29</f>
        <v>2.0000000000000018E-2</v>
      </c>
      <c r="G29" s="2">
        <f t="shared" ref="G29:G36" si="7">C29-B29</f>
        <v>3.0000000000000027E-2</v>
      </c>
      <c r="H29" s="7"/>
      <c r="I29" s="5"/>
      <c r="J29" s="5"/>
      <c r="K29" s="5"/>
      <c r="L29" s="5"/>
      <c r="M29" s="5"/>
      <c r="N29" s="5"/>
      <c r="O29" s="5"/>
      <c r="P29" s="5"/>
      <c r="Q29" s="5"/>
      <c r="R29" s="5"/>
      <c r="S29" s="5"/>
    </row>
    <row r="30" spans="1:19" ht="15.5" x14ac:dyDescent="0.35">
      <c r="A30" s="36" t="s">
        <v>46</v>
      </c>
      <c r="B30" s="48">
        <f>INDEX(Sex!$A:$S,MATCH(CONCATENATE($A15,$R$9,"All","All"),Sex!$A:$A,0),18)</f>
        <v>0.6</v>
      </c>
      <c r="C30" s="49">
        <f>INDEX(Sex!$A:$S,MATCH(CONCATENATE($A15,$R$9,"All","All"),Sex!$A:$A,0),17)</f>
        <v>0.63</v>
      </c>
      <c r="D30" s="50">
        <f>INDEX(Sex!$A:$S,MATCH(CONCATENATE($A15,$R$9,"All","All"),Sex!$A:$A,0),19)</f>
        <v>0.65</v>
      </c>
      <c r="F30" s="2">
        <f t="shared" si="6"/>
        <v>2.0000000000000018E-2</v>
      </c>
      <c r="G30" s="2">
        <f t="shared" si="7"/>
        <v>3.0000000000000027E-2</v>
      </c>
      <c r="H30" s="7"/>
      <c r="I30" s="5"/>
      <c r="J30" s="5"/>
      <c r="K30" s="5"/>
      <c r="L30" s="5"/>
      <c r="M30" s="5"/>
      <c r="N30" s="5"/>
      <c r="O30" s="5"/>
      <c r="P30" s="5"/>
      <c r="Q30" s="5"/>
      <c r="R30" s="5"/>
      <c r="S30" s="5"/>
    </row>
    <row r="31" spans="1:19" ht="15.5" x14ac:dyDescent="0.35">
      <c r="A31" s="36" t="s">
        <v>47</v>
      </c>
      <c r="B31" s="48">
        <f>INDEX(Sex!$A:$S,MATCH(CONCATENATE($A16,$R$9,"All","All"),Sex!$A:$A,0),18)</f>
        <v>0.64</v>
      </c>
      <c r="C31" s="49">
        <f>INDEX(Sex!$A:$S,MATCH(CONCATENATE($A16,$R$9,"All","All"),Sex!$A:$A,0),17)</f>
        <v>0.66</v>
      </c>
      <c r="D31" s="50">
        <f>INDEX(Sex!$A:$S,MATCH(CONCATENATE($A16,$R$9,"All","All"),Sex!$A:$A,0),19)</f>
        <v>0.68</v>
      </c>
      <c r="F31" s="2">
        <f t="shared" si="6"/>
        <v>2.0000000000000018E-2</v>
      </c>
      <c r="G31" s="2">
        <f t="shared" si="7"/>
        <v>2.0000000000000018E-2</v>
      </c>
      <c r="H31" s="7"/>
      <c r="I31" s="5"/>
      <c r="J31" s="5"/>
      <c r="K31" s="5"/>
      <c r="L31" s="5"/>
      <c r="M31" s="5"/>
      <c r="N31" s="5"/>
      <c r="O31" s="5"/>
      <c r="P31" s="5"/>
      <c r="Q31" s="5"/>
      <c r="R31" s="5"/>
      <c r="S31" s="5"/>
    </row>
    <row r="32" spans="1:19" ht="15.5" x14ac:dyDescent="0.35">
      <c r="A32" s="36" t="s">
        <v>48</v>
      </c>
      <c r="B32" s="48">
        <f>INDEX(Sex!$A:$S,MATCH(CONCATENATE($A17,$R$9,"All","All"),Sex!$A:$A,0),18)</f>
        <v>0.62</v>
      </c>
      <c r="C32" s="49">
        <f>INDEX(Sex!$A:$S,MATCH(CONCATENATE($A17,$R$9,"All","All"),Sex!$A:$A,0),17)</f>
        <v>0.64</v>
      </c>
      <c r="D32" s="50">
        <f>INDEX(Sex!$A:$S,MATCH(CONCATENATE($A17,$R$9,"All","All"),Sex!$A:$A,0),19)</f>
        <v>0.66</v>
      </c>
      <c r="F32" s="2">
        <f t="shared" si="6"/>
        <v>2.0000000000000018E-2</v>
      </c>
      <c r="G32" s="2">
        <f t="shared" si="7"/>
        <v>2.0000000000000018E-2</v>
      </c>
      <c r="H32" s="7"/>
      <c r="I32" s="5"/>
      <c r="J32" s="5"/>
      <c r="K32" s="5"/>
      <c r="L32" s="5"/>
      <c r="M32" s="5"/>
      <c r="N32" s="5"/>
      <c r="O32" s="5"/>
      <c r="P32" s="5"/>
      <c r="Q32" s="5"/>
      <c r="R32" s="5"/>
      <c r="S32" s="5"/>
    </row>
    <row r="33" spans="1:19" ht="15.5" x14ac:dyDescent="0.35">
      <c r="A33" s="36" t="s">
        <v>49</v>
      </c>
      <c r="B33" s="48">
        <f>INDEX(Sex!$A:$S,MATCH(CONCATENATE($A18,$R$9,"All","All"),Sex!$A:$A,0),18)</f>
        <v>0.59</v>
      </c>
      <c r="C33" s="49">
        <f>INDEX(Sex!$A:$S,MATCH(CONCATENATE($A18,$R$9,"All","All"),Sex!$A:$A,0),17)</f>
        <v>0.61</v>
      </c>
      <c r="D33" s="50">
        <f>INDEX(Sex!$A:$S,MATCH(CONCATENATE($A18,$R$9,"All","All"),Sex!$A:$A,0),19)</f>
        <v>0.63</v>
      </c>
      <c r="F33" s="2">
        <f t="shared" si="6"/>
        <v>2.0000000000000018E-2</v>
      </c>
      <c r="G33" s="2">
        <f t="shared" si="7"/>
        <v>2.0000000000000018E-2</v>
      </c>
      <c r="H33" s="7"/>
      <c r="I33" s="5"/>
      <c r="J33" s="5"/>
      <c r="K33" s="5"/>
      <c r="L33" s="5"/>
      <c r="M33" s="5"/>
      <c r="N33" s="5"/>
      <c r="O33" s="5"/>
      <c r="P33" s="5"/>
      <c r="Q33" s="5"/>
      <c r="R33" s="5"/>
      <c r="S33" s="5"/>
    </row>
    <row r="34" spans="1:19" ht="15.5" x14ac:dyDescent="0.35">
      <c r="A34" s="36" t="s">
        <v>124</v>
      </c>
      <c r="B34" s="48">
        <f>INDEX(Sex!$A:$S,MATCH(CONCATENATE($A19,$R$9,"All","All"),Sex!$A:$A,0),18)</f>
        <v>0.57999999999999996</v>
      </c>
      <c r="C34" s="49">
        <f>INDEX(Sex!$A:$S,MATCH(CONCATENATE($A19,$R$9,"All","All"),Sex!$A:$A,0),17)</f>
        <v>0.6</v>
      </c>
      <c r="D34" s="50">
        <f>INDEX(Sex!$A:$S,MATCH(CONCATENATE($A19,$R$9,"All","All"),Sex!$A:$A,0),19)</f>
        <v>0.62</v>
      </c>
      <c r="F34" s="2">
        <f t="shared" si="6"/>
        <v>2.0000000000000018E-2</v>
      </c>
      <c r="G34" s="2">
        <f t="shared" si="7"/>
        <v>2.0000000000000018E-2</v>
      </c>
      <c r="H34" s="57"/>
      <c r="I34" s="5"/>
      <c r="J34" s="5"/>
      <c r="K34" s="5"/>
      <c r="L34" s="5"/>
      <c r="M34" s="5"/>
      <c r="N34" s="5"/>
      <c r="O34" s="5"/>
      <c r="P34" s="5"/>
      <c r="Q34" s="4"/>
      <c r="R34" s="5"/>
      <c r="S34" s="5"/>
    </row>
    <row r="35" spans="1:19" ht="15.5" x14ac:dyDescent="0.35">
      <c r="A35" s="36" t="s">
        <v>125</v>
      </c>
      <c r="B35" s="48">
        <f>INDEX(Sex!$A:$S,MATCH(CONCATENATE($A20,$R$9,"All","All"),Sex!$A:$A,0),18)</f>
        <v>0.61</v>
      </c>
      <c r="C35" s="49">
        <f>INDEX(Sex!$A:$S,MATCH(CONCATENATE($A20,$R$9,"All","All"),Sex!$A:$A,0),17)</f>
        <v>0.63</v>
      </c>
      <c r="D35" s="50">
        <f>INDEX(Sex!$A:$S,MATCH(CONCATENATE($A20,$R$9,"All","All"),Sex!$A:$A,0),19)</f>
        <v>0.66</v>
      </c>
      <c r="F35" s="2">
        <f t="shared" si="6"/>
        <v>3.0000000000000027E-2</v>
      </c>
      <c r="G35" s="2">
        <f t="shared" si="7"/>
        <v>2.0000000000000018E-2</v>
      </c>
      <c r="H35" s="57"/>
      <c r="I35" s="5"/>
      <c r="J35" s="5"/>
      <c r="K35" s="5"/>
      <c r="L35" s="5"/>
      <c r="M35" s="5"/>
      <c r="N35" s="5"/>
      <c r="O35" s="5"/>
      <c r="P35" s="5"/>
      <c r="Q35" s="4"/>
      <c r="R35" s="5"/>
      <c r="S35" s="5"/>
    </row>
    <row r="36" spans="1:19" ht="15.5" x14ac:dyDescent="0.35">
      <c r="A36" s="36" t="s">
        <v>126</v>
      </c>
      <c r="B36" s="48">
        <f>INDEX(Sex!$A:$S,MATCH(CONCATENATE($A21,$R$9,"All","All"),Sex!$A:$A,0),18)</f>
        <v>0.63</v>
      </c>
      <c r="C36" s="49">
        <f>INDEX(Sex!$A:$S,MATCH(CONCATENATE($A21,$R$9,"All","All"),Sex!$A:$A,0),17)</f>
        <v>0.66</v>
      </c>
      <c r="D36" s="50">
        <f>INDEX(Sex!$A:$S,MATCH(CONCATENATE($A21,$R$9,"All","All"),Sex!$A:$A,0),19)</f>
        <v>0.68</v>
      </c>
      <c r="F36" s="2">
        <f t="shared" si="6"/>
        <v>2.0000000000000018E-2</v>
      </c>
      <c r="G36" s="2">
        <f t="shared" si="7"/>
        <v>3.0000000000000027E-2</v>
      </c>
      <c r="H36" s="57"/>
      <c r="I36" s="5"/>
      <c r="J36" s="5"/>
      <c r="K36" s="5"/>
      <c r="L36" s="5"/>
      <c r="M36" s="5"/>
      <c r="N36" s="5"/>
      <c r="O36" s="5"/>
      <c r="P36" s="5"/>
      <c r="Q36" s="4"/>
      <c r="R36" s="5"/>
      <c r="S36" s="5"/>
    </row>
    <row r="37" spans="1:19" ht="15.5" x14ac:dyDescent="0.35">
      <c r="A37" s="25"/>
      <c r="B37" s="25"/>
      <c r="C37" s="26"/>
      <c r="D37" s="27"/>
      <c r="H37" s="7"/>
      <c r="I37" s="5"/>
      <c r="J37" s="5"/>
      <c r="K37" s="5"/>
      <c r="L37" s="5"/>
      <c r="M37" s="5"/>
      <c r="N37" s="5"/>
      <c r="O37" s="5"/>
      <c r="P37" s="5"/>
      <c r="Q37" s="5"/>
      <c r="R37" s="5"/>
      <c r="S37" s="5"/>
    </row>
    <row r="38" spans="1:19" ht="15.5" x14ac:dyDescent="0.35">
      <c r="H38" s="7"/>
      <c r="I38" s="5"/>
      <c r="J38" s="5"/>
      <c r="K38" s="5"/>
      <c r="L38" s="5"/>
      <c r="M38" s="5"/>
      <c r="N38" s="5"/>
      <c r="O38" s="5"/>
      <c r="P38" s="5"/>
      <c r="Q38" s="5"/>
      <c r="R38" s="5"/>
      <c r="S38" s="5"/>
    </row>
    <row r="39" spans="1:19" ht="15.5" x14ac:dyDescent="0.35">
      <c r="A39" s="10" t="s">
        <v>19</v>
      </c>
      <c r="B39" s="55"/>
      <c r="C39" s="55"/>
      <c r="D39" s="55"/>
      <c r="H39" s="7"/>
      <c r="I39" s="5"/>
      <c r="J39" s="5"/>
      <c r="K39" s="5"/>
      <c r="L39" s="5"/>
      <c r="M39" s="5"/>
      <c r="N39" s="5"/>
      <c r="O39" s="5"/>
      <c r="P39" s="5"/>
      <c r="Q39" s="5"/>
      <c r="R39" s="5"/>
      <c r="S39" s="5"/>
    </row>
    <row r="40" spans="1:19" ht="15.5" x14ac:dyDescent="0.35">
      <c r="A40" s="182" t="s">
        <v>75</v>
      </c>
      <c r="B40" s="182"/>
      <c r="C40" s="182"/>
      <c r="D40" s="182"/>
      <c r="H40" s="7"/>
      <c r="I40" s="5"/>
      <c r="J40" s="5"/>
      <c r="K40" s="5"/>
      <c r="L40" s="5"/>
      <c r="M40" s="5"/>
      <c r="N40" s="5"/>
      <c r="O40" s="5"/>
      <c r="P40" s="5"/>
      <c r="Q40" s="5"/>
      <c r="R40" s="5"/>
      <c r="S40" s="5"/>
    </row>
    <row r="41" spans="1:19" ht="15.5" x14ac:dyDescent="0.35">
      <c r="A41" s="164" t="s">
        <v>76</v>
      </c>
      <c r="B41" s="164"/>
      <c r="C41" s="164"/>
      <c r="D41" s="164"/>
      <c r="H41" s="7"/>
      <c r="I41" s="5"/>
      <c r="J41" s="5"/>
      <c r="K41" s="5"/>
      <c r="L41" s="5"/>
      <c r="M41" s="5"/>
      <c r="N41" s="5"/>
      <c r="O41" s="5"/>
      <c r="P41" s="5"/>
      <c r="Q41" s="5"/>
      <c r="R41" s="5"/>
      <c r="S41" s="5"/>
    </row>
    <row r="42" spans="1:19" ht="18.5" customHeight="1" x14ac:dyDescent="0.35">
      <c r="A42" s="164" t="s">
        <v>566</v>
      </c>
      <c r="B42" s="164"/>
      <c r="C42" s="164"/>
      <c r="D42" s="164"/>
      <c r="F42" s="109" t="s">
        <v>70</v>
      </c>
      <c r="H42" s="7"/>
      <c r="I42" s="5"/>
      <c r="J42" s="5"/>
      <c r="K42" s="5"/>
      <c r="L42" s="5"/>
      <c r="M42" s="5"/>
      <c r="N42" s="5"/>
      <c r="O42" s="5"/>
      <c r="P42" s="5"/>
      <c r="Q42" s="5"/>
      <c r="R42" s="5"/>
      <c r="S42" s="5"/>
    </row>
    <row r="43" spans="1:19" ht="94.5" customHeight="1" x14ac:dyDescent="0.35">
      <c r="E43" s="100"/>
      <c r="F43" s="98" t="s">
        <v>71</v>
      </c>
      <c r="G43" s="100"/>
      <c r="H43" s="7"/>
      <c r="I43" s="5"/>
      <c r="J43" s="5"/>
      <c r="K43" s="5"/>
      <c r="L43" s="5"/>
      <c r="M43" s="5"/>
      <c r="N43" s="5"/>
      <c r="O43" s="5"/>
      <c r="P43" s="5"/>
      <c r="Q43" s="5"/>
      <c r="R43" s="5"/>
      <c r="S43" s="5"/>
    </row>
    <row r="44" spans="1:19" ht="23" customHeight="1" x14ac:dyDescent="0.35">
      <c r="F44" s="99" t="s">
        <v>80</v>
      </c>
      <c r="H44" s="7"/>
      <c r="I44" s="5"/>
      <c r="J44" s="5"/>
      <c r="K44" s="5"/>
      <c r="L44" s="5"/>
      <c r="M44" s="5"/>
      <c r="N44" s="5"/>
      <c r="O44" s="5"/>
      <c r="P44" s="5"/>
      <c r="Q44" s="5"/>
      <c r="R44" s="5"/>
      <c r="S44" s="5"/>
    </row>
    <row r="45" spans="1:19" ht="15.5" x14ac:dyDescent="0.35">
      <c r="H45" s="7"/>
      <c r="I45" s="5"/>
      <c r="J45" s="5"/>
      <c r="K45" s="5"/>
      <c r="L45" s="5"/>
      <c r="M45" s="5"/>
      <c r="N45" s="5"/>
      <c r="O45" s="5"/>
      <c r="P45" s="5"/>
      <c r="Q45" s="5"/>
      <c r="R45" s="5"/>
      <c r="S45" s="5"/>
    </row>
    <row r="46" spans="1:19" ht="15.5" x14ac:dyDescent="0.35">
      <c r="H46" s="7"/>
      <c r="I46" s="5"/>
      <c r="J46" s="5"/>
      <c r="K46" s="5"/>
      <c r="L46" s="5"/>
      <c r="M46" s="5"/>
      <c r="N46" s="5"/>
      <c r="O46" s="5"/>
      <c r="P46" s="5"/>
      <c r="Q46" s="5"/>
      <c r="R46" s="5"/>
      <c r="S46" s="5"/>
    </row>
    <row r="47" spans="1:19" ht="15.5" x14ac:dyDescent="0.35">
      <c r="H47" s="7"/>
      <c r="I47" s="5"/>
      <c r="J47" s="5"/>
      <c r="K47" s="5"/>
      <c r="L47" s="5"/>
      <c r="M47" s="5"/>
      <c r="N47" s="5"/>
      <c r="O47" s="5"/>
      <c r="P47" s="5"/>
      <c r="Q47" s="5"/>
      <c r="R47" s="5"/>
      <c r="S47" s="5"/>
    </row>
    <row r="48" spans="1:19" ht="15.5" x14ac:dyDescent="0.35">
      <c r="H48" s="7"/>
      <c r="I48" s="5"/>
      <c r="J48" s="5"/>
      <c r="K48" s="5"/>
      <c r="L48" s="5"/>
      <c r="M48" s="5"/>
      <c r="N48" s="5"/>
      <c r="O48" s="5"/>
      <c r="P48" s="5"/>
      <c r="Q48" s="5"/>
      <c r="R48" s="5"/>
      <c r="S48" s="5"/>
    </row>
    <row r="49" spans="8:19" ht="15.5" x14ac:dyDescent="0.35">
      <c r="H49" s="7"/>
      <c r="I49" s="5"/>
      <c r="J49" s="5"/>
      <c r="K49" s="5"/>
      <c r="L49" s="5"/>
      <c r="M49" s="5"/>
      <c r="N49" s="5"/>
      <c r="O49" s="5"/>
      <c r="P49" s="5"/>
      <c r="Q49" s="5"/>
      <c r="R49" s="5"/>
      <c r="S49" s="5"/>
    </row>
    <row r="50" spans="8:19" ht="15.5" x14ac:dyDescent="0.35">
      <c r="H50" s="7"/>
      <c r="I50" s="5"/>
      <c r="J50" s="5"/>
      <c r="K50" s="5"/>
      <c r="L50" s="5"/>
      <c r="M50" s="5"/>
      <c r="N50" s="5"/>
      <c r="O50" s="5"/>
      <c r="P50" s="5"/>
      <c r="Q50" s="5"/>
      <c r="R50" s="5"/>
      <c r="S50" s="5"/>
    </row>
    <row r="51" spans="8:19" ht="15.5" x14ac:dyDescent="0.35">
      <c r="H51" s="7"/>
      <c r="I51" s="5"/>
      <c r="J51" s="5"/>
      <c r="K51" s="5"/>
      <c r="L51" s="5"/>
      <c r="M51" s="5"/>
      <c r="N51" s="5"/>
      <c r="O51" s="5"/>
      <c r="P51" s="5"/>
      <c r="Q51" s="5"/>
      <c r="R51" s="5"/>
      <c r="S51" s="5"/>
    </row>
    <row r="52" spans="8:19" ht="15.5" x14ac:dyDescent="0.35">
      <c r="H52" s="7"/>
      <c r="I52" s="5"/>
      <c r="J52" s="5"/>
      <c r="K52" s="5"/>
      <c r="L52" s="5"/>
      <c r="M52" s="5"/>
      <c r="N52" s="5"/>
      <c r="O52" s="5"/>
      <c r="P52" s="5"/>
      <c r="Q52" s="5"/>
      <c r="R52" s="5"/>
      <c r="S52" s="5"/>
    </row>
    <row r="53" spans="8:19" ht="15.5" x14ac:dyDescent="0.35">
      <c r="H53" s="7"/>
      <c r="I53" s="5"/>
      <c r="J53" s="5"/>
      <c r="K53" s="5"/>
      <c r="L53" s="5"/>
      <c r="M53" s="5"/>
      <c r="N53" s="5"/>
      <c r="O53" s="5"/>
      <c r="P53" s="5"/>
      <c r="Q53" s="5"/>
      <c r="R53" s="5"/>
      <c r="S53" s="5"/>
    </row>
  </sheetData>
  <mergeCells count="9">
    <mergeCell ref="B11:D11"/>
    <mergeCell ref="B26:D26"/>
    <mergeCell ref="B10:D10"/>
    <mergeCell ref="F11:G11"/>
    <mergeCell ref="A40:D40"/>
    <mergeCell ref="A41:D41"/>
    <mergeCell ref="A42:D42"/>
    <mergeCell ref="B25:D25"/>
    <mergeCell ref="F26:G26"/>
  </mergeCells>
  <hyperlinks>
    <hyperlink ref="A2" location="Contents!A1" display="Back to contents" xr:uid="{5BA94D11-735F-453C-BBBF-DCEF21AF0A68}"/>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3010" r:id="rId3" name="Drop Down 2">
              <controlPr defaultSize="0" autoLine="0" autoPict="0">
                <anchor moveWithCells="1">
                  <from>
                    <xdr:col>0</xdr:col>
                    <xdr:colOff>38100</xdr:colOff>
                    <xdr:row>5</xdr:row>
                    <xdr:rowOff>63500</xdr:rowOff>
                  </from>
                  <to>
                    <xdr:col>1</xdr:col>
                    <xdr:colOff>139700</xdr:colOff>
                    <xdr:row>6</xdr:row>
                    <xdr:rowOff>127000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0F8B15-4C2F-4E01-A3B3-BC5E26052B45}">
  <sheetPr codeName="Sheet5"/>
  <dimension ref="A1:CE82"/>
  <sheetViews>
    <sheetView showGridLines="0" zoomScaleNormal="100" workbookViewId="0"/>
  </sheetViews>
  <sheetFormatPr defaultColWidth="8.81640625" defaultRowHeight="15.5" x14ac:dyDescent="0.35"/>
  <cols>
    <col min="1" max="1" width="23.54296875" style="5" customWidth="1"/>
    <col min="2" max="2" width="16.81640625" style="5" customWidth="1"/>
    <col min="3" max="3" width="20.81640625" style="5" bestFit="1" customWidth="1"/>
    <col min="4" max="4" width="27.81640625" style="5" bestFit="1" customWidth="1"/>
    <col min="5" max="5" width="17.1796875" style="5" customWidth="1"/>
    <col min="6" max="6" width="19.1796875" style="5" customWidth="1"/>
    <col min="7" max="7" width="28.1796875" style="5" customWidth="1"/>
    <col min="8" max="8" width="19.1796875" style="24" hidden="1" customWidth="1"/>
    <col min="9" max="9" width="8.81640625" style="24" hidden="1" customWidth="1"/>
    <col min="10" max="17" width="8.81640625" style="57" hidden="1" customWidth="1"/>
    <col min="18" max="18" width="8.81640625" style="7" hidden="1" customWidth="1"/>
    <col min="19" max="31" width="9.1796875" style="5" hidden="1" customWidth="1"/>
    <col min="32" max="34" width="8.81640625" style="7" hidden="1" customWidth="1"/>
    <col min="35" max="35" width="8.81640625" style="7" customWidth="1"/>
    <col min="36" max="16384" width="8.81640625" style="7"/>
  </cols>
  <sheetData>
    <row r="1" spans="1:83" x14ac:dyDescent="0.35">
      <c r="R1" s="37"/>
      <c r="S1" s="8"/>
      <c r="T1" s="8"/>
      <c r="U1" s="8"/>
      <c r="V1" s="8"/>
      <c r="W1" s="8"/>
      <c r="X1" s="8"/>
      <c r="Y1" s="8"/>
      <c r="Z1" s="8"/>
      <c r="AA1" s="8"/>
      <c r="AB1" s="8"/>
      <c r="AC1" s="8"/>
    </row>
    <row r="2" spans="1:83" x14ac:dyDescent="0.35">
      <c r="A2" s="9" t="s">
        <v>22</v>
      </c>
      <c r="X2" s="5" t="str">
        <f>"Males: Estimated OAT composition in "&amp;AB$9&amp;""</f>
        <v>Males: Estimated OAT composition in Scotland</v>
      </c>
    </row>
    <row r="3" spans="1:83" ht="17.5" x14ac:dyDescent="0.35">
      <c r="A3" s="10" t="s">
        <v>81</v>
      </c>
      <c r="B3" s="185" t="s">
        <v>569</v>
      </c>
      <c r="C3" s="185"/>
      <c r="D3" s="185"/>
      <c r="E3" s="185"/>
      <c r="F3" s="22"/>
      <c r="G3" s="22"/>
      <c r="I3" s="57"/>
      <c r="R3" s="5"/>
      <c r="X3" s="5" t="str">
        <f>"Females: Estimated OAT composition in "&amp;AB$9&amp;""</f>
        <v>Females: Estimated OAT composition in Scotland</v>
      </c>
      <c r="AE3" s="7"/>
      <c r="CE3" s="23" t="s">
        <v>82</v>
      </c>
    </row>
    <row r="4" spans="1:83" x14ac:dyDescent="0.35">
      <c r="B4" s="163" t="s">
        <v>68</v>
      </c>
      <c r="C4" s="163"/>
      <c r="D4" s="163"/>
      <c r="E4" s="163"/>
      <c r="F4" s="22"/>
      <c r="G4" s="22"/>
      <c r="I4" s="57"/>
      <c r="R4" s="5"/>
      <c r="X4" s="5" t="str">
        <f>"Males: Estimated % OAT exposure in "&amp;AB$9&amp;""</f>
        <v>Males: Estimated % OAT exposure in Scotland</v>
      </c>
      <c r="AE4" s="7"/>
    </row>
    <row r="5" spans="1:83" x14ac:dyDescent="0.35">
      <c r="A5" s="11" t="s">
        <v>25</v>
      </c>
      <c r="B5" s="11"/>
      <c r="X5" s="5" t="str">
        <f>"Females: Estimated % OAT exposure in "&amp;AB$9&amp;""</f>
        <v>Females: Estimated % OAT exposure in Scotland</v>
      </c>
    </row>
    <row r="6" spans="1:83" ht="18" x14ac:dyDescent="0.4">
      <c r="AE6" s="186"/>
      <c r="AF6" s="186"/>
      <c r="AG6" s="186"/>
      <c r="AH6" s="186"/>
      <c r="AI6" s="186"/>
      <c r="AJ6" s="186"/>
      <c r="AK6" s="186"/>
      <c r="AL6" s="186"/>
      <c r="AM6" s="186"/>
      <c r="AN6" s="186"/>
      <c r="AO6" s="186"/>
      <c r="AP6" s="186"/>
      <c r="AR6" s="186"/>
      <c r="AS6" s="186"/>
      <c r="AT6" s="186"/>
      <c r="AU6" s="186"/>
      <c r="AV6" s="186"/>
      <c r="AW6" s="186"/>
      <c r="AX6" s="186"/>
      <c r="AY6" s="186"/>
      <c r="AZ6" s="186"/>
      <c r="BA6" s="186"/>
      <c r="BB6" s="186"/>
      <c r="BC6" s="186"/>
    </row>
    <row r="7" spans="1:83" x14ac:dyDescent="0.35">
      <c r="S7" s="5" t="s">
        <v>26</v>
      </c>
      <c r="T7" s="5" t="s">
        <v>27</v>
      </c>
      <c r="X7" s="5" t="s">
        <v>28</v>
      </c>
      <c r="AC7" s="5" t="s">
        <v>29</v>
      </c>
    </row>
    <row r="9" spans="1:83" ht="24" customHeight="1" x14ac:dyDescent="0.35">
      <c r="B9" s="187" t="s">
        <v>26</v>
      </c>
      <c r="C9" s="178"/>
      <c r="D9" s="178"/>
      <c r="E9" s="178"/>
      <c r="F9" s="178"/>
      <c r="G9" s="179"/>
      <c r="H9" s="58"/>
      <c r="S9" s="5" t="s">
        <v>31</v>
      </c>
      <c r="T9" s="5" t="s">
        <v>31</v>
      </c>
      <c r="U9" s="12"/>
      <c r="V9" s="12"/>
      <c r="W9" s="5" t="s">
        <v>32</v>
      </c>
      <c r="X9" s="5" t="s">
        <v>32</v>
      </c>
      <c r="Y9" s="14"/>
      <c r="AA9" s="13">
        <v>1</v>
      </c>
      <c r="AB9" s="12" t="str">
        <f>INDEX(W9:W16,AA9)</f>
        <v>Scotland</v>
      </c>
      <c r="AD9" s="12"/>
      <c r="AE9" s="12"/>
    </row>
    <row r="10" spans="1:83" ht="24" customHeight="1" x14ac:dyDescent="0.35">
      <c r="A10" s="70" t="s">
        <v>73</v>
      </c>
      <c r="B10" s="187" t="s">
        <v>37</v>
      </c>
      <c r="C10" s="178"/>
      <c r="D10" s="178"/>
      <c r="E10" s="187" t="s">
        <v>42</v>
      </c>
      <c r="F10" s="178"/>
      <c r="G10" s="179"/>
      <c r="H10" s="42"/>
      <c r="I10" s="68" t="s">
        <v>83</v>
      </c>
      <c r="J10" s="24"/>
      <c r="K10" s="24" t="s">
        <v>84</v>
      </c>
      <c r="R10" s="57"/>
      <c r="S10" s="5" t="s">
        <v>37</v>
      </c>
      <c r="U10" s="12"/>
      <c r="W10" s="5" t="str">
        <f>IF($AF$9=5,Y10,IF($AF$9=3,Z16,X10))</f>
        <v>NHS Ayrshire &amp; Arran</v>
      </c>
      <c r="X10" s="5" t="s">
        <v>130</v>
      </c>
      <c r="AA10" s="12"/>
    </row>
    <row r="11" spans="1:83" ht="72.650000000000006" customHeight="1" x14ac:dyDescent="0.35">
      <c r="A11" s="70" t="s">
        <v>33</v>
      </c>
      <c r="B11" s="97" t="s">
        <v>70</v>
      </c>
      <c r="C11" s="98" t="s">
        <v>71</v>
      </c>
      <c r="D11" s="99" t="s">
        <v>72</v>
      </c>
      <c r="E11" s="97" t="s">
        <v>70</v>
      </c>
      <c r="F11" s="98" t="s">
        <v>71</v>
      </c>
      <c r="G11" s="99" t="s">
        <v>72</v>
      </c>
      <c r="I11" s="55" t="s">
        <v>73</v>
      </c>
      <c r="J11" s="55" t="s">
        <v>35</v>
      </c>
      <c r="K11" s="24" t="s">
        <v>73</v>
      </c>
      <c r="L11" s="57" t="s">
        <v>35</v>
      </c>
      <c r="R11" s="57"/>
      <c r="S11" s="5" t="s">
        <v>42</v>
      </c>
      <c r="U11" s="12"/>
      <c r="W11" s="5" t="str">
        <f>IF($AF$9=5,Y11,IF($AF$9=3,Z23,X11))</f>
        <v>NHS Fife</v>
      </c>
      <c r="X11" s="5" t="s">
        <v>129</v>
      </c>
      <c r="AA11" s="3"/>
    </row>
    <row r="12" spans="1:83" x14ac:dyDescent="0.35">
      <c r="A12" s="36" t="s">
        <v>39</v>
      </c>
      <c r="B12" s="33">
        <f>INDEX(Sex!$A:$S,MATCH(CONCATENATE($A12,$AB$9,"Males","All"),Sex!$A:$A,0),16)</f>
        <v>18900</v>
      </c>
      <c r="C12" s="30">
        <f t="shared" ref="C12:C20" si="0">I12-B12</f>
        <v>4587</v>
      </c>
      <c r="D12" s="31">
        <f>J12-I12</f>
        <v>9813</v>
      </c>
      <c r="E12" s="33">
        <f>INDEX(Sex!$A:$S,MATCH(CONCATENATE($A12,$AB$9,"Females","All"),Sex!$A:$A,0),16)</f>
        <v>9460</v>
      </c>
      <c r="F12" s="30">
        <f t="shared" ref="F12" si="1">L12-E12</f>
        <v>5840</v>
      </c>
      <c r="G12" s="31">
        <f>L12-K12</f>
        <v>3585</v>
      </c>
      <c r="H12" s="60"/>
      <c r="I12" s="33">
        <f>INDEX(Sex!$A:$S,MATCH(CONCATENATE($A12,$AB$9,"Males","All"),Sex!$A:$A,0),12)</f>
        <v>23487</v>
      </c>
      <c r="J12" s="33">
        <f>INDEX(Sex!$A:$S,MATCH(CONCATENATE($A12,$AB$9,"Males","All"),Sex!$A:$A,0),6)</f>
        <v>33300</v>
      </c>
      <c r="K12" s="33">
        <f>INDEX(Sex!$A:$S,MATCH(CONCATENATE($A12,$AB$9,"Females","All"),Sex!$A:$A,0),12)</f>
        <v>11715</v>
      </c>
      <c r="L12" s="33">
        <f>INDEX(Sex!$A:$S,MATCH(CONCATENATE($A12,$AB$9,"Females","All"),Sex!$A:$A,0),6)</f>
        <v>15300</v>
      </c>
      <c r="R12" s="57"/>
      <c r="U12" s="12"/>
      <c r="W12" s="5" t="str">
        <f t="shared" ref="W12:W14" si="2">IF($AF$9=5,Y12,IF($AF$9=3,Z24,X12))</f>
        <v>NHS Grampian</v>
      </c>
      <c r="X12" s="5" t="s">
        <v>128</v>
      </c>
      <c r="AA12" s="4"/>
    </row>
    <row r="13" spans="1:83" x14ac:dyDescent="0.35">
      <c r="A13" s="36" t="s">
        <v>44</v>
      </c>
      <c r="B13" s="34">
        <f>INDEX(Sex!$A:$S,MATCH(CONCATENATE($A13,$AB$9,"Males","All"),Sex!$A:$A,0),16)</f>
        <v>19315</v>
      </c>
      <c r="C13" s="18">
        <f t="shared" si="0"/>
        <v>4257</v>
      </c>
      <c r="D13" s="20">
        <f t="shared" ref="D13:D20" si="3">J13-I13</f>
        <v>8828</v>
      </c>
      <c r="E13" s="34">
        <f>INDEX(Sex!$A:$S,MATCH(CONCATENATE($A13,$AB$9,"Females","All"),Sex!$A:$A,0),16)</f>
        <v>9503</v>
      </c>
      <c r="F13" s="18">
        <f t="shared" ref="F13:F20" si="4">L13-E13</f>
        <v>5497</v>
      </c>
      <c r="G13" s="20">
        <f t="shared" ref="G13:G20" si="5">L13-K13</f>
        <v>3241</v>
      </c>
      <c r="H13" s="60"/>
      <c r="I13" s="33">
        <f>INDEX(Sex!$A:$S,MATCH(CONCATENATE($A13,$AB$9,"Males","All"),Sex!$A:$A,0),12)</f>
        <v>23572</v>
      </c>
      <c r="J13" s="33">
        <f>INDEX(Sex!$A:$S,MATCH(CONCATENATE($A13,$AB$9,"Males","All"),Sex!$A:$A,0),6)</f>
        <v>32400</v>
      </c>
      <c r="K13" s="33">
        <f>INDEX(Sex!$A:$S,MATCH(CONCATENATE($A13,$AB$9,"Females","All"),Sex!$A:$A,0),12)</f>
        <v>11759</v>
      </c>
      <c r="L13" s="33">
        <f>INDEX(Sex!$A:$S,MATCH(CONCATENATE($A13,$AB$9,"Females","All"),Sex!$A:$A,0),6)</f>
        <v>15000</v>
      </c>
      <c r="R13" s="57"/>
      <c r="U13" s="12"/>
      <c r="W13" s="5" t="str">
        <f t="shared" si="2"/>
        <v>NHS Greater Glasgow &amp; Clyde</v>
      </c>
      <c r="X13" s="13" t="s">
        <v>38</v>
      </c>
      <c r="AA13" s="4"/>
    </row>
    <row r="14" spans="1:83" x14ac:dyDescent="0.35">
      <c r="A14" s="36" t="s">
        <v>46</v>
      </c>
      <c r="B14" s="34">
        <f>INDEX(Sex!$A:$S,MATCH(CONCATENATE($A14,$AB$9,"Males","All"),Sex!$A:$A,0),16)</f>
        <v>19659</v>
      </c>
      <c r="C14" s="18">
        <f t="shared" si="0"/>
        <v>4057</v>
      </c>
      <c r="D14" s="20">
        <f t="shared" si="3"/>
        <v>8184</v>
      </c>
      <c r="E14" s="34">
        <f>INDEX(Sex!$A:$S,MATCH(CONCATENATE($A14,$AB$9,"Females","All"),Sex!$A:$A,0),16)</f>
        <v>9561</v>
      </c>
      <c r="F14" s="18">
        <f t="shared" si="4"/>
        <v>5139</v>
      </c>
      <c r="G14" s="20">
        <f t="shared" si="5"/>
        <v>3009</v>
      </c>
      <c r="H14" s="60"/>
      <c r="I14" s="33">
        <f>INDEX(Sex!$A:$S,MATCH(CONCATENATE($A14,$AB$9,"Males","All"),Sex!$A:$A,0),12)</f>
        <v>23716</v>
      </c>
      <c r="J14" s="33">
        <f>INDEX(Sex!$A:$S,MATCH(CONCATENATE($A14,$AB$9,"Males","All"),Sex!$A:$A,0),6)</f>
        <v>31900</v>
      </c>
      <c r="K14" s="33">
        <f>INDEX(Sex!$A:$S,MATCH(CONCATENATE($A14,$AB$9,"Females","All"),Sex!$A:$A,0),12)</f>
        <v>11691</v>
      </c>
      <c r="L14" s="33">
        <f>INDEX(Sex!$A:$S,MATCH(CONCATENATE($A14,$AB$9,"Females","All"),Sex!$A:$A,0),6)</f>
        <v>14700</v>
      </c>
      <c r="R14" s="57"/>
      <c r="U14" s="12"/>
      <c r="W14" s="5" t="str">
        <f t="shared" si="2"/>
        <v>NHS Lanarkshire</v>
      </c>
      <c r="X14" s="5" t="s">
        <v>127</v>
      </c>
      <c r="AA14" s="4"/>
    </row>
    <row r="15" spans="1:83" x14ac:dyDescent="0.35">
      <c r="A15" s="36" t="s">
        <v>47</v>
      </c>
      <c r="B15" s="34">
        <f>INDEX(Sex!$A:$S,MATCH(CONCATENATE($A15,$AB$9,"Males","All"),Sex!$A:$A,0),16)</f>
        <v>19809</v>
      </c>
      <c r="C15" s="18">
        <f t="shared" si="0"/>
        <v>3960</v>
      </c>
      <c r="D15" s="20">
        <f t="shared" si="3"/>
        <v>6931</v>
      </c>
      <c r="E15" s="34">
        <f>INDEX(Sex!$A:$S,MATCH(CONCATENATE($A15,$AB$9,"Females","All"),Sex!$A:$A,0),16)</f>
        <v>9572</v>
      </c>
      <c r="F15" s="18">
        <f t="shared" si="4"/>
        <v>4528</v>
      </c>
      <c r="G15" s="20">
        <f t="shared" si="5"/>
        <v>2512</v>
      </c>
      <c r="H15" s="60"/>
      <c r="I15" s="33">
        <f>INDEX(Sex!$A:$S,MATCH(CONCATENATE($A15,$AB$9,"Males","All"),Sex!$A:$A,0),12)</f>
        <v>23769</v>
      </c>
      <c r="J15" s="33">
        <f>INDEX(Sex!$A:$S,MATCH(CONCATENATE($A15,$AB$9,"Males","All"),Sex!$A:$A,0),6)</f>
        <v>30700</v>
      </c>
      <c r="K15" s="33">
        <f>INDEX(Sex!$A:$S,MATCH(CONCATENATE($A15,$AB$9,"Females","All"),Sex!$A:$A,0),12)</f>
        <v>11588</v>
      </c>
      <c r="L15" s="33">
        <f>INDEX(Sex!$A:$S,MATCH(CONCATENATE($A15,$AB$9,"Females","All"),Sex!$A:$A,0),6)</f>
        <v>14100</v>
      </c>
      <c r="R15" s="57"/>
      <c r="U15" s="12"/>
      <c r="W15" s="5" t="str">
        <f>IF($AF$9=5,Y15,IF($AF$9=3,Z27,X15))</f>
        <v>NHS Lothian</v>
      </c>
      <c r="X15" s="13" t="s">
        <v>43</v>
      </c>
      <c r="AA15" s="4"/>
    </row>
    <row r="16" spans="1:83" x14ac:dyDescent="0.35">
      <c r="A16" s="36" t="s">
        <v>48</v>
      </c>
      <c r="B16" s="34">
        <f>INDEX(Sex!$A:$S,MATCH(CONCATENATE($A16,$AB$9,"Males","All"),Sex!$A:$A,0),16)</f>
        <v>19647</v>
      </c>
      <c r="C16" s="18">
        <f t="shared" si="0"/>
        <v>3956</v>
      </c>
      <c r="D16" s="20">
        <f t="shared" si="3"/>
        <v>7397</v>
      </c>
      <c r="E16" s="34">
        <f>INDEX(Sex!$A:$S,MATCH(CONCATENATE($A16,$AB$9,"Females","All"),Sex!$A:$A,0),16)</f>
        <v>9425</v>
      </c>
      <c r="F16" s="18">
        <f t="shared" si="4"/>
        <v>4775</v>
      </c>
      <c r="G16" s="20">
        <f t="shared" si="5"/>
        <v>2758</v>
      </c>
      <c r="H16" s="60"/>
      <c r="I16" s="33">
        <f>INDEX(Sex!$A:$S,MATCH(CONCATENATE($A16,$AB$9,"Males","All"),Sex!$A:$A,0),12)</f>
        <v>23603</v>
      </c>
      <c r="J16" s="33">
        <f>INDEX(Sex!$A:$S,MATCH(CONCATENATE($A16,$AB$9,"Males","All"),Sex!$A:$A,0),6)</f>
        <v>31000</v>
      </c>
      <c r="K16" s="33">
        <f>INDEX(Sex!$A:$S,MATCH(CONCATENATE($A16,$AB$9,"Females","All"),Sex!$A:$A,0),12)</f>
        <v>11442</v>
      </c>
      <c r="L16" s="33">
        <f>INDEX(Sex!$A:$S,MATCH(CONCATENATE($A16,$AB$9,"Females","All"),Sex!$A:$A,0),6)</f>
        <v>14200</v>
      </c>
      <c r="R16" s="57"/>
      <c r="W16" s="5" t="str">
        <f>IF($AF$9=5,Y16,IF($AF$9=3,Z28,X16))</f>
        <v>NHS Tayside</v>
      </c>
      <c r="X16" s="13" t="s">
        <v>45</v>
      </c>
      <c r="AA16" s="4"/>
    </row>
    <row r="17" spans="1:31" x14ac:dyDescent="0.35">
      <c r="A17" s="36" t="s">
        <v>49</v>
      </c>
      <c r="B17" s="34">
        <f>INDEX(Sex!$A:$S,MATCH(CONCATENATE($A17,$AB$9,"Males","All"),Sex!$A:$A,0),16)</f>
        <v>19437</v>
      </c>
      <c r="C17" s="18">
        <f t="shared" si="0"/>
        <v>4112</v>
      </c>
      <c r="D17" s="20">
        <f t="shared" si="3"/>
        <v>8951</v>
      </c>
      <c r="E17" s="34">
        <f>INDEX(Sex!$A:$S,MATCH(CONCATENATE($A17,$AB$9,"Females","All"),Sex!$A:$A,0),16)</f>
        <v>9428</v>
      </c>
      <c r="F17" s="18">
        <f t="shared" si="4"/>
        <v>5172</v>
      </c>
      <c r="G17" s="20">
        <f t="shared" si="5"/>
        <v>3212</v>
      </c>
      <c r="H17" s="60"/>
      <c r="I17" s="33">
        <f>INDEX(Sex!$A:$S,MATCH(CONCATENATE($A17,$AB$9,"Males","All"),Sex!$A:$A,0),12)</f>
        <v>23549</v>
      </c>
      <c r="J17" s="33">
        <f>INDEX(Sex!$A:$S,MATCH(CONCATENATE($A17,$AB$9,"Males","All"),Sex!$A:$A,0),6)</f>
        <v>32500</v>
      </c>
      <c r="K17" s="33">
        <f>INDEX(Sex!$A:$S,MATCH(CONCATENATE($A17,$AB$9,"Females","All"),Sex!$A:$A,0),12)</f>
        <v>11388</v>
      </c>
      <c r="L17" s="33">
        <f>INDEX(Sex!$A:$S,MATCH(CONCATENATE($A17,$AB$9,"Females","All"),Sex!$A:$A,0),6)</f>
        <v>14600</v>
      </c>
      <c r="R17" s="57"/>
      <c r="AA17" s="4"/>
    </row>
    <row r="18" spans="1:31" x14ac:dyDescent="0.35">
      <c r="A18" s="36" t="s">
        <v>124</v>
      </c>
      <c r="B18" s="34">
        <f>INDEX(Sex!$A:$S,MATCH(CONCATENATE($A18,$AB$9,"Males","All"),Sex!$A:$A,0),16)</f>
        <v>19575</v>
      </c>
      <c r="C18" s="18">
        <f t="shared" si="0"/>
        <v>4065</v>
      </c>
      <c r="D18" s="20">
        <f t="shared" si="3"/>
        <v>9560</v>
      </c>
      <c r="E18" s="34">
        <f>INDEX(Sex!$A:$S,MATCH(CONCATENATE($A18,$AB$9,"Females","All"),Sex!$A:$A,0),16)</f>
        <v>9476</v>
      </c>
      <c r="F18" s="18">
        <f t="shared" si="4"/>
        <v>5424</v>
      </c>
      <c r="G18" s="20">
        <f t="shared" si="5"/>
        <v>3541</v>
      </c>
      <c r="H18" s="60"/>
      <c r="I18" s="33">
        <f>INDEX(Sex!$A:$S,MATCH(CONCATENATE($A18,$AB$9,"Males","All"),Sex!$A:$A,0),12)</f>
        <v>23640</v>
      </c>
      <c r="J18" s="33">
        <f>INDEX(Sex!$A:$S,MATCH(CONCATENATE($A18,$AB$9,"Males","All"),Sex!$A:$A,0),6)</f>
        <v>33200</v>
      </c>
      <c r="K18" s="33">
        <f>INDEX(Sex!$A:$S,MATCH(CONCATENATE($A18,$AB$9,"Females","All"),Sex!$A:$A,0),12)</f>
        <v>11359</v>
      </c>
      <c r="L18" s="33">
        <f>INDEX(Sex!$A:$S,MATCH(CONCATENATE($A18,$AB$9,"Females","All"),Sex!$A:$A,0),6)</f>
        <v>14900</v>
      </c>
      <c r="R18" s="57"/>
      <c r="AA18" s="4"/>
    </row>
    <row r="19" spans="1:31" x14ac:dyDescent="0.35">
      <c r="A19" s="36" t="s">
        <v>125</v>
      </c>
      <c r="B19" s="34">
        <f>INDEX(Sex!$A:$S,MATCH(CONCATENATE($A19,$AB$9,"Males","All"),Sex!$A:$A,0),16)</f>
        <v>19698</v>
      </c>
      <c r="C19" s="18">
        <f t="shared" si="0"/>
        <v>3693</v>
      </c>
      <c r="D19" s="20">
        <f t="shared" si="3"/>
        <v>8409</v>
      </c>
      <c r="E19" s="34">
        <f>INDEX(Sex!$A:$S,MATCH(CONCATENATE($A19,$AB$9,"Females","All"),Sex!$A:$A,0),16)</f>
        <v>9514</v>
      </c>
      <c r="F19" s="18">
        <f t="shared" si="4"/>
        <v>4786</v>
      </c>
      <c r="G19" s="20">
        <f t="shared" si="5"/>
        <v>3077</v>
      </c>
      <c r="H19" s="60"/>
      <c r="I19" s="33">
        <f>INDEX(Sex!$A:$S,MATCH(CONCATENATE($A19,$AB$9,"Males","All"),Sex!$A:$A,0),12)</f>
        <v>23391</v>
      </c>
      <c r="J19" s="33">
        <f>INDEX(Sex!$A:$S,MATCH(CONCATENATE($A19,$AB$9,"Males","All"),Sex!$A:$A,0),6)</f>
        <v>31800</v>
      </c>
      <c r="K19" s="33">
        <f>INDEX(Sex!$A:$S,MATCH(CONCATENATE($A19,$AB$9,"Females","All"),Sex!$A:$A,0),12)</f>
        <v>11223</v>
      </c>
      <c r="L19" s="33">
        <f>INDEX(Sex!$A:$S,MATCH(CONCATENATE($A19,$AB$9,"Females","All"),Sex!$A:$A,0),6)</f>
        <v>14300</v>
      </c>
      <c r="R19" s="57"/>
      <c r="AA19" s="4"/>
    </row>
    <row r="20" spans="1:31" x14ac:dyDescent="0.35">
      <c r="A20" s="36" t="s">
        <v>126</v>
      </c>
      <c r="B20" s="34">
        <f>INDEX(Sex!$A:$S,MATCH(CONCATENATE($A20,$AB$9,"Males","All"),Sex!$A:$A,0),16)</f>
        <v>19302</v>
      </c>
      <c r="C20" s="18">
        <f t="shared" si="0"/>
        <v>3777</v>
      </c>
      <c r="D20" s="20">
        <f t="shared" si="3"/>
        <v>6821</v>
      </c>
      <c r="E20" s="34">
        <f>INDEX(Sex!$A:$S,MATCH(CONCATENATE($A20,$AB$9,"Females","All"),Sex!$A:$A,0),16)</f>
        <v>9274</v>
      </c>
      <c r="F20" s="18">
        <f t="shared" si="4"/>
        <v>4226</v>
      </c>
      <c r="G20" s="20">
        <f t="shared" si="5"/>
        <v>2460</v>
      </c>
      <c r="H20" s="60"/>
      <c r="I20" s="33">
        <f>INDEX(Sex!$A:$S,MATCH(CONCATENATE($A20,$AB$9,"Males","All"),Sex!$A:$A,0),12)</f>
        <v>23079</v>
      </c>
      <c r="J20" s="33">
        <f>INDEX(Sex!$A:$S,MATCH(CONCATENATE($A20,$AB$9,"Males","All"),Sex!$A:$A,0),6)</f>
        <v>29900</v>
      </c>
      <c r="K20" s="33">
        <f>INDEX(Sex!$A:$S,MATCH(CONCATENATE($A20,$AB$9,"Females","All"),Sex!$A:$A,0),12)</f>
        <v>11040</v>
      </c>
      <c r="L20" s="33">
        <f>INDEX(Sex!$A:$S,MATCH(CONCATENATE($A20,$AB$9,"Females","All"),Sex!$A:$A,0),6)</f>
        <v>13500</v>
      </c>
      <c r="R20" s="57"/>
      <c r="AA20" s="4"/>
    </row>
    <row r="21" spans="1:31" x14ac:dyDescent="0.35">
      <c r="A21" s="17"/>
      <c r="B21" s="35"/>
      <c r="C21" s="19"/>
      <c r="D21" s="125"/>
      <c r="E21" s="35"/>
      <c r="F21" s="87"/>
      <c r="G21" s="21"/>
      <c r="H21" s="60"/>
      <c r="I21" s="33"/>
      <c r="J21" s="62"/>
      <c r="K21" s="35"/>
      <c r="L21" s="62"/>
      <c r="R21" s="57"/>
      <c r="AA21" s="4"/>
    </row>
    <row r="22" spans="1:31" x14ac:dyDescent="0.35">
      <c r="B22" s="18"/>
      <c r="C22" s="18"/>
      <c r="D22" s="18"/>
      <c r="E22" s="18"/>
      <c r="F22" s="18"/>
      <c r="G22" s="71"/>
      <c r="H22" s="60"/>
      <c r="I22" s="18"/>
      <c r="J22" s="18"/>
      <c r="K22" s="18"/>
      <c r="L22" s="18"/>
      <c r="R22" s="57"/>
      <c r="AA22" s="4"/>
    </row>
    <row r="23" spans="1:31" x14ac:dyDescent="0.35">
      <c r="B23" s="18"/>
      <c r="C23" s="18"/>
      <c r="D23" s="18"/>
      <c r="E23" s="18"/>
      <c r="F23" s="18"/>
      <c r="G23" s="18"/>
      <c r="H23" s="59"/>
      <c r="I23" s="61"/>
      <c r="J23" s="61"/>
      <c r="R23" s="5"/>
      <c r="Z23" s="4"/>
      <c r="AE23" s="7"/>
    </row>
    <row r="24" spans="1:31" ht="24" customHeight="1" x14ac:dyDescent="0.35">
      <c r="B24" s="166"/>
      <c r="C24" s="166"/>
      <c r="D24" s="166"/>
      <c r="E24" s="166"/>
      <c r="F24" s="166"/>
      <c r="G24" s="166"/>
      <c r="H24" s="59"/>
      <c r="I24" s="61"/>
      <c r="J24" s="61"/>
      <c r="R24" s="5"/>
      <c r="Z24" s="4"/>
      <c r="AE24" s="7"/>
    </row>
    <row r="25" spans="1:31" ht="24" customHeight="1" x14ac:dyDescent="0.35">
      <c r="B25" s="171" t="s">
        <v>26</v>
      </c>
      <c r="C25" s="167"/>
      <c r="D25" s="167"/>
      <c r="E25" s="167"/>
      <c r="F25" s="167"/>
      <c r="G25" s="168"/>
      <c r="H25" s="59"/>
      <c r="I25" s="61"/>
      <c r="J25" s="61"/>
      <c r="R25" s="5"/>
      <c r="Z25" s="4"/>
      <c r="AE25" s="7"/>
    </row>
    <row r="26" spans="1:31" ht="24" customHeight="1" x14ac:dyDescent="0.35">
      <c r="A26" s="28" t="s">
        <v>85</v>
      </c>
      <c r="B26" s="167" t="s">
        <v>37</v>
      </c>
      <c r="C26" s="167"/>
      <c r="D26" s="168"/>
      <c r="E26" s="167" t="s">
        <v>42</v>
      </c>
      <c r="F26" s="167"/>
      <c r="G26" s="168"/>
      <c r="H26" s="59"/>
      <c r="I26" s="66" t="s">
        <v>83</v>
      </c>
      <c r="J26" s="61"/>
      <c r="K26" s="57" t="s">
        <v>42</v>
      </c>
      <c r="R26" s="5"/>
      <c r="Z26" s="4"/>
      <c r="AE26" s="7"/>
    </row>
    <row r="27" spans="1:31" ht="24" customHeight="1" x14ac:dyDescent="0.35">
      <c r="A27" s="28" t="s">
        <v>33</v>
      </c>
      <c r="B27" s="64" t="s">
        <v>34</v>
      </c>
      <c r="C27" s="64" t="s">
        <v>35</v>
      </c>
      <c r="D27" s="65" t="s">
        <v>36</v>
      </c>
      <c r="E27" s="64" t="s">
        <v>34</v>
      </c>
      <c r="F27" s="64" t="s">
        <v>35</v>
      </c>
      <c r="G27" s="65" t="s">
        <v>36</v>
      </c>
      <c r="H27" s="59"/>
      <c r="I27" s="24" t="s">
        <v>41</v>
      </c>
      <c r="J27" s="61" t="s">
        <v>40</v>
      </c>
      <c r="K27" s="24" t="s">
        <v>41</v>
      </c>
      <c r="L27" s="61" t="s">
        <v>40</v>
      </c>
      <c r="R27" s="5"/>
      <c r="Z27" s="4"/>
      <c r="AE27" s="7"/>
    </row>
    <row r="28" spans="1:31" x14ac:dyDescent="0.35">
      <c r="A28" s="38" t="s">
        <v>39</v>
      </c>
      <c r="B28" s="45">
        <f>INDEX(Sex!$A:$S,MATCH(CONCATENATE($A12,$AB$9,"Males","All"),Sex!$A:$A,0),18)</f>
        <v>0.54</v>
      </c>
      <c r="C28" s="46">
        <f>INDEX(Sex!$A:$S,MATCH(CONCATENATE($A12,$AB$9,"Males","All"),Sex!$A:$A,0),17)</f>
        <v>0.56999999999999995</v>
      </c>
      <c r="D28" s="46">
        <f>INDEX(Sex!$A:$S,MATCH(CONCATENATE($A12,$AB$9,"Males","All"),Sex!$A:$A,0),19)</f>
        <v>0.6</v>
      </c>
      <c r="E28" s="45">
        <f>INDEX(Sex!$A:$S,MATCH(CONCATENATE($A12,$AB$9,"Females","All"),Sex!$A:$A,0),18)</f>
        <v>0.59</v>
      </c>
      <c r="F28" s="46">
        <f>INDEX(Sex!$A:$S,MATCH(CONCATENATE($A12,$AB$9,"Females","All"),Sex!$A:$A,0),17)</f>
        <v>0.62</v>
      </c>
      <c r="G28" s="47">
        <f>INDEX(Sex!$A:$S,MATCH(CONCATENATE($A12,$AB$9,"Females","All"),Sex!$A:$A,0),19)</f>
        <v>0.64</v>
      </c>
      <c r="I28" s="63">
        <f>D28-C28</f>
        <v>3.0000000000000027E-2</v>
      </c>
      <c r="J28" s="72">
        <f>C28-B28</f>
        <v>2.9999999999999916E-2</v>
      </c>
      <c r="K28" s="72">
        <f>G28-F28</f>
        <v>2.0000000000000018E-2</v>
      </c>
      <c r="L28" s="72">
        <f>F28-E28</f>
        <v>3.0000000000000027E-2</v>
      </c>
      <c r="R28" s="5"/>
      <c r="Z28" s="4"/>
      <c r="AE28" s="7"/>
    </row>
    <row r="29" spans="1:31" x14ac:dyDescent="0.35">
      <c r="A29" s="36" t="s">
        <v>44</v>
      </c>
      <c r="B29" s="48">
        <f>INDEX(Sex!$A:$S,MATCH(CONCATENATE($A13,$AB$9,"Males","All"),Sex!$A:$A,0),18)</f>
        <v>0.56999999999999995</v>
      </c>
      <c r="C29" s="49">
        <f>INDEX(Sex!$A:$S,MATCH(CONCATENATE($A13,$AB$9,"Males","All"),Sex!$A:$A,0),17)</f>
        <v>0.6</v>
      </c>
      <c r="D29" s="49">
        <f>INDEX(Sex!$A:$S,MATCH(CONCATENATE($A13,$AB$9,"Males","All"),Sex!$A:$A,0),19)</f>
        <v>0.62</v>
      </c>
      <c r="E29" s="48">
        <f>INDEX(Sex!$A:$S,MATCH(CONCATENATE($A13,$AB$9,"Females","All"),Sex!$A:$A,0),18)</f>
        <v>0.61</v>
      </c>
      <c r="F29" s="49">
        <f>INDEX(Sex!$A:$S,MATCH(CONCATENATE($A13,$AB$9,"Females","All"),Sex!$A:$A,0),17)</f>
        <v>0.63</v>
      </c>
      <c r="G29" s="50">
        <f>INDEX(Sex!$A:$S,MATCH(CONCATENATE($A13,$AB$9,"Females","All"),Sex!$A:$A,0),19)</f>
        <v>0.66</v>
      </c>
      <c r="I29" s="63">
        <f t="shared" ref="I29:I36" si="6">D29-C29</f>
        <v>2.0000000000000018E-2</v>
      </c>
      <c r="J29" s="72">
        <f t="shared" ref="J29:J36" si="7">C29-B29</f>
        <v>3.0000000000000027E-2</v>
      </c>
      <c r="K29" s="72">
        <f t="shared" ref="K29:K36" si="8">G29-F29</f>
        <v>3.0000000000000027E-2</v>
      </c>
      <c r="L29" s="72">
        <f t="shared" ref="L29:L36" si="9">F29-E29</f>
        <v>2.0000000000000018E-2</v>
      </c>
      <c r="R29" s="5"/>
      <c r="AE29" s="7"/>
    </row>
    <row r="30" spans="1:31" x14ac:dyDescent="0.35">
      <c r="A30" s="36" t="s">
        <v>46</v>
      </c>
      <c r="B30" s="48">
        <f>INDEX(Sex!$A:$S,MATCH(CONCATENATE($A14,$AB$9,"Males","All"),Sex!$A:$A,0),18)</f>
        <v>0.59</v>
      </c>
      <c r="C30" s="49">
        <f>INDEX(Sex!$A:$S,MATCH(CONCATENATE($A14,$AB$9,"Males","All"),Sex!$A:$A,0),17)</f>
        <v>0.62</v>
      </c>
      <c r="D30" s="49">
        <f>INDEX(Sex!$A:$S,MATCH(CONCATENATE($A14,$AB$9,"Males","All"),Sex!$A:$A,0),19)</f>
        <v>0.64</v>
      </c>
      <c r="E30" s="48">
        <f>INDEX(Sex!$A:$S,MATCH(CONCATENATE($A14,$AB$9,"Females","All"),Sex!$A:$A,0),18)</f>
        <v>0.63</v>
      </c>
      <c r="F30" s="49">
        <f>INDEX(Sex!$A:$S,MATCH(CONCATENATE($A14,$AB$9,"Females","All"),Sex!$A:$A,0),17)</f>
        <v>0.65</v>
      </c>
      <c r="G30" s="50">
        <f>INDEX(Sex!$A:$S,MATCH(CONCATENATE($A14,$AB$9,"Females","All"),Sex!$A:$A,0),19)</f>
        <v>0.67</v>
      </c>
      <c r="I30" s="63">
        <f t="shared" si="6"/>
        <v>2.0000000000000018E-2</v>
      </c>
      <c r="J30" s="72">
        <f t="shared" si="7"/>
        <v>3.0000000000000027E-2</v>
      </c>
      <c r="K30" s="72">
        <f t="shared" si="8"/>
        <v>2.0000000000000018E-2</v>
      </c>
      <c r="L30" s="72">
        <f t="shared" si="9"/>
        <v>2.0000000000000018E-2</v>
      </c>
      <c r="R30" s="5"/>
      <c r="AE30" s="7"/>
    </row>
    <row r="31" spans="1:31" x14ac:dyDescent="0.35">
      <c r="A31" s="36" t="s">
        <v>47</v>
      </c>
      <c r="B31" s="48">
        <f>INDEX(Sex!$A:$S,MATCH(CONCATENATE($A15,$AB$9,"Males","All"),Sex!$A:$A,0),18)</f>
        <v>0.62</v>
      </c>
      <c r="C31" s="49">
        <f>INDEX(Sex!$A:$S,MATCH(CONCATENATE($A15,$AB$9,"Males","All"),Sex!$A:$A,0),17)</f>
        <v>0.65</v>
      </c>
      <c r="D31" s="49">
        <f>INDEX(Sex!$A:$S,MATCH(CONCATENATE($A15,$AB$9,"Males","All"),Sex!$A:$A,0),19)</f>
        <v>0.67</v>
      </c>
      <c r="E31" s="48">
        <f>INDEX(Sex!$A:$S,MATCH(CONCATENATE($A15,$AB$9,"Females","All"),Sex!$A:$A,0),18)</f>
        <v>0.66</v>
      </c>
      <c r="F31" s="49">
        <f>INDEX(Sex!$A:$S,MATCH(CONCATENATE($A15,$AB$9,"Females","All"),Sex!$A:$A,0),17)</f>
        <v>0.68</v>
      </c>
      <c r="G31" s="50">
        <f>INDEX(Sex!$A:$S,MATCH(CONCATENATE($A15,$AB$9,"Females","All"),Sex!$A:$A,0),19)</f>
        <v>0.7</v>
      </c>
      <c r="I31" s="63">
        <f t="shared" si="6"/>
        <v>2.0000000000000018E-2</v>
      </c>
      <c r="J31" s="72">
        <f t="shared" si="7"/>
        <v>3.0000000000000027E-2</v>
      </c>
      <c r="K31" s="72">
        <f t="shared" si="8"/>
        <v>1.9999999999999907E-2</v>
      </c>
      <c r="L31" s="72">
        <f t="shared" si="9"/>
        <v>2.0000000000000018E-2</v>
      </c>
      <c r="R31" s="5"/>
      <c r="AE31" s="7"/>
    </row>
    <row r="32" spans="1:31" ht="15" customHeight="1" x14ac:dyDescent="0.35">
      <c r="A32" s="36" t="s">
        <v>48</v>
      </c>
      <c r="B32" s="48">
        <f>INDEX(Sex!$A:$S,MATCH(CONCATENATE($A16,$AB$9,"Males","All"),Sex!$A:$A,0),18)</f>
        <v>0.61</v>
      </c>
      <c r="C32" s="49">
        <f>INDEX(Sex!$A:$S,MATCH(CONCATENATE($A16,$AB$9,"Males","All"),Sex!$A:$A,0),17)</f>
        <v>0.63</v>
      </c>
      <c r="D32" s="49">
        <f>INDEX(Sex!$A:$S,MATCH(CONCATENATE($A16,$AB$9,"Males","All"),Sex!$A:$A,0),19)</f>
        <v>0.65</v>
      </c>
      <c r="E32" s="48">
        <f>INDEX(Sex!$A:$S,MATCH(CONCATENATE($A16,$AB$9,"Females","All"),Sex!$A:$A,0),18)</f>
        <v>0.65</v>
      </c>
      <c r="F32" s="49">
        <f>INDEX(Sex!$A:$S,MATCH(CONCATENATE($A16,$AB$9,"Females","All"),Sex!$A:$A,0),17)</f>
        <v>0.66</v>
      </c>
      <c r="G32" s="50">
        <f>INDEX(Sex!$A:$S,MATCH(CONCATENATE($A16,$AB$9,"Females","All"),Sex!$A:$A,0),19)</f>
        <v>0.69</v>
      </c>
      <c r="I32" s="63">
        <f t="shared" si="6"/>
        <v>2.0000000000000018E-2</v>
      </c>
      <c r="J32" s="72">
        <f t="shared" si="7"/>
        <v>2.0000000000000018E-2</v>
      </c>
      <c r="K32" s="72">
        <f t="shared" si="8"/>
        <v>2.9999999999999916E-2</v>
      </c>
      <c r="L32" s="72">
        <f t="shared" si="9"/>
        <v>1.0000000000000009E-2</v>
      </c>
      <c r="R32" s="5"/>
      <c r="AE32" s="7"/>
    </row>
    <row r="33" spans="1:31" x14ac:dyDescent="0.35">
      <c r="A33" s="36" t="s">
        <v>49</v>
      </c>
      <c r="B33" s="48">
        <f>INDEX(Sex!$A:$S,MATCH(CONCATENATE($A17,$AB$9,"Males","All"),Sex!$A:$A,0),18)</f>
        <v>0.57999999999999996</v>
      </c>
      <c r="C33" s="49">
        <f>INDEX(Sex!$A:$S,MATCH(CONCATENATE($A17,$AB$9,"Males","All"),Sex!$A:$A,0),17)</f>
        <v>0.6</v>
      </c>
      <c r="D33" s="49">
        <f>INDEX(Sex!$A:$S,MATCH(CONCATENATE($A17,$AB$9,"Males","All"),Sex!$A:$A,0),19)</f>
        <v>0.62</v>
      </c>
      <c r="E33" s="48">
        <f>INDEX(Sex!$A:$S,MATCH(CONCATENATE($A17,$AB$9,"Females","All"),Sex!$A:$A,0),18)</f>
        <v>0.62</v>
      </c>
      <c r="F33" s="49">
        <f>INDEX(Sex!$A:$S,MATCH(CONCATENATE($A17,$AB$9,"Females","All"),Sex!$A:$A,0),17)</f>
        <v>0.65</v>
      </c>
      <c r="G33" s="50">
        <f>INDEX(Sex!$A:$S,MATCH(CONCATENATE($A17,$AB$9,"Females","All"),Sex!$A:$A,0),19)</f>
        <v>0.67</v>
      </c>
      <c r="I33" s="63">
        <f t="shared" si="6"/>
        <v>2.0000000000000018E-2</v>
      </c>
      <c r="J33" s="72">
        <f t="shared" si="7"/>
        <v>2.0000000000000018E-2</v>
      </c>
      <c r="K33" s="72">
        <f t="shared" si="8"/>
        <v>2.0000000000000018E-2</v>
      </c>
      <c r="L33" s="72">
        <f t="shared" si="9"/>
        <v>3.0000000000000027E-2</v>
      </c>
      <c r="R33" s="5"/>
      <c r="AE33" s="7"/>
    </row>
    <row r="34" spans="1:31" x14ac:dyDescent="0.35">
      <c r="A34" s="36" t="s">
        <v>124</v>
      </c>
      <c r="B34" s="48">
        <f>INDEX(Sex!$A:$S,MATCH(CONCATENATE($A18,$AB$9,"Males","All"),Sex!$A:$A,0),18)</f>
        <v>0.56999999999999995</v>
      </c>
      <c r="C34" s="49">
        <f>INDEX(Sex!$A:$S,MATCH(CONCATENATE($A18,$AB$9,"Males","All"),Sex!$A:$A,0),17)</f>
        <v>0.59</v>
      </c>
      <c r="D34" s="49">
        <f>INDEX(Sex!$A:$S,MATCH(CONCATENATE($A18,$AB$9,"Males","All"),Sex!$A:$A,0),19)</f>
        <v>0.61</v>
      </c>
      <c r="E34" s="48">
        <f>INDEX(Sex!$A:$S,MATCH(CONCATENATE($A18,$AB$9,"Females","All"),Sex!$A:$A,0),18)</f>
        <v>0.62</v>
      </c>
      <c r="F34" s="49">
        <f>INDEX(Sex!$A:$S,MATCH(CONCATENATE($A18,$AB$9,"Females","All"),Sex!$A:$A,0),17)</f>
        <v>0.64</v>
      </c>
      <c r="G34" s="50">
        <f>INDEX(Sex!$A:$S,MATCH(CONCATENATE($A18,$AB$9,"Females","All"),Sex!$A:$A,0),19)</f>
        <v>0.66</v>
      </c>
      <c r="H34" s="60"/>
      <c r="I34" s="63">
        <f t="shared" si="6"/>
        <v>2.0000000000000018E-2</v>
      </c>
      <c r="J34" s="72">
        <f t="shared" si="7"/>
        <v>2.0000000000000018E-2</v>
      </c>
      <c r="K34" s="72">
        <f t="shared" si="8"/>
        <v>2.0000000000000018E-2</v>
      </c>
      <c r="L34" s="72">
        <f t="shared" si="9"/>
        <v>2.0000000000000018E-2</v>
      </c>
      <c r="R34" s="57"/>
      <c r="AA34" s="4"/>
    </row>
    <row r="35" spans="1:31" x14ac:dyDescent="0.35">
      <c r="A35" s="36" t="s">
        <v>125</v>
      </c>
      <c r="B35" s="48">
        <f>INDEX(Sex!$A:$S,MATCH(CONCATENATE($A19,$AB$9,"Males","All"),Sex!$A:$A,0),18)</f>
        <v>0.59</v>
      </c>
      <c r="C35" s="49">
        <f>INDEX(Sex!$A:$S,MATCH(CONCATENATE($A19,$AB$9,"Males","All"),Sex!$A:$A,0),17)</f>
        <v>0.62</v>
      </c>
      <c r="D35" s="49">
        <f>INDEX(Sex!$A:$S,MATCH(CONCATENATE($A19,$AB$9,"Males","All"),Sex!$A:$A,0),19)</f>
        <v>0.64</v>
      </c>
      <c r="E35" s="48">
        <f>INDEX(Sex!$A:$S,MATCH(CONCATENATE($A19,$AB$9,"Females","All"),Sex!$A:$A,0),18)</f>
        <v>0.64</v>
      </c>
      <c r="F35" s="49">
        <f>INDEX(Sex!$A:$S,MATCH(CONCATENATE($A19,$AB$9,"Females","All"),Sex!$A:$A,0),17)</f>
        <v>0.67</v>
      </c>
      <c r="G35" s="50">
        <f>INDEX(Sex!$A:$S,MATCH(CONCATENATE($A19,$AB$9,"Females","All"),Sex!$A:$A,0),19)</f>
        <v>0.69</v>
      </c>
      <c r="H35" s="60"/>
      <c r="I35" s="63">
        <f t="shared" si="6"/>
        <v>2.0000000000000018E-2</v>
      </c>
      <c r="J35" s="72">
        <f t="shared" si="7"/>
        <v>3.0000000000000027E-2</v>
      </c>
      <c r="K35" s="72">
        <f t="shared" si="8"/>
        <v>1.9999999999999907E-2</v>
      </c>
      <c r="L35" s="72">
        <f t="shared" si="9"/>
        <v>3.0000000000000027E-2</v>
      </c>
      <c r="R35" s="57"/>
      <c r="AA35" s="4"/>
    </row>
    <row r="36" spans="1:31" x14ac:dyDescent="0.35">
      <c r="A36" s="36" t="s">
        <v>126</v>
      </c>
      <c r="B36" s="48">
        <f>INDEX(Sex!$A:$S,MATCH(CONCATENATE($A20,$AB$9,"Males","All"),Sex!$A:$A,0),18)</f>
        <v>0.62</v>
      </c>
      <c r="C36" s="49">
        <f>INDEX(Sex!$A:$S,MATCH(CONCATENATE($A20,$AB$9,"Males","All"),Sex!$A:$A,0),17)</f>
        <v>0.65</v>
      </c>
      <c r="D36" s="49">
        <f>INDEX(Sex!$A:$S,MATCH(CONCATENATE($A20,$AB$9,"Males","All"),Sex!$A:$A,0),19)</f>
        <v>0.67</v>
      </c>
      <c r="E36" s="48">
        <f>INDEX(Sex!$A:$S,MATCH(CONCATENATE($A20,$AB$9,"Females","All"),Sex!$A:$A,0),18)</f>
        <v>0.66</v>
      </c>
      <c r="F36" s="49">
        <f>INDEX(Sex!$A:$S,MATCH(CONCATENATE($A20,$AB$9,"Females","All"),Sex!$A:$A,0),17)</f>
        <v>0.69</v>
      </c>
      <c r="G36" s="50">
        <f>INDEX(Sex!$A:$S,MATCH(CONCATENATE($A20,$AB$9,"Females","All"),Sex!$A:$A,0),19)</f>
        <v>0.71</v>
      </c>
      <c r="H36" s="60"/>
      <c r="I36" s="63">
        <f t="shared" si="6"/>
        <v>2.0000000000000018E-2</v>
      </c>
      <c r="J36" s="72">
        <f t="shared" si="7"/>
        <v>3.0000000000000027E-2</v>
      </c>
      <c r="K36" s="72">
        <f t="shared" si="8"/>
        <v>2.0000000000000018E-2</v>
      </c>
      <c r="L36" s="72">
        <f t="shared" si="9"/>
        <v>2.9999999999999916E-2</v>
      </c>
      <c r="R36" s="57"/>
      <c r="AA36" s="4"/>
    </row>
    <row r="37" spans="1:31" x14ac:dyDescent="0.35">
      <c r="A37" s="17"/>
      <c r="B37" s="51"/>
      <c r="C37" s="92"/>
      <c r="D37" s="92"/>
      <c r="E37" s="51"/>
      <c r="F37" s="92"/>
      <c r="G37" s="52"/>
      <c r="J37" s="72"/>
      <c r="K37" s="72"/>
      <c r="L37" s="72"/>
      <c r="R37" s="16"/>
      <c r="AE37" s="7"/>
    </row>
    <row r="38" spans="1:31" ht="24" customHeight="1" x14ac:dyDescent="0.35">
      <c r="B38" s="166"/>
      <c r="C38" s="166"/>
      <c r="D38" s="166"/>
      <c r="E38" s="166"/>
      <c r="F38" s="166"/>
      <c r="G38" s="166"/>
      <c r="R38" s="5"/>
      <c r="AE38" s="7"/>
    </row>
    <row r="39" spans="1:31" ht="24" customHeight="1" x14ac:dyDescent="0.35">
      <c r="A39" s="55"/>
      <c r="B39" s="166"/>
      <c r="C39" s="166"/>
      <c r="D39" s="166"/>
      <c r="E39" s="166"/>
      <c r="F39" s="166"/>
      <c r="G39" s="166"/>
      <c r="R39" s="5"/>
      <c r="AE39" s="7"/>
    </row>
    <row r="40" spans="1:31" ht="24" customHeight="1" x14ac:dyDescent="0.35">
      <c r="A40" s="10" t="s">
        <v>19</v>
      </c>
      <c r="B40" s="55"/>
      <c r="C40" s="55"/>
      <c r="D40" s="55"/>
      <c r="E40" s="55"/>
      <c r="F40" s="55"/>
      <c r="G40" s="55"/>
      <c r="I40" s="97" t="s">
        <v>70</v>
      </c>
      <c r="R40" s="5"/>
      <c r="AE40" s="7"/>
    </row>
    <row r="41" spans="1:31" ht="19.25" customHeight="1" x14ac:dyDescent="0.35">
      <c r="A41" s="182" t="s">
        <v>75</v>
      </c>
      <c r="B41" s="182"/>
      <c r="C41" s="182"/>
      <c r="D41" s="182"/>
      <c r="E41" s="182"/>
      <c r="F41" s="182"/>
      <c r="G41" s="182"/>
      <c r="I41" s="98" t="s">
        <v>71</v>
      </c>
      <c r="R41" s="5"/>
      <c r="AE41" s="7"/>
    </row>
    <row r="42" spans="1:31" ht="34.5" customHeight="1" x14ac:dyDescent="0.35">
      <c r="A42" s="164" t="s">
        <v>76</v>
      </c>
      <c r="B42" s="164"/>
      <c r="C42" s="164"/>
      <c r="D42" s="164"/>
      <c r="E42" s="164"/>
      <c r="F42" s="164"/>
      <c r="G42" s="164"/>
      <c r="I42" s="99" t="s">
        <v>80</v>
      </c>
    </row>
    <row r="43" spans="1:31" ht="47.5" customHeight="1" x14ac:dyDescent="0.35">
      <c r="A43" s="164" t="s">
        <v>566</v>
      </c>
      <c r="B43" s="164"/>
      <c r="C43" s="164"/>
      <c r="D43" s="164"/>
      <c r="E43" s="164"/>
      <c r="F43" s="164"/>
      <c r="G43" s="164"/>
      <c r="I43" s="112"/>
    </row>
    <row r="44" spans="1:31" ht="19.5" customHeight="1" x14ac:dyDescent="0.35">
      <c r="A44" s="164"/>
      <c r="B44" s="164"/>
      <c r="C44" s="164"/>
      <c r="D44" s="164"/>
      <c r="E44" s="164"/>
      <c r="F44" s="164"/>
      <c r="G44" s="164"/>
      <c r="I44" s="112"/>
    </row>
    <row r="45" spans="1:31" ht="18" customHeight="1" x14ac:dyDescent="0.35">
      <c r="A45" s="56"/>
      <c r="B45" s="49"/>
      <c r="C45" s="49"/>
      <c r="D45" s="49"/>
      <c r="E45" s="49"/>
      <c r="F45" s="49"/>
      <c r="G45" s="49"/>
    </row>
    <row r="46" spans="1:31" x14ac:dyDescent="0.35">
      <c r="A46" s="56"/>
      <c r="B46" s="49"/>
      <c r="C46" s="49"/>
      <c r="D46" s="49"/>
      <c r="E46" s="49"/>
      <c r="F46" s="49"/>
      <c r="G46" s="49"/>
    </row>
    <row r="47" spans="1:31" x14ac:dyDescent="0.35">
      <c r="B47" s="49"/>
      <c r="C47" s="49"/>
      <c r="D47" s="49"/>
      <c r="E47" s="49"/>
      <c r="F47" s="49"/>
      <c r="G47" s="49"/>
    </row>
    <row r="49" spans="1:32" x14ac:dyDescent="0.35">
      <c r="B49" s="166"/>
      <c r="C49" s="166"/>
      <c r="D49" s="166"/>
      <c r="E49" s="166"/>
      <c r="F49" s="166"/>
      <c r="G49" s="166"/>
    </row>
    <row r="50" spans="1:32" x14ac:dyDescent="0.35">
      <c r="A50" s="55"/>
      <c r="B50" s="166"/>
      <c r="C50" s="166"/>
      <c r="D50" s="166"/>
      <c r="E50" s="166"/>
      <c r="F50" s="166"/>
      <c r="G50" s="166"/>
    </row>
    <row r="51" spans="1:32" ht="24" customHeight="1" x14ac:dyDescent="0.35">
      <c r="A51" s="55"/>
      <c r="B51" s="55"/>
      <c r="C51" s="55"/>
      <c r="D51" s="55"/>
      <c r="E51" s="55"/>
      <c r="F51" s="55"/>
      <c r="G51" s="55"/>
    </row>
    <row r="52" spans="1:32" ht="24" customHeight="1" x14ac:dyDescent="0.35">
      <c r="A52" s="56"/>
      <c r="B52" s="15"/>
      <c r="C52" s="18"/>
      <c r="D52" s="18"/>
      <c r="E52" s="18"/>
      <c r="F52" s="18"/>
      <c r="G52" s="18"/>
    </row>
    <row r="53" spans="1:32" ht="24" customHeight="1" x14ac:dyDescent="0.35">
      <c r="A53" s="56"/>
      <c r="B53" s="15"/>
      <c r="C53" s="18"/>
      <c r="D53" s="18"/>
      <c r="E53" s="18"/>
      <c r="F53" s="18"/>
      <c r="G53" s="18"/>
    </row>
    <row r="54" spans="1:32" x14ac:dyDescent="0.35">
      <c r="A54" s="56"/>
      <c r="B54" s="15"/>
      <c r="C54" s="18"/>
      <c r="D54" s="18"/>
      <c r="E54" s="18"/>
      <c r="F54" s="18"/>
      <c r="G54" s="18"/>
    </row>
    <row r="55" spans="1:32" x14ac:dyDescent="0.35">
      <c r="A55" s="56"/>
      <c r="B55" s="15"/>
      <c r="C55" s="18"/>
      <c r="D55" s="18"/>
      <c r="E55" s="18"/>
      <c r="F55" s="18"/>
      <c r="G55" s="18"/>
    </row>
    <row r="56" spans="1:32" x14ac:dyDescent="0.35">
      <c r="A56" s="56"/>
      <c r="B56" s="15"/>
      <c r="C56" s="18"/>
      <c r="D56" s="18"/>
      <c r="E56" s="18"/>
      <c r="F56" s="18"/>
      <c r="G56" s="18"/>
    </row>
    <row r="57" spans="1:32" x14ac:dyDescent="0.35">
      <c r="A57" s="56"/>
      <c r="B57" s="15"/>
      <c r="C57" s="18"/>
      <c r="D57" s="18"/>
      <c r="E57" s="18"/>
      <c r="F57" s="18"/>
      <c r="G57" s="18"/>
    </row>
    <row r="58" spans="1:32" s="24" customFormat="1" x14ac:dyDescent="0.35">
      <c r="A58" s="5"/>
      <c r="B58" s="18"/>
      <c r="C58" s="18"/>
      <c r="D58" s="18"/>
      <c r="E58" s="18"/>
      <c r="F58" s="18"/>
      <c r="G58" s="18"/>
      <c r="J58" s="57"/>
      <c r="K58" s="57"/>
      <c r="L58" s="57"/>
      <c r="M58" s="57"/>
      <c r="N58" s="57"/>
      <c r="O58" s="57"/>
      <c r="P58" s="57"/>
      <c r="Q58" s="57"/>
      <c r="R58" s="7"/>
      <c r="S58" s="5"/>
      <c r="T58" s="5"/>
      <c r="U58" s="5"/>
      <c r="V58" s="5"/>
      <c r="W58" s="5"/>
      <c r="X58" s="5"/>
      <c r="Y58" s="5"/>
      <c r="Z58" s="5"/>
      <c r="AA58" s="5"/>
      <c r="AB58" s="5"/>
      <c r="AC58" s="5"/>
      <c r="AD58" s="5"/>
      <c r="AE58" s="5"/>
      <c r="AF58" s="7"/>
    </row>
    <row r="59" spans="1:32" s="24" customFormat="1" x14ac:dyDescent="0.35">
      <c r="A59" s="5"/>
      <c r="B59" s="5"/>
      <c r="C59" s="5"/>
      <c r="D59" s="5"/>
      <c r="E59" s="5"/>
      <c r="F59" s="5"/>
      <c r="G59" s="5"/>
      <c r="J59" s="57"/>
      <c r="K59" s="57"/>
      <c r="L59" s="57"/>
      <c r="M59" s="57"/>
      <c r="N59" s="57"/>
      <c r="O59" s="57"/>
      <c r="P59" s="57"/>
      <c r="Q59" s="57"/>
      <c r="R59" s="7"/>
      <c r="S59" s="5"/>
      <c r="T59" s="5"/>
      <c r="U59" s="5"/>
      <c r="V59" s="5"/>
      <c r="W59" s="5"/>
      <c r="X59" s="5"/>
      <c r="Y59" s="5"/>
      <c r="Z59" s="5"/>
      <c r="AA59" s="5"/>
      <c r="AB59" s="5"/>
      <c r="AC59" s="5"/>
      <c r="AD59" s="5"/>
      <c r="AE59" s="5"/>
      <c r="AF59" s="7"/>
    </row>
    <row r="60" spans="1:32" s="24" customFormat="1" x14ac:dyDescent="0.35">
      <c r="A60" s="5"/>
      <c r="B60" s="166"/>
      <c r="C60" s="166"/>
      <c r="D60" s="166"/>
      <c r="E60" s="166"/>
      <c r="F60" s="166"/>
      <c r="G60" s="166"/>
      <c r="J60" s="57"/>
      <c r="K60" s="57"/>
      <c r="L60" s="57"/>
      <c r="M60" s="57"/>
      <c r="N60" s="57"/>
      <c r="O60" s="57"/>
      <c r="P60" s="57"/>
      <c r="Q60" s="57"/>
      <c r="R60" s="7"/>
      <c r="S60" s="5"/>
      <c r="T60" s="5"/>
      <c r="U60" s="5"/>
      <c r="V60" s="5"/>
      <c r="W60" s="5"/>
      <c r="X60" s="5"/>
      <c r="Y60" s="5"/>
      <c r="Z60" s="5"/>
      <c r="AA60" s="5"/>
      <c r="AB60" s="5"/>
      <c r="AC60" s="5"/>
      <c r="AD60" s="5"/>
      <c r="AE60" s="5"/>
      <c r="AF60" s="7"/>
    </row>
    <row r="61" spans="1:32" x14ac:dyDescent="0.35">
      <c r="A61" s="55"/>
      <c r="B61" s="166"/>
      <c r="C61" s="166"/>
      <c r="D61" s="166"/>
      <c r="E61" s="166"/>
      <c r="F61" s="166"/>
      <c r="G61" s="166"/>
    </row>
    <row r="62" spans="1:32" s="24" customFormat="1" ht="24" customHeight="1" x14ac:dyDescent="0.35">
      <c r="A62" s="55"/>
      <c r="B62" s="55"/>
      <c r="C62" s="55"/>
      <c r="D62" s="55"/>
      <c r="E62" s="55"/>
      <c r="F62" s="55"/>
      <c r="G62" s="55"/>
      <c r="J62" s="57"/>
      <c r="K62" s="57"/>
      <c r="L62" s="57"/>
      <c r="M62" s="57"/>
      <c r="N62" s="57"/>
      <c r="O62" s="57"/>
      <c r="P62" s="57"/>
      <c r="Q62" s="57"/>
      <c r="R62" s="7"/>
      <c r="S62" s="5"/>
      <c r="T62" s="5"/>
      <c r="U62" s="5"/>
      <c r="V62" s="5"/>
      <c r="W62" s="5"/>
      <c r="X62" s="5"/>
      <c r="Y62" s="5"/>
      <c r="Z62" s="5"/>
      <c r="AA62" s="5"/>
      <c r="AB62" s="5"/>
      <c r="AC62" s="5"/>
      <c r="AD62" s="5"/>
      <c r="AE62" s="5"/>
      <c r="AF62" s="7"/>
    </row>
    <row r="63" spans="1:32" s="24" customFormat="1" ht="24" customHeight="1" x14ac:dyDescent="0.35">
      <c r="A63" s="56"/>
      <c r="B63" s="49"/>
      <c r="C63" s="49"/>
      <c r="D63" s="49"/>
      <c r="E63" s="49"/>
      <c r="F63" s="49"/>
      <c r="G63" s="49"/>
      <c r="J63" s="57"/>
      <c r="K63" s="57"/>
      <c r="L63" s="57"/>
      <c r="M63" s="57"/>
      <c r="N63" s="57"/>
      <c r="O63" s="57"/>
      <c r="P63" s="57"/>
      <c r="Q63" s="57"/>
      <c r="R63" s="7"/>
      <c r="S63" s="5"/>
      <c r="T63" s="5"/>
      <c r="U63" s="5"/>
      <c r="V63" s="5"/>
      <c r="W63" s="5"/>
      <c r="X63" s="5"/>
      <c r="Y63" s="5"/>
      <c r="Z63" s="5"/>
      <c r="AA63" s="5"/>
      <c r="AB63" s="5"/>
      <c r="AC63" s="5"/>
      <c r="AD63" s="5"/>
      <c r="AE63" s="5"/>
      <c r="AF63" s="7"/>
    </row>
    <row r="64" spans="1:32" s="24" customFormat="1" ht="24" customHeight="1" x14ac:dyDescent="0.35">
      <c r="A64" s="56"/>
      <c r="B64" s="49"/>
      <c r="C64" s="49"/>
      <c r="D64" s="49"/>
      <c r="E64" s="49"/>
      <c r="F64" s="49"/>
      <c r="G64" s="49"/>
      <c r="J64" s="57"/>
      <c r="K64" s="57"/>
      <c r="L64" s="57"/>
      <c r="M64" s="57"/>
      <c r="N64" s="57"/>
      <c r="O64" s="57"/>
      <c r="P64" s="57"/>
      <c r="Q64" s="57"/>
      <c r="R64" s="7"/>
      <c r="S64" s="5"/>
      <c r="T64" s="5"/>
      <c r="U64" s="5"/>
      <c r="V64" s="5"/>
      <c r="W64" s="5"/>
      <c r="X64" s="5"/>
      <c r="Y64" s="5"/>
      <c r="Z64" s="5"/>
      <c r="AA64" s="5"/>
      <c r="AB64" s="5"/>
      <c r="AC64" s="5"/>
      <c r="AD64" s="5"/>
      <c r="AE64" s="5"/>
      <c r="AF64" s="7"/>
    </row>
    <row r="65" spans="1:32" s="24" customFormat="1" x14ac:dyDescent="0.35">
      <c r="A65" s="56"/>
      <c r="B65" s="49"/>
      <c r="C65" s="49"/>
      <c r="D65" s="49"/>
      <c r="E65" s="49"/>
      <c r="F65" s="49"/>
      <c r="G65" s="49"/>
      <c r="J65" s="57"/>
      <c r="K65" s="57"/>
      <c r="L65" s="57"/>
      <c r="M65" s="57"/>
      <c r="N65" s="57"/>
      <c r="O65" s="57"/>
      <c r="P65" s="57"/>
      <c r="Q65" s="57"/>
      <c r="R65" s="7"/>
      <c r="S65" s="5"/>
      <c r="T65" s="5"/>
      <c r="U65" s="5"/>
      <c r="V65" s="5"/>
      <c r="W65" s="5"/>
      <c r="X65" s="5"/>
      <c r="Y65" s="5"/>
      <c r="Z65" s="5"/>
      <c r="AA65" s="5"/>
      <c r="AB65" s="5"/>
      <c r="AC65" s="5"/>
      <c r="AD65" s="5"/>
      <c r="AE65" s="5"/>
      <c r="AF65" s="7"/>
    </row>
    <row r="66" spans="1:32" s="24" customFormat="1" x14ac:dyDescent="0.35">
      <c r="A66" s="56"/>
      <c r="B66" s="49"/>
      <c r="C66" s="49"/>
      <c r="D66" s="49"/>
      <c r="E66" s="49"/>
      <c r="F66" s="49"/>
      <c r="G66" s="49"/>
      <c r="J66" s="57"/>
      <c r="K66" s="57"/>
      <c r="L66" s="57"/>
      <c r="M66" s="57"/>
      <c r="N66" s="57"/>
      <c r="O66" s="57"/>
      <c r="P66" s="57"/>
      <c r="Q66" s="57"/>
      <c r="R66" s="7"/>
      <c r="S66" s="5"/>
      <c r="T66" s="5"/>
      <c r="U66" s="5"/>
      <c r="V66" s="5"/>
      <c r="W66" s="5"/>
      <c r="X66" s="5"/>
      <c r="Y66" s="5"/>
      <c r="Z66" s="5"/>
      <c r="AA66" s="5"/>
      <c r="AB66" s="5"/>
      <c r="AC66" s="5"/>
      <c r="AD66" s="5"/>
      <c r="AE66" s="5"/>
      <c r="AF66" s="7"/>
    </row>
    <row r="67" spans="1:32" s="24" customFormat="1" x14ac:dyDescent="0.35">
      <c r="A67" s="56"/>
      <c r="B67" s="49"/>
      <c r="C67" s="49"/>
      <c r="D67" s="49"/>
      <c r="E67" s="49"/>
      <c r="F67" s="49"/>
      <c r="G67" s="49"/>
      <c r="J67" s="57"/>
      <c r="K67" s="57"/>
      <c r="L67" s="57"/>
      <c r="M67" s="57"/>
      <c r="N67" s="57"/>
      <c r="O67" s="57"/>
      <c r="P67" s="57"/>
      <c r="Q67" s="57"/>
      <c r="R67" s="7"/>
      <c r="S67" s="5"/>
      <c r="T67" s="5"/>
      <c r="U67" s="5"/>
      <c r="V67" s="5"/>
      <c r="W67" s="5"/>
      <c r="X67" s="5"/>
      <c r="Y67" s="5"/>
      <c r="Z67" s="5"/>
      <c r="AA67" s="5"/>
      <c r="AB67" s="5"/>
      <c r="AC67" s="5"/>
      <c r="AD67" s="5"/>
      <c r="AE67" s="5"/>
      <c r="AF67" s="7"/>
    </row>
    <row r="68" spans="1:32" s="24" customFormat="1" x14ac:dyDescent="0.35">
      <c r="A68" s="56"/>
      <c r="B68" s="49"/>
      <c r="C68" s="49"/>
      <c r="D68" s="49"/>
      <c r="E68" s="49"/>
      <c r="F68" s="49"/>
      <c r="G68" s="49"/>
      <c r="J68" s="57"/>
      <c r="K68" s="57"/>
      <c r="L68" s="57"/>
      <c r="M68" s="57"/>
      <c r="N68" s="57"/>
      <c r="O68" s="57"/>
      <c r="P68" s="57"/>
      <c r="Q68" s="57"/>
      <c r="R68" s="7"/>
      <c r="S68" s="5"/>
      <c r="T68" s="5"/>
      <c r="U68" s="5"/>
      <c r="V68" s="5"/>
      <c r="W68" s="5"/>
      <c r="X68" s="5"/>
      <c r="Y68" s="5"/>
      <c r="Z68" s="5"/>
      <c r="AA68" s="5"/>
      <c r="AB68" s="5"/>
      <c r="AC68" s="5"/>
      <c r="AD68" s="5"/>
      <c r="AE68" s="5"/>
      <c r="AF68" s="7"/>
    </row>
    <row r="69" spans="1:32" s="24" customFormat="1" x14ac:dyDescent="0.35">
      <c r="A69" s="5"/>
      <c r="B69" s="49"/>
      <c r="C69" s="49"/>
      <c r="D69" s="49"/>
      <c r="E69" s="49"/>
      <c r="F69" s="49"/>
      <c r="G69" s="49"/>
      <c r="J69" s="57"/>
      <c r="K69" s="57"/>
      <c r="L69" s="57"/>
      <c r="M69" s="57"/>
      <c r="N69" s="57"/>
      <c r="O69" s="57"/>
      <c r="P69" s="57"/>
      <c r="Q69" s="57"/>
      <c r="R69" s="7"/>
      <c r="S69" s="5"/>
      <c r="T69" s="5"/>
      <c r="U69" s="5"/>
      <c r="V69" s="5"/>
      <c r="W69" s="5"/>
      <c r="X69" s="5"/>
      <c r="Y69" s="5"/>
      <c r="Z69" s="5"/>
      <c r="AA69" s="5"/>
      <c r="AB69" s="5"/>
      <c r="AC69" s="5"/>
      <c r="AD69" s="5"/>
      <c r="AE69" s="5"/>
      <c r="AF69" s="7"/>
    </row>
    <row r="70" spans="1:32" s="24" customFormat="1" x14ac:dyDescent="0.35">
      <c r="A70" s="5"/>
      <c r="B70" s="5"/>
      <c r="C70" s="5"/>
      <c r="D70" s="5"/>
      <c r="E70" s="5"/>
      <c r="F70" s="5"/>
      <c r="G70" s="5"/>
      <c r="J70" s="57"/>
      <c r="K70" s="57"/>
      <c r="L70" s="57"/>
      <c r="M70" s="57"/>
      <c r="N70" s="57"/>
      <c r="O70" s="57"/>
      <c r="P70" s="57"/>
      <c r="Q70" s="57"/>
      <c r="R70" s="7"/>
      <c r="S70" s="5"/>
      <c r="T70" s="5"/>
      <c r="U70" s="5"/>
      <c r="V70" s="5"/>
      <c r="W70" s="5"/>
      <c r="X70" s="5"/>
      <c r="Y70" s="5"/>
      <c r="Z70" s="5"/>
      <c r="AA70" s="5"/>
      <c r="AB70" s="5"/>
      <c r="AC70" s="5"/>
      <c r="AD70" s="5"/>
      <c r="AE70" s="5"/>
      <c r="AF70" s="7"/>
    </row>
    <row r="71" spans="1:32" s="24" customFormat="1" x14ac:dyDescent="0.35">
      <c r="A71" s="5"/>
      <c r="B71" s="5"/>
      <c r="C71" s="5"/>
      <c r="D71" s="5"/>
      <c r="E71" s="5"/>
      <c r="F71" s="5"/>
      <c r="G71" s="5"/>
      <c r="J71" s="57"/>
      <c r="K71" s="57"/>
      <c r="L71" s="57"/>
      <c r="M71" s="57"/>
      <c r="N71" s="57"/>
      <c r="O71" s="57"/>
      <c r="P71" s="57"/>
      <c r="Q71" s="57"/>
      <c r="R71" s="7"/>
      <c r="S71" s="5"/>
      <c r="T71" s="5"/>
      <c r="U71" s="5"/>
      <c r="V71" s="5"/>
      <c r="W71" s="5"/>
      <c r="X71" s="5"/>
      <c r="Y71" s="5"/>
      <c r="Z71" s="5"/>
      <c r="AA71" s="5"/>
      <c r="AB71" s="5"/>
      <c r="AC71" s="5"/>
      <c r="AD71" s="5"/>
      <c r="AE71" s="5"/>
      <c r="AF71" s="7"/>
    </row>
    <row r="73" spans="1:32" s="24" customFormat="1" ht="24" customHeight="1" x14ac:dyDescent="0.35">
      <c r="A73" s="5"/>
      <c r="B73" s="5"/>
      <c r="C73" s="5"/>
      <c r="D73" s="5"/>
      <c r="E73" s="5"/>
      <c r="F73" s="5"/>
      <c r="G73" s="5"/>
      <c r="J73" s="57"/>
      <c r="K73" s="57"/>
      <c r="L73" s="57"/>
      <c r="M73" s="57"/>
      <c r="N73" s="57"/>
      <c r="O73" s="57"/>
      <c r="P73" s="57"/>
      <c r="Q73" s="57"/>
      <c r="R73" s="7"/>
      <c r="S73" s="5"/>
      <c r="T73" s="5"/>
      <c r="U73" s="5"/>
      <c r="V73" s="5"/>
      <c r="W73" s="5"/>
      <c r="X73" s="5"/>
      <c r="Y73" s="5"/>
      <c r="Z73" s="5"/>
      <c r="AA73" s="5"/>
      <c r="AB73" s="5"/>
      <c r="AC73" s="5"/>
      <c r="AD73" s="5"/>
      <c r="AE73" s="5"/>
      <c r="AF73" s="7"/>
    </row>
    <row r="74" spans="1:32" s="24" customFormat="1" ht="24" customHeight="1" x14ac:dyDescent="0.35">
      <c r="A74" s="5"/>
      <c r="B74" s="5"/>
      <c r="C74" s="5"/>
      <c r="D74" s="5"/>
      <c r="E74" s="5"/>
      <c r="F74" s="5"/>
      <c r="G74" s="5"/>
      <c r="J74" s="57"/>
      <c r="K74" s="57"/>
      <c r="L74" s="57"/>
      <c r="M74" s="57"/>
      <c r="N74" s="57"/>
      <c r="O74" s="57"/>
      <c r="P74" s="57"/>
      <c r="Q74" s="57"/>
      <c r="R74" s="7"/>
      <c r="S74" s="5"/>
      <c r="T74" s="5"/>
      <c r="U74" s="5"/>
      <c r="V74" s="5"/>
      <c r="W74" s="5"/>
      <c r="X74" s="5"/>
      <c r="Y74" s="5"/>
      <c r="Z74" s="5"/>
      <c r="AA74" s="5"/>
      <c r="AB74" s="5"/>
      <c r="AC74" s="5"/>
      <c r="AD74" s="5"/>
      <c r="AE74" s="5"/>
      <c r="AF74" s="7"/>
    </row>
    <row r="75" spans="1:32" s="24" customFormat="1" ht="24" customHeight="1" x14ac:dyDescent="0.35">
      <c r="A75" s="5"/>
      <c r="B75" s="5"/>
      <c r="C75" s="5"/>
      <c r="D75" s="5"/>
      <c r="E75" s="5"/>
      <c r="F75" s="5"/>
      <c r="G75" s="5"/>
      <c r="J75" s="57"/>
      <c r="K75" s="57"/>
      <c r="L75" s="57"/>
      <c r="M75" s="57"/>
      <c r="N75" s="57"/>
      <c r="O75" s="57"/>
      <c r="P75" s="57"/>
      <c r="Q75" s="57"/>
      <c r="R75" s="7"/>
      <c r="S75" s="5"/>
      <c r="T75" s="5"/>
      <c r="U75" s="5"/>
      <c r="V75" s="5"/>
      <c r="W75" s="5"/>
      <c r="X75" s="5"/>
      <c r="Y75" s="5"/>
      <c r="Z75" s="5"/>
      <c r="AA75" s="5"/>
      <c r="AB75" s="5"/>
      <c r="AC75" s="5"/>
      <c r="AD75" s="5"/>
      <c r="AE75" s="5"/>
      <c r="AF75" s="7"/>
    </row>
    <row r="76" spans="1:32" s="24" customFormat="1" x14ac:dyDescent="0.35">
      <c r="A76" s="5"/>
      <c r="B76" s="5"/>
      <c r="C76" s="5"/>
      <c r="D76" s="5"/>
      <c r="E76" s="5"/>
      <c r="F76" s="5"/>
      <c r="G76" s="5"/>
      <c r="J76" s="57"/>
      <c r="K76" s="57"/>
      <c r="L76" s="57"/>
      <c r="M76" s="57"/>
      <c r="N76" s="57"/>
      <c r="O76" s="57"/>
      <c r="P76" s="57"/>
      <c r="Q76" s="57"/>
      <c r="R76" s="7"/>
      <c r="S76" s="5"/>
      <c r="T76" s="5"/>
      <c r="U76" s="5"/>
      <c r="V76" s="5"/>
      <c r="W76" s="5"/>
      <c r="X76" s="5"/>
      <c r="Y76" s="5"/>
      <c r="Z76" s="5"/>
      <c r="AA76" s="5"/>
      <c r="AB76" s="5"/>
      <c r="AC76" s="5"/>
      <c r="AD76" s="5"/>
      <c r="AE76" s="5"/>
      <c r="AF76" s="7"/>
    </row>
    <row r="77" spans="1:32" s="24" customFormat="1" x14ac:dyDescent="0.35">
      <c r="A77" s="5"/>
      <c r="B77" s="5"/>
      <c r="C77" s="5"/>
      <c r="D77" s="5"/>
      <c r="E77" s="5"/>
      <c r="F77" s="5"/>
      <c r="G77" s="5"/>
      <c r="J77" s="57"/>
      <c r="K77" s="57"/>
      <c r="L77" s="57"/>
      <c r="M77" s="57"/>
      <c r="N77" s="57"/>
      <c r="O77" s="57"/>
      <c r="P77" s="57"/>
      <c r="Q77" s="57"/>
      <c r="R77" s="7"/>
      <c r="S77" s="5"/>
      <c r="T77" s="5"/>
      <c r="U77" s="5"/>
      <c r="V77" s="5"/>
      <c r="W77" s="5"/>
      <c r="X77" s="5"/>
      <c r="Y77" s="5"/>
      <c r="Z77" s="5"/>
      <c r="AA77" s="5"/>
      <c r="AB77" s="5"/>
      <c r="AC77" s="5"/>
      <c r="AD77" s="5"/>
      <c r="AE77" s="5"/>
      <c r="AF77" s="7"/>
    </row>
    <row r="78" spans="1:32" s="24" customFormat="1" x14ac:dyDescent="0.35">
      <c r="A78" s="5"/>
      <c r="B78" s="5"/>
      <c r="C78" s="5"/>
      <c r="D78" s="5"/>
      <c r="E78" s="5"/>
      <c r="F78" s="5"/>
      <c r="G78" s="5"/>
      <c r="J78" s="57"/>
      <c r="K78" s="57"/>
      <c r="L78" s="57"/>
      <c r="M78" s="57"/>
      <c r="N78" s="57"/>
      <c r="O78" s="57"/>
      <c r="P78" s="57"/>
      <c r="Q78" s="57"/>
      <c r="R78" s="7"/>
      <c r="S78" s="5"/>
      <c r="T78" s="5"/>
      <c r="U78" s="5"/>
      <c r="V78" s="5"/>
      <c r="W78" s="5"/>
      <c r="X78" s="5"/>
      <c r="Y78" s="5"/>
      <c r="Z78" s="5"/>
      <c r="AA78" s="5"/>
      <c r="AB78" s="5"/>
      <c r="AC78" s="5"/>
      <c r="AD78" s="5"/>
      <c r="AE78" s="5"/>
      <c r="AF78" s="7"/>
    </row>
    <row r="79" spans="1:32" s="24" customFormat="1" x14ac:dyDescent="0.35">
      <c r="A79" s="5"/>
      <c r="B79" s="5"/>
      <c r="C79" s="5"/>
      <c r="D79" s="5"/>
      <c r="E79" s="5"/>
      <c r="F79" s="5"/>
      <c r="G79" s="5"/>
      <c r="J79" s="57"/>
      <c r="K79" s="57"/>
      <c r="L79" s="57"/>
      <c r="M79" s="57"/>
      <c r="N79" s="57"/>
      <c r="O79" s="57"/>
      <c r="P79" s="57"/>
      <c r="Q79" s="57"/>
      <c r="R79" s="7"/>
      <c r="S79" s="5"/>
      <c r="T79" s="5"/>
      <c r="U79" s="5"/>
      <c r="V79" s="5"/>
      <c r="W79" s="5"/>
      <c r="X79" s="5"/>
      <c r="Y79" s="5"/>
      <c r="Z79" s="5"/>
      <c r="AA79" s="5"/>
      <c r="AB79" s="5"/>
      <c r="AC79" s="5"/>
      <c r="AD79" s="5"/>
      <c r="AE79" s="5"/>
      <c r="AF79" s="7"/>
    </row>
    <row r="80" spans="1:32" s="24" customFormat="1" x14ac:dyDescent="0.35">
      <c r="A80" s="5"/>
      <c r="B80" s="5"/>
      <c r="C80" s="5"/>
      <c r="D80" s="5"/>
      <c r="E80" s="5"/>
      <c r="F80" s="5"/>
      <c r="G80" s="5"/>
      <c r="J80" s="57"/>
      <c r="K80" s="57"/>
      <c r="L80" s="57"/>
      <c r="M80" s="57"/>
      <c r="N80" s="57"/>
      <c r="O80" s="57"/>
      <c r="P80" s="57"/>
      <c r="Q80" s="57"/>
      <c r="R80" s="7"/>
      <c r="S80" s="5"/>
      <c r="T80" s="5"/>
      <c r="U80" s="5"/>
      <c r="V80" s="5"/>
      <c r="W80" s="5"/>
      <c r="X80" s="5"/>
      <c r="Y80" s="5"/>
      <c r="Z80" s="5"/>
      <c r="AA80" s="5"/>
      <c r="AB80" s="5"/>
      <c r="AC80" s="5"/>
      <c r="AD80" s="5"/>
      <c r="AE80" s="5"/>
      <c r="AF80" s="7"/>
    </row>
    <row r="81" spans="1:40" s="24" customFormat="1" x14ac:dyDescent="0.35">
      <c r="A81" s="5"/>
      <c r="B81" s="5"/>
      <c r="C81" s="5"/>
      <c r="D81" s="5"/>
      <c r="E81" s="5"/>
      <c r="F81" s="5"/>
      <c r="G81" s="5"/>
      <c r="J81" s="57"/>
      <c r="K81" s="57"/>
      <c r="L81" s="57"/>
      <c r="M81" s="57"/>
      <c r="N81" s="57"/>
      <c r="O81" s="57"/>
      <c r="P81" s="57"/>
      <c r="Q81" s="57"/>
      <c r="R81" s="7"/>
      <c r="S81" s="5"/>
      <c r="T81" s="5"/>
      <c r="U81" s="5"/>
      <c r="V81" s="5"/>
      <c r="W81" s="5"/>
      <c r="X81" s="5"/>
      <c r="Y81" s="5"/>
      <c r="Z81" s="5"/>
      <c r="AA81" s="5"/>
      <c r="AB81" s="5"/>
      <c r="AC81" s="5"/>
      <c r="AD81" s="5"/>
      <c r="AE81" s="5"/>
      <c r="AF81" s="7"/>
    </row>
    <row r="82" spans="1:40" s="24" customFormat="1" x14ac:dyDescent="0.35">
      <c r="A82" s="5"/>
      <c r="B82" s="5"/>
      <c r="C82" s="5"/>
      <c r="D82" s="5"/>
      <c r="E82" s="5"/>
      <c r="F82" s="5"/>
      <c r="G82" s="5"/>
      <c r="J82" s="57"/>
      <c r="K82" s="57"/>
      <c r="L82" s="57"/>
      <c r="M82" s="57"/>
      <c r="N82" s="57"/>
      <c r="O82" s="57"/>
      <c r="P82" s="57"/>
      <c r="Q82" s="57"/>
      <c r="R82" s="7"/>
      <c r="S82" s="5"/>
      <c r="T82" s="5"/>
      <c r="U82" s="5"/>
      <c r="V82" s="5"/>
      <c r="W82" s="5"/>
      <c r="X82" s="5"/>
      <c r="Y82" s="5"/>
      <c r="Z82" s="5"/>
      <c r="AA82" s="5"/>
      <c r="AB82" s="5"/>
      <c r="AC82" s="5"/>
      <c r="AD82" s="5"/>
      <c r="AE82" s="5"/>
      <c r="AF82" s="7"/>
      <c r="AN82" s="22" t="s">
        <v>21</v>
      </c>
    </row>
  </sheetData>
  <mergeCells count="24">
    <mergeCell ref="AE6:AP6"/>
    <mergeCell ref="AR6:BC6"/>
    <mergeCell ref="B39:D39"/>
    <mergeCell ref="E39:G39"/>
    <mergeCell ref="B9:G9"/>
    <mergeCell ref="B10:D10"/>
    <mergeCell ref="E10:G10"/>
    <mergeCell ref="B24:G24"/>
    <mergeCell ref="B25:G25"/>
    <mergeCell ref="B26:D26"/>
    <mergeCell ref="E26:G26"/>
    <mergeCell ref="B38:G38"/>
    <mergeCell ref="B49:G49"/>
    <mergeCell ref="B50:D50"/>
    <mergeCell ref="E50:G50"/>
    <mergeCell ref="B60:G60"/>
    <mergeCell ref="B61:D61"/>
    <mergeCell ref="E61:G61"/>
    <mergeCell ref="A44:G44"/>
    <mergeCell ref="B3:E3"/>
    <mergeCell ref="A42:G42"/>
    <mergeCell ref="A41:G41"/>
    <mergeCell ref="A43:G43"/>
    <mergeCell ref="B4:E4"/>
  </mergeCells>
  <hyperlinks>
    <hyperlink ref="A2" location="Contents!A1" display="Back to contents" xr:uid="{9D1F471D-2789-4DD3-989B-FFB0002F6A7D}"/>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3793" r:id="rId3" name="Drop Down 1">
              <controlPr defaultSize="0" autoLine="0" autoPict="0">
                <anchor moveWithCells="1">
                  <from>
                    <xdr:col>0</xdr:col>
                    <xdr:colOff>38100</xdr:colOff>
                    <xdr:row>5</xdr:row>
                    <xdr:rowOff>63500</xdr:rowOff>
                  </from>
                  <to>
                    <xdr:col>0</xdr:col>
                    <xdr:colOff>1441450</xdr:colOff>
                    <xdr:row>6</xdr:row>
                    <xdr:rowOff>101600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57DDA1-AAA4-4247-BD62-6409167A532E}">
  <sheetPr codeName="Sheet6"/>
  <dimension ref="A1:CV93"/>
  <sheetViews>
    <sheetView showGridLines="0" zoomScaleNormal="100" workbookViewId="0"/>
  </sheetViews>
  <sheetFormatPr defaultRowHeight="15.5" x14ac:dyDescent="0.35"/>
  <cols>
    <col min="1" max="1" width="19.1796875" bestFit="1" customWidth="1"/>
    <col min="2" max="2" width="18.1796875" customWidth="1"/>
    <col min="3" max="3" width="20.1796875" customWidth="1"/>
    <col min="4" max="4" width="25.81640625" customWidth="1"/>
    <col min="5" max="5" width="16.81640625" customWidth="1"/>
    <col min="6" max="6" width="18.81640625" customWidth="1"/>
    <col min="7" max="7" width="23.1796875" customWidth="1"/>
    <col min="8" max="8" width="15.1796875" customWidth="1"/>
    <col min="9" max="9" width="19.81640625" customWidth="1"/>
    <col min="10" max="10" width="24.81640625" customWidth="1"/>
    <col min="12" max="17" width="8.81640625" hidden="1" customWidth="1"/>
    <col min="18" max="18" width="8.81640625" customWidth="1"/>
    <col min="39" max="39" width="8.81640625" customWidth="1"/>
    <col min="40" max="40" width="8.81640625" style="7" hidden="1" customWidth="1"/>
    <col min="41" max="51" width="9.1796875" style="5" hidden="1" customWidth="1"/>
    <col min="52" max="52" width="8.81640625" customWidth="1"/>
    <col min="54" max="54" width="9" customWidth="1"/>
  </cols>
  <sheetData>
    <row r="1" spans="1:100" x14ac:dyDescent="0.35">
      <c r="A1" s="5"/>
      <c r="B1" s="5"/>
      <c r="C1" s="5"/>
      <c r="D1" s="5"/>
      <c r="E1" s="5"/>
      <c r="AN1" s="37"/>
      <c r="AO1" s="8"/>
      <c r="AP1" s="8"/>
      <c r="AQ1" s="8"/>
      <c r="AR1" s="8"/>
      <c r="AS1" s="8"/>
      <c r="AT1" s="8"/>
      <c r="AU1" s="8"/>
      <c r="AV1" s="8"/>
      <c r="AW1" s="8"/>
      <c r="AX1" s="8"/>
      <c r="AY1" s="8"/>
    </row>
    <row r="2" spans="1:100" x14ac:dyDescent="0.35">
      <c r="A2" s="9" t="s">
        <v>22</v>
      </c>
      <c r="B2" s="5"/>
      <c r="C2" s="5"/>
      <c r="D2" s="5"/>
      <c r="E2" s="5"/>
      <c r="AN2" s="5" t="str">
        <f>"15-34 year olds: Estimated % OAT exposure in "&amp;AX$9&amp;""</f>
        <v>15-34 year olds: Estimated % OAT exposure in Scotland</v>
      </c>
      <c r="AT2" s="5" t="str">
        <f>"15-34 year olds: Estimated OAT composition "&amp;AX$9&amp;""</f>
        <v>15-34 year olds: Estimated OAT composition Scotland</v>
      </c>
      <c r="CV2" s="101">
        <v>1</v>
      </c>
    </row>
    <row r="3" spans="1:100" ht="17.5" x14ac:dyDescent="0.35">
      <c r="A3" s="10" t="s">
        <v>86</v>
      </c>
      <c r="B3" s="10" t="s">
        <v>568</v>
      </c>
      <c r="C3" s="5"/>
      <c r="D3" s="22"/>
      <c r="E3" s="22"/>
      <c r="AN3" s="5" t="str">
        <f>"35-49 year olds: Estimated % OAT exposure in "&amp;AX$9&amp;""</f>
        <v>35-49 year olds: Estimated % OAT exposure in Scotland</v>
      </c>
      <c r="AT3" s="5" t="str">
        <f>"35-49 year olds: Estimated OAT composition in "&amp;AX$9&amp;""</f>
        <v>35-49 year olds: Estimated OAT composition in Scotland</v>
      </c>
    </row>
    <row r="4" spans="1:100" x14ac:dyDescent="0.35">
      <c r="A4" s="5"/>
      <c r="B4" s="5" t="s">
        <v>68</v>
      </c>
      <c r="C4" s="5"/>
      <c r="D4" s="22"/>
      <c r="E4" s="22"/>
      <c r="AN4" s="5" t="str">
        <f>"50-64 year olds: Estimated % OAT exposure in "&amp;AX$9&amp;""</f>
        <v>50-64 year olds: Estimated % OAT exposure in Scotland</v>
      </c>
      <c r="AT4" s="5" t="str">
        <f>"50-64 year olds: Estimated OAT composition in "&amp;AX$9&amp;""</f>
        <v>50-64 year olds: Estimated OAT composition in Scotland</v>
      </c>
    </row>
    <row r="5" spans="1:100" x14ac:dyDescent="0.35">
      <c r="A5" s="11" t="s">
        <v>25</v>
      </c>
      <c r="B5" s="11"/>
      <c r="C5" s="5"/>
      <c r="D5" s="5"/>
      <c r="E5" s="5"/>
    </row>
    <row r="6" spans="1:100" x14ac:dyDescent="0.35">
      <c r="A6" s="5"/>
      <c r="B6" s="5"/>
      <c r="C6" s="5"/>
      <c r="D6" s="5"/>
      <c r="E6" s="5"/>
    </row>
    <row r="7" spans="1:100" x14ac:dyDescent="0.35">
      <c r="A7" s="5"/>
      <c r="B7" s="5"/>
      <c r="C7" s="5"/>
      <c r="D7" s="5"/>
      <c r="E7" s="5"/>
      <c r="AO7" s="5" t="s">
        <v>26</v>
      </c>
      <c r="AP7" s="5" t="s">
        <v>27</v>
      </c>
      <c r="AT7" s="5" t="s">
        <v>28</v>
      </c>
      <c r="AY7" s="5" t="s">
        <v>29</v>
      </c>
    </row>
    <row r="9" spans="1:100" x14ac:dyDescent="0.35">
      <c r="A9" s="5"/>
      <c r="B9" s="5"/>
      <c r="C9" s="5"/>
      <c r="D9" s="5"/>
      <c r="E9" s="5"/>
      <c r="F9" s="5"/>
      <c r="G9" s="5"/>
      <c r="H9" s="5"/>
      <c r="I9" s="5"/>
      <c r="J9" s="5"/>
      <c r="AO9" s="5" t="s">
        <v>31</v>
      </c>
      <c r="AP9" s="5" t="s">
        <v>31</v>
      </c>
      <c r="AQ9" s="12"/>
      <c r="AR9" s="5" t="s">
        <v>32</v>
      </c>
      <c r="AS9" s="5" t="s">
        <v>32</v>
      </c>
      <c r="AU9" s="14"/>
      <c r="AW9" s="13">
        <v>1</v>
      </c>
      <c r="AX9" s="12" t="str">
        <f>INDEX(AS9:AS16,AW9)</f>
        <v>Scotland</v>
      </c>
    </row>
    <row r="10" spans="1:100" ht="24" customHeight="1" x14ac:dyDescent="0.35">
      <c r="A10" s="32"/>
      <c r="B10" s="173" t="s">
        <v>55</v>
      </c>
      <c r="C10" s="173"/>
      <c r="D10" s="173"/>
      <c r="E10" s="173"/>
      <c r="F10" s="173"/>
      <c r="G10" s="173"/>
      <c r="H10" s="173"/>
      <c r="I10" s="173"/>
      <c r="J10" s="173"/>
      <c r="AN10" s="57"/>
      <c r="AO10" s="5" t="s">
        <v>37</v>
      </c>
      <c r="AQ10" s="12"/>
      <c r="AR10" s="5" t="str">
        <f>IF($W$9=5,AT10,IF($W$9=3,AU16,AS10))</f>
        <v>NHS Ayrshire &amp; Arran</v>
      </c>
      <c r="AS10" s="5" t="s">
        <v>130</v>
      </c>
      <c r="AV10" s="12"/>
    </row>
    <row r="11" spans="1:100" ht="24" customHeight="1" x14ac:dyDescent="0.35">
      <c r="A11" s="29" t="s">
        <v>30</v>
      </c>
      <c r="B11" s="178" t="s">
        <v>56</v>
      </c>
      <c r="C11" s="178"/>
      <c r="D11" s="178"/>
      <c r="E11" s="187" t="s">
        <v>57</v>
      </c>
      <c r="F11" s="178"/>
      <c r="G11" s="179"/>
      <c r="H11" s="178" t="s">
        <v>58</v>
      </c>
      <c r="I11" s="178"/>
      <c r="J11" s="179"/>
      <c r="L11" s="184" t="s">
        <v>56</v>
      </c>
      <c r="M11" s="184"/>
      <c r="N11" s="184" t="s">
        <v>57</v>
      </c>
      <c r="O11" s="184"/>
      <c r="P11" s="184" t="s">
        <v>58</v>
      </c>
      <c r="Q11" s="184"/>
      <c r="AN11" s="57"/>
      <c r="AO11" s="5" t="s">
        <v>42</v>
      </c>
      <c r="AQ11" s="12"/>
      <c r="AR11" s="5" t="str">
        <f t="shared" ref="AR11:AR16" si="0">IF($W$9=5,AT11,IF($W$9=3,AU17,AS11))</f>
        <v>NHS Fife</v>
      </c>
      <c r="AS11" s="5" t="s">
        <v>129</v>
      </c>
      <c r="AV11" s="3"/>
      <c r="BP11" t="s">
        <v>69</v>
      </c>
    </row>
    <row r="12" spans="1:100" ht="84" customHeight="1" x14ac:dyDescent="0.35">
      <c r="A12" s="44" t="s">
        <v>33</v>
      </c>
      <c r="B12" s="97" t="s">
        <v>70</v>
      </c>
      <c r="C12" s="98" t="s">
        <v>71</v>
      </c>
      <c r="D12" s="99" t="s">
        <v>72</v>
      </c>
      <c r="E12" s="97" t="s">
        <v>70</v>
      </c>
      <c r="F12" s="98" t="s">
        <v>71</v>
      </c>
      <c r="G12" s="99" t="s">
        <v>72</v>
      </c>
      <c r="H12" s="97" t="s">
        <v>70</v>
      </c>
      <c r="I12" s="98" t="s">
        <v>71</v>
      </c>
      <c r="J12" s="99" t="s">
        <v>72</v>
      </c>
      <c r="L12" s="67" t="s">
        <v>73</v>
      </c>
      <c r="M12" s="67" t="s">
        <v>35</v>
      </c>
      <c r="N12" s="67" t="s">
        <v>73</v>
      </c>
      <c r="O12" s="67" t="s">
        <v>35</v>
      </c>
      <c r="P12" s="67" t="s">
        <v>73</v>
      </c>
      <c r="Q12" s="67" t="s">
        <v>35</v>
      </c>
      <c r="AN12" s="57"/>
      <c r="AQ12" s="12"/>
      <c r="AR12" s="5" t="str">
        <f t="shared" si="0"/>
        <v>NHS Grampian</v>
      </c>
      <c r="AS12" s="5" t="s">
        <v>128</v>
      </c>
      <c r="AV12" s="4"/>
    </row>
    <row r="13" spans="1:100" x14ac:dyDescent="0.35">
      <c r="A13" s="38" t="s">
        <v>39</v>
      </c>
      <c r="B13" s="33">
        <f>IFERROR(VLOOKUP(CONCATENATE($A13,$AX$9,"All",$B$11),Age!$A:$S,16,FALSE),0)</f>
        <v>9178</v>
      </c>
      <c r="C13" s="30">
        <f t="shared" ref="C13:C17" si="1">L13-B13</f>
        <v>2349</v>
      </c>
      <c r="D13" s="31">
        <f t="shared" ref="D13:D18" si="2">M13-L13</f>
        <v>5573</v>
      </c>
      <c r="E13" s="30">
        <f>IFERROR(VLOOKUP(CONCATENATE($A13,$AX$9,"All",$E$11),Age!$A:$S,16,FALSE),0)</f>
        <v>17053</v>
      </c>
      <c r="F13" s="30">
        <f t="shared" ref="F13:F18" si="3">N13-E13</f>
        <v>3864</v>
      </c>
      <c r="G13" s="30">
        <f t="shared" ref="G13:G18" si="4">O13-N13</f>
        <v>6083</v>
      </c>
      <c r="H13" s="33">
        <f>IFERROR(VLOOKUP(CONCATENATE($A13,$AX$9,"All",$H$11),Age!$A:$S,16,FALSE),0)</f>
        <v>2129</v>
      </c>
      <c r="I13" s="30">
        <f t="shared" ref="I13:I18" si="5">H13</f>
        <v>2129</v>
      </c>
      <c r="J13" s="31">
        <f t="shared" ref="J13:J18" si="6">Q13-P13</f>
        <v>1842</v>
      </c>
      <c r="L13" s="30">
        <f>IFERROR(VLOOKUP(CONCATENATE($A13,$AX$9,"All",$B$11),Age!$A:$S,12,FALSE),0)</f>
        <v>11527</v>
      </c>
      <c r="M13" s="30">
        <f>IFERROR(VLOOKUP(CONCATENATE($A13,$AX$9,"All",$B$11),Age!$A:$S,6,FALSE),0)</f>
        <v>17100</v>
      </c>
      <c r="N13" s="30">
        <f>IFERROR(VLOOKUP(CONCATENATE($A13,$AX$9,"All",$E$11),Age!$A:$S,12,FALSE),0)</f>
        <v>20917</v>
      </c>
      <c r="O13" s="30">
        <f>IFERROR(VLOOKUP(CONCATENATE($A13,$AX$9,"All",$E$11),Age!$A:$S,6,FALSE),0)</f>
        <v>27000</v>
      </c>
      <c r="P13" s="30">
        <f>IFERROR(VLOOKUP(CONCATENATE($A13,$AX$9,"All",$H$11),Age!$A:$S,12,FALSE),0)</f>
        <v>2758</v>
      </c>
      <c r="Q13" s="30">
        <f>IFERROR(VLOOKUP(CONCATENATE($A13,$AX$9,"All",$H$11),Age!$A:$S,6,FALSE),0)</f>
        <v>4600</v>
      </c>
      <c r="AN13" s="57"/>
      <c r="AQ13" s="12"/>
      <c r="AR13" s="5" t="str">
        <f t="shared" si="0"/>
        <v>NHS Greater Glasgow &amp; Clyde</v>
      </c>
      <c r="AS13" s="13" t="s">
        <v>38</v>
      </c>
      <c r="AW13" s="4"/>
    </row>
    <row r="14" spans="1:100" x14ac:dyDescent="0.35">
      <c r="A14" s="36" t="s">
        <v>44</v>
      </c>
      <c r="B14" s="34">
        <f>IFERROR(VLOOKUP(CONCATENATE(A14,$AX$9,"All",$B$11),Age!$A:$S,16,FALSE),0)</f>
        <v>8320</v>
      </c>
      <c r="C14" s="18">
        <f t="shared" si="1"/>
        <v>2041</v>
      </c>
      <c r="D14" s="20">
        <f t="shared" si="2"/>
        <v>5039</v>
      </c>
      <c r="E14" s="18">
        <f>IFERROR(VLOOKUP(CONCATENATE(A14,$AX$9,"All",$E$11),Age!$A:$S,16,FALSE),0)</f>
        <v>17908</v>
      </c>
      <c r="F14" s="18">
        <f t="shared" si="3"/>
        <v>3793</v>
      </c>
      <c r="G14" s="18">
        <f t="shared" si="4"/>
        <v>5299</v>
      </c>
      <c r="H14" s="34">
        <f>IFERROR(VLOOKUP(CONCATENATE(A14,$AX$9,"All",$H$11),Age!$A:$S,16,FALSE),0)</f>
        <v>2590</v>
      </c>
      <c r="I14" s="18">
        <f t="shared" si="5"/>
        <v>2590</v>
      </c>
      <c r="J14" s="20">
        <f t="shared" si="6"/>
        <v>1731</v>
      </c>
      <c r="L14" s="30">
        <f>IFERROR(VLOOKUP(CONCATENATE($A14,$AX$9,"All",$B$11),Age!$A:$S,12,FALSE),0)</f>
        <v>10361</v>
      </c>
      <c r="M14" s="30">
        <f>IFERROR(VLOOKUP(CONCATENATE($A14,$AX$9,"All",$B$11),Age!$A:$S,6,FALSE),0)</f>
        <v>15400</v>
      </c>
      <c r="N14" s="30">
        <f>IFERROR(VLOOKUP(CONCATENATE($A14,$AX$9,"All",$E$11),Age!$A:$S,12,FALSE),0)</f>
        <v>21701</v>
      </c>
      <c r="O14" s="30">
        <f>IFERROR(VLOOKUP(CONCATENATE($A14,$AX$9,"All",$E$11),Age!$A:$S,6,FALSE),0)</f>
        <v>27000</v>
      </c>
      <c r="P14" s="30">
        <f>IFERROR(VLOOKUP(CONCATENATE($A14,$AX$9,"All",$H$11),Age!$A:$S,12,FALSE),0)</f>
        <v>3269</v>
      </c>
      <c r="Q14" s="30">
        <f>IFERROR(VLOOKUP(CONCATENATE($A14,$AX$9,"All",$H$11),Age!$A:$S,6,FALSE),0)</f>
        <v>5000</v>
      </c>
      <c r="AN14" s="57"/>
      <c r="AQ14" s="12"/>
      <c r="AR14" s="5" t="str">
        <f t="shared" si="0"/>
        <v>NHS Lanarkshire</v>
      </c>
      <c r="AS14" s="5" t="s">
        <v>127</v>
      </c>
      <c r="AW14" s="4"/>
    </row>
    <row r="15" spans="1:100" x14ac:dyDescent="0.35">
      <c r="A15" s="36" t="s">
        <v>46</v>
      </c>
      <c r="B15" s="34">
        <f>IFERROR(VLOOKUP(CONCATENATE(A15,$AX$9,"All",$B$11),Age!$A:$S,16,FALSE),0)</f>
        <v>7451</v>
      </c>
      <c r="C15" s="18">
        <f t="shared" si="1"/>
        <v>1701</v>
      </c>
      <c r="D15" s="20">
        <f t="shared" si="2"/>
        <v>4448</v>
      </c>
      <c r="E15" s="18">
        <f>IFERROR(VLOOKUP(CONCATENATE(A15,$AX$9,"All",$E$11),Age!$A:$S,16,FALSE),0)</f>
        <v>18654</v>
      </c>
      <c r="F15" s="18">
        <f t="shared" si="3"/>
        <v>3731</v>
      </c>
      <c r="G15" s="18">
        <f t="shared" si="4"/>
        <v>4915</v>
      </c>
      <c r="H15" s="34">
        <f>IFERROR(VLOOKUP(CONCATENATE(A15,$AX$9,"All",$H$11),Age!$A:$S,16,FALSE),0)</f>
        <v>3115</v>
      </c>
      <c r="I15" s="18">
        <f t="shared" si="5"/>
        <v>3115</v>
      </c>
      <c r="J15" s="20">
        <f t="shared" si="6"/>
        <v>1830</v>
      </c>
      <c r="L15" s="30">
        <f>IFERROR(VLOOKUP(CONCATENATE($A15,$AX$9,"All",$B$11),Age!$A:$S,12,FALSE),0)</f>
        <v>9152</v>
      </c>
      <c r="M15" s="30">
        <f>IFERROR(VLOOKUP(CONCATENATE($A15,$AX$9,"All",$B$11),Age!$A:$S,6,FALSE),0)</f>
        <v>13600</v>
      </c>
      <c r="N15" s="30">
        <f>IFERROR(VLOOKUP(CONCATENATE($A15,$AX$9,"All",$E$11),Age!$A:$S,12,FALSE),0)</f>
        <v>22385</v>
      </c>
      <c r="O15" s="30">
        <f>IFERROR(VLOOKUP(CONCATENATE($A15,$AX$9,"All",$E$11),Age!$A:$S,6,FALSE),0)</f>
        <v>27300</v>
      </c>
      <c r="P15" s="30">
        <f>IFERROR(VLOOKUP(CONCATENATE($A15,$AX$9,"All",$H$11),Age!$A:$S,12,FALSE),0)</f>
        <v>3870</v>
      </c>
      <c r="Q15" s="30">
        <f>IFERROR(VLOOKUP(CONCATENATE($A15,$AX$9,"All",$H$11),Age!$A:$S,6,FALSE),0)</f>
        <v>5700</v>
      </c>
      <c r="AN15" s="57"/>
      <c r="AQ15" s="12"/>
      <c r="AR15" s="5" t="str">
        <f t="shared" si="0"/>
        <v>NHS Lothian</v>
      </c>
      <c r="AS15" s="13" t="s">
        <v>43</v>
      </c>
      <c r="AW15" s="4"/>
    </row>
    <row r="16" spans="1:100" x14ac:dyDescent="0.35">
      <c r="A16" s="36" t="s">
        <v>47</v>
      </c>
      <c r="B16" s="34">
        <f>IFERROR(VLOOKUP(CONCATENATE(A16,$AX$9,"All",$B$11),Age!$A:$S,16,FALSE),0)</f>
        <v>6664</v>
      </c>
      <c r="C16" s="18">
        <f t="shared" si="1"/>
        <v>1501</v>
      </c>
      <c r="D16" s="20">
        <f t="shared" si="2"/>
        <v>3935</v>
      </c>
      <c r="E16" s="18">
        <f>IFERROR(VLOOKUP(CONCATENATE(A16,$AX$9,"All",$E$11),Age!$A:$S,16,FALSE),0)</f>
        <v>19073</v>
      </c>
      <c r="F16" s="18">
        <f t="shared" si="3"/>
        <v>3673</v>
      </c>
      <c r="G16" s="18">
        <f t="shared" si="4"/>
        <v>4254</v>
      </c>
      <c r="H16" s="34">
        <f>IFERROR(VLOOKUP(CONCATENATE(A16,$AX$9,"All",$H$11),Age!$A:$S,16,FALSE),0)</f>
        <v>3644</v>
      </c>
      <c r="I16" s="18">
        <f t="shared" si="5"/>
        <v>3644</v>
      </c>
      <c r="J16" s="20">
        <f t="shared" si="6"/>
        <v>1154</v>
      </c>
      <c r="L16" s="30">
        <f>IFERROR(VLOOKUP(CONCATENATE($A16,$AX$9,"All",$B$11),Age!$A:$S,12,FALSE),0)</f>
        <v>8165</v>
      </c>
      <c r="M16" s="30">
        <f>IFERROR(VLOOKUP(CONCATENATE($A16,$AX$9,"All",$B$11),Age!$A:$S,6,FALSE),0)</f>
        <v>12100</v>
      </c>
      <c r="N16" s="30">
        <f>IFERROR(VLOOKUP(CONCATENATE($A16,$AX$9,"All",$E$11),Age!$A:$S,12,FALSE),0)</f>
        <v>22746</v>
      </c>
      <c r="O16" s="30">
        <f>IFERROR(VLOOKUP(CONCATENATE($A16,$AX$9,"All",$E$11),Age!$A:$S,6,FALSE),0)</f>
        <v>27000</v>
      </c>
      <c r="P16" s="30">
        <f>IFERROR(VLOOKUP(CONCATENATE($A16,$AX$9,"All",$H$11),Age!$A:$S,12,FALSE),0)</f>
        <v>4446</v>
      </c>
      <c r="Q16" s="30">
        <f>IFERROR(VLOOKUP(CONCATENATE($A16,$AX$9,"All",$H$11),Age!$A:$S,6,FALSE),0)</f>
        <v>5600</v>
      </c>
      <c r="AN16" s="57"/>
      <c r="AR16" s="5" t="str">
        <f t="shared" si="0"/>
        <v>NHS Tayside</v>
      </c>
      <c r="AS16" s="13" t="s">
        <v>45</v>
      </c>
      <c r="AW16" s="4"/>
    </row>
    <row r="17" spans="1:49" x14ac:dyDescent="0.35">
      <c r="A17" s="36" t="s">
        <v>48</v>
      </c>
      <c r="B17" s="34">
        <f>IFERROR(VLOOKUP(CONCATENATE(A17,$AX$9,"All",$B$11),Age!$A:$S,16,FALSE),0)</f>
        <v>5957</v>
      </c>
      <c r="C17" s="18">
        <f t="shared" si="1"/>
        <v>1407</v>
      </c>
      <c r="D17" s="20">
        <f t="shared" si="2"/>
        <v>4236</v>
      </c>
      <c r="E17" s="18">
        <f>IFERROR(VLOOKUP(CONCATENATE(A17,$AX$9,"All",$E$11),Age!$A:$S,16,FALSE),0)</f>
        <v>18895</v>
      </c>
      <c r="F17" s="18">
        <f t="shared" si="3"/>
        <v>3679</v>
      </c>
      <c r="G17" s="18">
        <f t="shared" si="4"/>
        <v>4426</v>
      </c>
      <c r="H17" s="34">
        <f>IFERROR(VLOOKUP(CONCATENATE(A17,$AX$9,"All",$H$11),Age!$A:$S,16,FALSE),0)</f>
        <v>4220</v>
      </c>
      <c r="I17" s="18">
        <f t="shared" si="5"/>
        <v>4220</v>
      </c>
      <c r="J17" s="20">
        <f t="shared" si="6"/>
        <v>1593</v>
      </c>
      <c r="L17" s="30">
        <f>IFERROR(VLOOKUP(CONCATENATE($A17,$AX$9,"All",$B$11),Age!$A:$S,12,FALSE),0)</f>
        <v>7364</v>
      </c>
      <c r="M17" s="30">
        <f>IFERROR(VLOOKUP(CONCATENATE($A17,$AX$9,"All",$B$11),Age!$A:$S,6,FALSE),0)</f>
        <v>11600</v>
      </c>
      <c r="N17" s="30">
        <f>IFERROR(VLOOKUP(CONCATENATE($A17,$AX$9,"All",$E$11),Age!$A:$S,12,FALSE),0)</f>
        <v>22574</v>
      </c>
      <c r="O17" s="30">
        <f>IFERROR(VLOOKUP(CONCATENATE($A17,$AX$9,"All",$E$11),Age!$A:$S,6,FALSE),0)</f>
        <v>27000</v>
      </c>
      <c r="P17" s="30">
        <f>IFERROR(VLOOKUP(CONCATENATE($A17,$AX$9,"All",$H$11),Age!$A:$S,12,FALSE),0)</f>
        <v>5107</v>
      </c>
      <c r="Q17" s="30">
        <f>IFERROR(VLOOKUP(CONCATENATE($A17,$AX$9,"All",$H$11),Age!$A:$S,6,FALSE),0)</f>
        <v>6700</v>
      </c>
      <c r="AN17" s="57"/>
      <c r="AW17" s="4"/>
    </row>
    <row r="18" spans="1:49" x14ac:dyDescent="0.35">
      <c r="A18" s="36" t="s">
        <v>49</v>
      </c>
      <c r="B18" s="34">
        <f>IFERROR(VLOOKUP(CONCATENATE(A18,$AX$9,"All",$B$11),Age!$A:$S,16,FALSE),0)</f>
        <v>5504</v>
      </c>
      <c r="C18" s="18">
        <f>L18-B18</f>
        <v>1324</v>
      </c>
      <c r="D18" s="20">
        <f t="shared" si="2"/>
        <v>5172</v>
      </c>
      <c r="E18" s="18">
        <f>IFERROR(VLOOKUP(CONCATENATE(A18,$AX$9,"All",$E$11),Age!$A:$S,16,FALSE),0)</f>
        <v>18526</v>
      </c>
      <c r="F18" s="18">
        <f t="shared" si="3"/>
        <v>3718</v>
      </c>
      <c r="G18" s="18">
        <f t="shared" si="4"/>
        <v>5456</v>
      </c>
      <c r="H18" s="34">
        <f>IFERROR(VLOOKUP(CONCATENATE(A18,$AX$9,"All",$H$11),Age!$A:$S,16,FALSE),0)</f>
        <v>4835</v>
      </c>
      <c r="I18" s="18">
        <f t="shared" si="5"/>
        <v>4835</v>
      </c>
      <c r="J18" s="20">
        <f t="shared" si="6"/>
        <v>1535</v>
      </c>
      <c r="L18" s="30">
        <f>IFERROR(VLOOKUP(CONCATENATE($A18,$AX$9,"All",$B$11),Age!$A:$S,12,FALSE),0)</f>
        <v>6828</v>
      </c>
      <c r="M18" s="30">
        <f>IFERROR(VLOOKUP(CONCATENATE($A18,$AX$9,"All",$B$11),Age!$A:$S,6,FALSE),0)</f>
        <v>12000</v>
      </c>
      <c r="N18" s="30">
        <f>IFERROR(VLOOKUP(CONCATENATE($A18,$AX$9,"All",$E$11),Age!$A:$S,12,FALSE),0)</f>
        <v>22244</v>
      </c>
      <c r="O18" s="30">
        <f>IFERROR(VLOOKUP(CONCATENATE($A18,$AX$9,"All",$E$11),Age!$A:$S,6,FALSE),0)</f>
        <v>27700</v>
      </c>
      <c r="P18" s="30">
        <f>IFERROR(VLOOKUP(CONCATENATE($A18,$AX$9,"All",$H$11),Age!$A:$S,12,FALSE),0)</f>
        <v>5865</v>
      </c>
      <c r="Q18" s="30">
        <f>IFERROR(VLOOKUP(CONCATENATE($A18,$AX$9,"All",$H$11),Age!$A:$S,6,FALSE),0)</f>
        <v>7400</v>
      </c>
      <c r="AN18" s="57"/>
      <c r="AW18" s="4"/>
    </row>
    <row r="19" spans="1:49" x14ac:dyDescent="0.35">
      <c r="A19" s="126" t="s">
        <v>124</v>
      </c>
      <c r="B19" s="34">
        <f>IFERROR(VLOOKUP(CONCATENATE(A19,$AX$9,"All",$B$11),Age!$A:$S,16,FALSE),0)</f>
        <v>5247</v>
      </c>
      <c r="C19" s="18">
        <f t="shared" ref="C19:C21" si="7">L19-B19</f>
        <v>1231</v>
      </c>
      <c r="D19" s="20">
        <f t="shared" ref="D19:D21" si="8">M19-L19</f>
        <v>5322</v>
      </c>
      <c r="E19" s="18">
        <f>IFERROR(VLOOKUP(CONCATENATE(A19,$AX$9,"All",$E$11),Age!$A:$S,16,FALSE),0)</f>
        <v>18303</v>
      </c>
      <c r="F19" s="18">
        <f t="shared" ref="F19:F21" si="9">N19-E19</f>
        <v>3620</v>
      </c>
      <c r="G19" s="18">
        <f t="shared" ref="G19:G21" si="10">O19-N19</f>
        <v>5577</v>
      </c>
      <c r="H19" s="34">
        <f>IFERROR(VLOOKUP(CONCATENATE(A19,$AX$9,"All",$H$11),Age!$A:$S,16,FALSE),0)</f>
        <v>5501</v>
      </c>
      <c r="I19" s="18">
        <f t="shared" ref="I19:I21" si="11">H19</f>
        <v>5501</v>
      </c>
      <c r="J19" s="20">
        <f t="shared" ref="J19:J21" si="12">Q19-P19</f>
        <v>2202</v>
      </c>
      <c r="L19" s="30">
        <f>IFERROR(VLOOKUP(CONCATENATE($A19,$AX$9,"All",$B$11),Age!$A:$S,12,FALSE),0)</f>
        <v>6478</v>
      </c>
      <c r="M19" s="30">
        <f>IFERROR(VLOOKUP(CONCATENATE($A19,$AX$9,"All",$B$11),Age!$A:$S,6,FALSE),0)</f>
        <v>11800</v>
      </c>
      <c r="N19" s="30">
        <f>IFERROR(VLOOKUP(CONCATENATE($A19,$AX$9,"All",$E$11),Age!$A:$S,12,FALSE),0)</f>
        <v>21923</v>
      </c>
      <c r="O19" s="30">
        <f>IFERROR(VLOOKUP(CONCATENATE($A19,$AX$9,"All",$E$11),Age!$A:$S,6,FALSE),0)</f>
        <v>27500</v>
      </c>
      <c r="P19" s="30">
        <f>IFERROR(VLOOKUP(CONCATENATE($A19,$AX$9,"All",$H$11),Age!$A:$S,12,FALSE),0)</f>
        <v>6598</v>
      </c>
      <c r="Q19" s="30">
        <f>IFERROR(VLOOKUP(CONCATENATE($A19,$AX$9,"All",$H$11),Age!$A:$S,6,FALSE),0)</f>
        <v>8800</v>
      </c>
      <c r="AN19" s="57"/>
      <c r="AW19" s="4"/>
    </row>
    <row r="20" spans="1:49" x14ac:dyDescent="0.35">
      <c r="A20" s="126" t="s">
        <v>125</v>
      </c>
      <c r="B20" s="34">
        <f>IFERROR(VLOOKUP(CONCATENATE(A20,$AX$9,"All",$B$11),Age!$A:$S,16,FALSE),0)</f>
        <v>4849</v>
      </c>
      <c r="C20" s="18">
        <f t="shared" si="7"/>
        <v>1162</v>
      </c>
      <c r="D20" s="20">
        <f t="shared" si="8"/>
        <v>4489</v>
      </c>
      <c r="E20" s="18">
        <f>IFERROR(VLOOKUP(CONCATENATE(A20,$AX$9,"All",$E$11),Age!$A:$S,16,FALSE),0)</f>
        <v>18093</v>
      </c>
      <c r="F20" s="18">
        <f t="shared" si="9"/>
        <v>3169</v>
      </c>
      <c r="G20" s="18">
        <f t="shared" si="10"/>
        <v>4838</v>
      </c>
      <c r="H20" s="34">
        <f>IFERROR(VLOOKUP(CONCATENATE(A20,$AX$9,"All",$H$11),Age!$A:$S,16,FALSE),0)</f>
        <v>6270</v>
      </c>
      <c r="I20" s="18">
        <f t="shared" si="11"/>
        <v>6270</v>
      </c>
      <c r="J20" s="20">
        <f t="shared" si="12"/>
        <v>2159</v>
      </c>
      <c r="L20" s="30">
        <f>IFERROR(VLOOKUP(CONCATENATE($A20,$AX$9,"All",$B$11),Age!$A:$S,12,FALSE),0)</f>
        <v>6011</v>
      </c>
      <c r="M20" s="30">
        <f>IFERROR(VLOOKUP(CONCATENATE($A20,$AX$9,"All",$B$11),Age!$A:$S,6,FALSE),0)</f>
        <v>10500</v>
      </c>
      <c r="N20" s="30">
        <f>IFERROR(VLOOKUP(CONCATENATE($A20,$AX$9,"All",$E$11),Age!$A:$S,12,FALSE),0)</f>
        <v>21262</v>
      </c>
      <c r="O20" s="30">
        <f>IFERROR(VLOOKUP(CONCATENATE($A20,$AX$9,"All",$E$11),Age!$A:$S,6,FALSE),0)</f>
        <v>26100</v>
      </c>
      <c r="P20" s="30">
        <f>IFERROR(VLOOKUP(CONCATENATE($A20,$AX$9,"All",$H$11),Age!$A:$S,12,FALSE),0)</f>
        <v>7341</v>
      </c>
      <c r="Q20" s="30">
        <f>IFERROR(VLOOKUP(CONCATENATE($A20,$AX$9,"All",$H$11),Age!$A:$S,6,FALSE),0)</f>
        <v>9500</v>
      </c>
      <c r="AN20" s="57"/>
      <c r="AW20" s="4"/>
    </row>
    <row r="21" spans="1:49" x14ac:dyDescent="0.35">
      <c r="A21" s="126" t="s">
        <v>126</v>
      </c>
      <c r="B21" s="34">
        <f>IFERROR(VLOOKUP(CONCATENATE(A21,$AX$9,"All",$B$11),Age!$A:$S,16,FALSE),0)</f>
        <v>4339</v>
      </c>
      <c r="C21" s="18">
        <f t="shared" si="7"/>
        <v>1156</v>
      </c>
      <c r="D21" s="20">
        <f t="shared" si="8"/>
        <v>3405</v>
      </c>
      <c r="E21" s="18">
        <f>IFERROR(VLOOKUP(CONCATENATE(A21,$AX$9,"All",$E$11),Age!$A:$S,16,FALSE),0)</f>
        <v>17291</v>
      </c>
      <c r="F21" s="18">
        <f t="shared" si="9"/>
        <v>3212</v>
      </c>
      <c r="G21" s="18">
        <f t="shared" si="10"/>
        <v>3697</v>
      </c>
      <c r="H21" s="34">
        <f>IFERROR(VLOOKUP(CONCATENATE(A21,$AX$9,"All",$H$11),Age!$A:$S,16,FALSE),0)</f>
        <v>6946</v>
      </c>
      <c r="I21" s="18">
        <f t="shared" si="11"/>
        <v>6946</v>
      </c>
      <c r="J21" s="20">
        <f t="shared" si="12"/>
        <v>2179</v>
      </c>
      <c r="L21" s="30">
        <f>IFERROR(VLOOKUP(CONCATENATE($A21,$AX$9,"All",$B$11),Age!$A:$S,12,FALSE),0)</f>
        <v>5495</v>
      </c>
      <c r="M21" s="30">
        <f>IFERROR(VLOOKUP(CONCATENATE($A21,$AX$9,"All",$B$11),Age!$A:$S,6,FALSE),0)</f>
        <v>8900</v>
      </c>
      <c r="N21" s="30">
        <f>IFERROR(VLOOKUP(CONCATENATE($A21,$AX$9,"All",$E$11),Age!$A:$S,12,FALSE),0)</f>
        <v>20503</v>
      </c>
      <c r="O21" s="30">
        <f>IFERROR(VLOOKUP(CONCATENATE($A21,$AX$9,"All",$E$11),Age!$A:$S,6,FALSE),0)</f>
        <v>24200</v>
      </c>
      <c r="P21" s="30">
        <f>IFERROR(VLOOKUP(CONCATENATE($A21,$AX$9,"All",$H$11),Age!$A:$S,12,FALSE),0)</f>
        <v>8121</v>
      </c>
      <c r="Q21" s="30">
        <f>IFERROR(VLOOKUP(CONCATENATE($A21,$AX$9,"All",$H$11),Age!$A:$S,6,FALSE),0)</f>
        <v>10300</v>
      </c>
      <c r="AN21" s="57"/>
      <c r="AW21" s="4"/>
    </row>
    <row r="22" spans="1:49" x14ac:dyDescent="0.35">
      <c r="A22" s="25"/>
      <c r="B22" s="25"/>
      <c r="C22" s="26"/>
      <c r="D22" s="27"/>
      <c r="E22" s="26"/>
      <c r="F22" s="26"/>
      <c r="G22" s="26"/>
      <c r="H22" s="25"/>
      <c r="I22" s="26"/>
      <c r="J22" s="27"/>
      <c r="AN22" s="57"/>
      <c r="AW22" s="4"/>
    </row>
    <row r="23" spans="1:49" x14ac:dyDescent="0.35">
      <c r="AN23" s="5"/>
      <c r="AV23" s="4"/>
    </row>
    <row r="24" spans="1:49" x14ac:dyDescent="0.35">
      <c r="AN24" s="16"/>
    </row>
    <row r="25" spans="1:49" ht="24.65" customHeight="1" x14ac:dyDescent="0.35">
      <c r="A25" s="32"/>
      <c r="B25" s="174" t="s">
        <v>55</v>
      </c>
      <c r="C25" s="173"/>
      <c r="D25" s="173"/>
      <c r="E25" s="173"/>
      <c r="F25" s="173"/>
      <c r="G25" s="173"/>
      <c r="H25" s="173"/>
      <c r="I25" s="173"/>
      <c r="J25" s="173"/>
      <c r="AN25" s="5"/>
    </row>
    <row r="26" spans="1:49" ht="24.65" customHeight="1" x14ac:dyDescent="0.35">
      <c r="A26" s="28" t="s">
        <v>74</v>
      </c>
      <c r="B26" s="167" t="s">
        <v>56</v>
      </c>
      <c r="C26" s="167"/>
      <c r="D26" s="168"/>
      <c r="E26" s="167" t="s">
        <v>57</v>
      </c>
      <c r="F26" s="167"/>
      <c r="G26" s="168"/>
      <c r="H26" s="171" t="s">
        <v>58</v>
      </c>
      <c r="I26" s="167"/>
      <c r="J26" s="168"/>
      <c r="L26" s="184" t="s">
        <v>56</v>
      </c>
      <c r="M26" s="184"/>
      <c r="N26" s="184" t="s">
        <v>57</v>
      </c>
      <c r="O26" s="184"/>
      <c r="P26" s="184" t="s">
        <v>58</v>
      </c>
      <c r="Q26" s="184"/>
      <c r="AN26" s="5"/>
    </row>
    <row r="27" spans="1:49" ht="24.65" customHeight="1" x14ac:dyDescent="0.35">
      <c r="A27" s="131" t="s">
        <v>33</v>
      </c>
      <c r="B27" s="39" t="s">
        <v>34</v>
      </c>
      <c r="C27" s="39" t="s">
        <v>35</v>
      </c>
      <c r="D27" s="43" t="s">
        <v>36</v>
      </c>
      <c r="E27" s="39" t="s">
        <v>34</v>
      </c>
      <c r="F27" s="39" t="s">
        <v>35</v>
      </c>
      <c r="G27" s="43" t="s">
        <v>36</v>
      </c>
      <c r="H27" s="39" t="s">
        <v>34</v>
      </c>
      <c r="I27" s="39" t="s">
        <v>35</v>
      </c>
      <c r="J27" s="43" t="s">
        <v>36</v>
      </c>
      <c r="L27" s="67" t="s">
        <v>41</v>
      </c>
      <c r="M27" s="67" t="s">
        <v>40</v>
      </c>
      <c r="N27" s="67" t="s">
        <v>41</v>
      </c>
      <c r="O27" s="67" t="s">
        <v>40</v>
      </c>
      <c r="P27" s="67" t="s">
        <v>41</v>
      </c>
      <c r="Q27" s="67" t="s">
        <v>40</v>
      </c>
      <c r="AN27" s="5"/>
    </row>
    <row r="28" spans="1:49" x14ac:dyDescent="0.35">
      <c r="A28" s="38" t="s">
        <v>39</v>
      </c>
      <c r="B28" s="45">
        <f>IFERROR(VLOOKUP(CONCATENATE($A28,$AX$9,"All",$B$11),Age!$A:$S,18,FALSE),0)</f>
        <v>0.5</v>
      </c>
      <c r="C28" s="46">
        <f>IFERROR(VLOOKUP(CONCATENATE($A28,$AX$9,"All",$B$11),Age!$A:$S,17,FALSE),0)</f>
        <v>0.54</v>
      </c>
      <c r="D28" s="46">
        <f>IFERROR(VLOOKUP(CONCATENATE($A28,$AX$9,"All",$B$11),Age!$A:$S,19,FALSE),0)</f>
        <v>0.56999999999999995</v>
      </c>
      <c r="E28" s="45">
        <f>IFERROR(VLOOKUP(CONCATENATE($A28,$AX$9,"All",$E$11),Age!$A:$S,18,FALSE),0)</f>
        <v>0.6</v>
      </c>
      <c r="F28" s="46">
        <f>IFERROR(VLOOKUP(CONCATENATE($A28,$AX$9,"All",$E$11),Age!$A:$S,17,FALSE),0)</f>
        <v>0.63</v>
      </c>
      <c r="G28" s="47">
        <f>IFERROR(VLOOKUP(CONCATENATE($A28,$AX$9,"All",$E$11),Age!$A:$S,19,FALSE),0)</f>
        <v>0.66</v>
      </c>
      <c r="H28" s="46">
        <f>IFERROR(VLOOKUP(CONCATENATE($A28,$AX$9,"All",$H$11),Age!$A:$S,18,FALSE),0)</f>
        <v>0.41</v>
      </c>
      <c r="I28" s="46">
        <f>IFERROR(VLOOKUP(CONCATENATE($A28,$AX$9,"All",$H$11),Age!$A:$S,17,FALSE),0)</f>
        <v>0.46</v>
      </c>
      <c r="J28" s="47">
        <f>IFERROR(VLOOKUP(CONCATENATE($A28,$AX$9,"All",$H$11),Age!$A:$S,19,FALSE),0)</f>
        <v>0.53</v>
      </c>
      <c r="L28" s="2">
        <f>D28-C28</f>
        <v>2.9999999999999916E-2</v>
      </c>
      <c r="M28" s="2">
        <f>C28-B28</f>
        <v>4.0000000000000036E-2</v>
      </c>
      <c r="N28" s="2">
        <f>G28-F28</f>
        <v>3.0000000000000027E-2</v>
      </c>
      <c r="O28" s="2">
        <f>F28-E28</f>
        <v>3.0000000000000027E-2</v>
      </c>
      <c r="P28" s="2">
        <f>J28-I28</f>
        <v>7.0000000000000007E-2</v>
      </c>
      <c r="Q28" s="2">
        <f>I28-H28</f>
        <v>5.0000000000000044E-2</v>
      </c>
      <c r="AN28" s="5"/>
    </row>
    <row r="29" spans="1:49" x14ac:dyDescent="0.35">
      <c r="A29" s="36" t="s">
        <v>44</v>
      </c>
      <c r="B29" s="48">
        <f>IFERROR(VLOOKUP(CONCATENATE($A29,$AX$9,"All",$B$11),Age!$A:$S,18,FALSE),0)</f>
        <v>0.51</v>
      </c>
      <c r="C29" s="49">
        <f>IFERROR(VLOOKUP(CONCATENATE($A29,$AX$9,"All",$B$11),Age!$A:$S,17,FALSE),0)</f>
        <v>0.54</v>
      </c>
      <c r="D29" s="49">
        <f>IFERROR(VLOOKUP(CONCATENATE($A29,$AX$9,"All",$B$11),Age!$A:$S,19,FALSE),0)</f>
        <v>0.56999999999999995</v>
      </c>
      <c r="E29" s="48">
        <f>IFERROR(VLOOKUP(CONCATENATE($A29,$AX$9,"All",$E$11),Age!$A:$S,18,FALSE),0)</f>
        <v>0.64</v>
      </c>
      <c r="F29" s="49">
        <f>IFERROR(VLOOKUP(CONCATENATE($A29,$AX$9,"All",$E$11),Age!$A:$S,17,FALSE),0)</f>
        <v>0.66</v>
      </c>
      <c r="G29" s="50">
        <f>IFERROR(VLOOKUP(CONCATENATE($A29,$AX$9,"All",$E$11),Age!$A:$S,19,FALSE),0)</f>
        <v>0.69</v>
      </c>
      <c r="H29" s="49">
        <f>IFERROR(VLOOKUP(CONCATENATE($A29,$AX$9,"All",$H$11),Age!$A:$S,18,FALSE),0)</f>
        <v>0.47</v>
      </c>
      <c r="I29" s="49">
        <f>IFERROR(VLOOKUP(CONCATENATE($A29,$AX$9,"All",$H$11),Age!$A:$S,17,FALSE),0)</f>
        <v>0.52</v>
      </c>
      <c r="J29" s="50">
        <f>IFERROR(VLOOKUP(CONCATENATE($A29,$AX$9,"All",$H$11),Age!$A:$S,19,FALSE),0)</f>
        <v>0.57999999999999996</v>
      </c>
      <c r="L29" s="2">
        <f t="shared" ref="L29:L36" si="13">D29-C29</f>
        <v>2.9999999999999916E-2</v>
      </c>
      <c r="M29" s="2">
        <f t="shared" ref="M29:M36" si="14">C29-B29</f>
        <v>3.0000000000000027E-2</v>
      </c>
      <c r="N29" s="2">
        <f t="shared" ref="N29:N36" si="15">G29-F29</f>
        <v>2.9999999999999916E-2</v>
      </c>
      <c r="O29" s="2">
        <f t="shared" ref="O29:O36" si="16">F29-E29</f>
        <v>2.0000000000000018E-2</v>
      </c>
      <c r="P29" s="2">
        <f t="shared" ref="P29:P36" si="17">J29-I29</f>
        <v>5.9999999999999942E-2</v>
      </c>
      <c r="Q29" s="2">
        <f t="shared" ref="Q29:Q36" si="18">I29-H29</f>
        <v>5.0000000000000044E-2</v>
      </c>
    </row>
    <row r="30" spans="1:49" x14ac:dyDescent="0.35">
      <c r="A30" s="36" t="s">
        <v>46</v>
      </c>
      <c r="B30" s="48">
        <f>IFERROR(VLOOKUP(CONCATENATE($A30,$AX$9,"All",$B$11),Age!$A:$S,18,FALSE),0)</f>
        <v>0.52</v>
      </c>
      <c r="C30" s="49">
        <f>IFERROR(VLOOKUP(CONCATENATE($A30,$AX$9,"All",$B$11),Age!$A:$S,17,FALSE),0)</f>
        <v>0.55000000000000004</v>
      </c>
      <c r="D30" s="49">
        <f>IFERROR(VLOOKUP(CONCATENATE($A30,$AX$9,"All",$B$11),Age!$A:$S,19,FALSE),0)</f>
        <v>0.57999999999999996</v>
      </c>
      <c r="E30" s="48">
        <f>IFERROR(VLOOKUP(CONCATENATE($A30,$AX$9,"All",$E$11),Age!$A:$S,18,FALSE),0)</f>
        <v>0.66</v>
      </c>
      <c r="F30" s="49">
        <f>IFERROR(VLOOKUP(CONCATENATE($A30,$AX$9,"All",$E$11),Age!$A:$S,17,FALSE),0)</f>
        <v>0.68</v>
      </c>
      <c r="G30" s="50">
        <f>IFERROR(VLOOKUP(CONCATENATE($A30,$AX$9,"All",$E$11),Age!$A:$S,19,FALSE),0)</f>
        <v>0.71</v>
      </c>
      <c r="H30" s="49">
        <f>IFERROR(VLOOKUP(CONCATENATE($A30,$AX$9,"All",$H$11),Age!$A:$S,18,FALSE),0)</f>
        <v>0.49</v>
      </c>
      <c r="I30" s="49">
        <f>IFERROR(VLOOKUP(CONCATENATE($A30,$AX$9,"All",$H$11),Age!$A:$S,17,FALSE),0)</f>
        <v>0.55000000000000004</v>
      </c>
      <c r="J30" s="50">
        <f>IFERROR(VLOOKUP(CONCATENATE($A30,$AX$9,"All",$H$11),Age!$A:$S,19,FALSE),0)</f>
        <v>0.6</v>
      </c>
      <c r="L30" s="2">
        <f t="shared" si="13"/>
        <v>2.9999999999999916E-2</v>
      </c>
      <c r="M30" s="2">
        <f t="shared" si="14"/>
        <v>3.0000000000000027E-2</v>
      </c>
      <c r="N30" s="2">
        <f t="shared" si="15"/>
        <v>2.9999999999999916E-2</v>
      </c>
      <c r="O30" s="2">
        <f t="shared" si="16"/>
        <v>2.0000000000000018E-2</v>
      </c>
      <c r="P30" s="2">
        <f t="shared" si="17"/>
        <v>4.9999999999999933E-2</v>
      </c>
      <c r="Q30" s="2">
        <f t="shared" si="18"/>
        <v>6.0000000000000053E-2</v>
      </c>
    </row>
    <row r="31" spans="1:49" x14ac:dyDescent="0.35">
      <c r="A31" s="36" t="s">
        <v>47</v>
      </c>
      <c r="B31" s="48">
        <f>IFERROR(VLOOKUP(CONCATENATE($A31,$AX$9,"All",$B$11),Age!$A:$S,18,FALSE),0)</f>
        <v>0.52</v>
      </c>
      <c r="C31" s="49">
        <f>IFERROR(VLOOKUP(CONCATENATE($A31,$AX$9,"All",$B$11),Age!$A:$S,17,FALSE),0)</f>
        <v>0.55000000000000004</v>
      </c>
      <c r="D31" s="49">
        <f>IFERROR(VLOOKUP(CONCATENATE($A31,$AX$9,"All",$B$11),Age!$A:$S,19,FALSE),0)</f>
        <v>0.57999999999999996</v>
      </c>
      <c r="E31" s="48">
        <f>IFERROR(VLOOKUP(CONCATENATE($A31,$AX$9,"All",$E$11),Age!$A:$S,18,FALSE),0)</f>
        <v>0.69</v>
      </c>
      <c r="F31" s="49">
        <f>IFERROR(VLOOKUP(CONCATENATE($A31,$AX$9,"All",$E$11),Age!$A:$S,17,FALSE),0)</f>
        <v>0.71</v>
      </c>
      <c r="G31" s="50">
        <f>IFERROR(VLOOKUP(CONCATENATE($A31,$AX$9,"All",$E$11),Age!$A:$S,19,FALSE),0)</f>
        <v>0.73</v>
      </c>
      <c r="H31" s="49">
        <f>IFERROR(VLOOKUP(CONCATENATE($A31,$AX$9,"All",$H$11),Age!$A:$S,18,FALSE),0)</f>
        <v>0.61</v>
      </c>
      <c r="I31" s="49">
        <f>IFERROR(VLOOKUP(CONCATENATE($A31,$AX$9,"All",$H$11),Age!$A:$S,17,FALSE),0)</f>
        <v>0.65</v>
      </c>
      <c r="J31" s="50">
        <f>IFERROR(VLOOKUP(CONCATENATE($A31,$AX$9,"All",$H$11),Age!$A:$S,19,FALSE),0)</f>
        <v>0.69</v>
      </c>
      <c r="L31" s="2">
        <f t="shared" si="13"/>
        <v>2.9999999999999916E-2</v>
      </c>
      <c r="M31" s="2">
        <f t="shared" si="14"/>
        <v>3.0000000000000027E-2</v>
      </c>
      <c r="N31" s="2">
        <f t="shared" si="15"/>
        <v>2.0000000000000018E-2</v>
      </c>
      <c r="O31" s="2">
        <f t="shared" si="16"/>
        <v>2.0000000000000018E-2</v>
      </c>
      <c r="P31" s="2">
        <f t="shared" si="17"/>
        <v>3.9999999999999925E-2</v>
      </c>
      <c r="Q31" s="2">
        <f t="shared" si="18"/>
        <v>4.0000000000000036E-2</v>
      </c>
    </row>
    <row r="32" spans="1:49" x14ac:dyDescent="0.35">
      <c r="A32" s="36" t="s">
        <v>48</v>
      </c>
      <c r="B32" s="48">
        <f>IFERROR(VLOOKUP(CONCATENATE($A32,$AX$9,"All",$B$11),Age!$A:$S,18,FALSE),0)</f>
        <v>0.49</v>
      </c>
      <c r="C32" s="49">
        <f>IFERROR(VLOOKUP(CONCATENATE($A32,$AX$9,"All",$B$11),Age!$A:$S,17,FALSE),0)</f>
        <v>0.51</v>
      </c>
      <c r="D32" s="49">
        <f>IFERROR(VLOOKUP(CONCATENATE($A32,$AX$9,"All",$B$11),Age!$A:$S,19,FALSE),0)</f>
        <v>0.54</v>
      </c>
      <c r="E32" s="48">
        <f>IFERROR(VLOOKUP(CONCATENATE($A32,$AX$9,"All",$E$11),Age!$A:$S,18,FALSE),0)</f>
        <v>0.68</v>
      </c>
      <c r="F32" s="49">
        <f>IFERROR(VLOOKUP(CONCATENATE($A32,$AX$9,"All",$E$11),Age!$A:$S,17,FALSE),0)</f>
        <v>0.7</v>
      </c>
      <c r="G32" s="50">
        <f>IFERROR(VLOOKUP(CONCATENATE($A32,$AX$9,"All",$E$11),Age!$A:$S,19,FALSE),0)</f>
        <v>0.72</v>
      </c>
      <c r="H32" s="49">
        <f>IFERROR(VLOOKUP(CONCATENATE($A32,$AX$9,"All",$H$11),Age!$A:$S,18,FALSE),0)</f>
        <v>0.59</v>
      </c>
      <c r="I32" s="49">
        <f>IFERROR(VLOOKUP(CONCATENATE($A32,$AX$9,"All",$H$11),Age!$A:$S,17,FALSE),0)</f>
        <v>0.63</v>
      </c>
      <c r="J32" s="50">
        <f>IFERROR(VLOOKUP(CONCATENATE($A32,$AX$9,"All",$H$11),Age!$A:$S,19,FALSE),0)</f>
        <v>0.67</v>
      </c>
      <c r="L32" s="2">
        <f t="shared" si="13"/>
        <v>3.0000000000000027E-2</v>
      </c>
      <c r="M32" s="2">
        <f t="shared" si="14"/>
        <v>2.0000000000000018E-2</v>
      </c>
      <c r="N32" s="2">
        <f t="shared" si="15"/>
        <v>2.0000000000000018E-2</v>
      </c>
      <c r="O32" s="2">
        <f t="shared" si="16"/>
        <v>1.9999999999999907E-2</v>
      </c>
      <c r="P32" s="2">
        <f t="shared" si="17"/>
        <v>4.0000000000000036E-2</v>
      </c>
      <c r="Q32" s="2">
        <f t="shared" si="18"/>
        <v>4.0000000000000036E-2</v>
      </c>
    </row>
    <row r="33" spans="1:49" x14ac:dyDescent="0.35">
      <c r="A33" s="36" t="s">
        <v>49</v>
      </c>
      <c r="B33" s="48">
        <f>IFERROR(VLOOKUP(CONCATENATE($A33,$AX$9,"All",$B$11),Age!$A:$S,18,FALSE),0)</f>
        <v>0.43</v>
      </c>
      <c r="C33" s="49">
        <f>IFERROR(VLOOKUP(CONCATENATE($A33,$AX$9,"All",$B$11),Age!$A:$S,17,FALSE),0)</f>
        <v>0.46</v>
      </c>
      <c r="D33" s="49">
        <f>IFERROR(VLOOKUP(CONCATENATE($A33,$AX$9,"All",$B$11),Age!$A:$S,19,FALSE),0)</f>
        <v>0.49</v>
      </c>
      <c r="E33" s="48">
        <f>IFERROR(VLOOKUP(CONCATENATE($A33,$AX$9,"All",$E$11),Age!$A:$S,18,FALSE),0)</f>
        <v>0.65</v>
      </c>
      <c r="F33" s="49">
        <f>IFERROR(VLOOKUP(CONCATENATE($A33,$AX$9,"All",$E$11),Age!$A:$S,17,FALSE),0)</f>
        <v>0.67</v>
      </c>
      <c r="G33" s="50">
        <f>IFERROR(VLOOKUP(CONCATENATE($A33,$AX$9,"All",$E$11),Age!$A:$S,19,FALSE),0)</f>
        <v>0.69</v>
      </c>
      <c r="H33" s="49">
        <f>IFERROR(VLOOKUP(CONCATENATE($A33,$AX$9,"All",$H$11),Age!$A:$S,18,FALSE),0)</f>
        <v>0.61</v>
      </c>
      <c r="I33" s="49">
        <f>IFERROR(VLOOKUP(CONCATENATE($A33,$AX$9,"All",$H$11),Age!$A:$S,17,FALSE),0)</f>
        <v>0.65</v>
      </c>
      <c r="J33" s="50">
        <f>IFERROR(VLOOKUP(CONCATENATE($A33,$AX$9,"All",$H$11),Age!$A:$S,19,FALSE),0)</f>
        <v>0.69</v>
      </c>
      <c r="L33" s="2">
        <f t="shared" si="13"/>
        <v>2.9999999999999971E-2</v>
      </c>
      <c r="M33" s="2">
        <f t="shared" si="14"/>
        <v>3.0000000000000027E-2</v>
      </c>
      <c r="N33" s="2">
        <f t="shared" si="15"/>
        <v>1.9999999999999907E-2</v>
      </c>
      <c r="O33" s="2">
        <f t="shared" si="16"/>
        <v>2.0000000000000018E-2</v>
      </c>
      <c r="P33" s="2">
        <f t="shared" si="17"/>
        <v>3.9999999999999925E-2</v>
      </c>
      <c r="Q33" s="2">
        <f t="shared" si="18"/>
        <v>4.0000000000000036E-2</v>
      </c>
    </row>
    <row r="34" spans="1:49" x14ac:dyDescent="0.35">
      <c r="A34" s="126" t="s">
        <v>124</v>
      </c>
      <c r="B34" s="48">
        <f>IFERROR(VLOOKUP(CONCATENATE($A34,$AX$9,"All",$B$11),Age!$A:$S,18,FALSE),0)</f>
        <v>0.41</v>
      </c>
      <c r="C34" s="49">
        <f>IFERROR(VLOOKUP(CONCATENATE($A34,$AX$9,"All",$B$11),Age!$A:$S,17,FALSE),0)</f>
        <v>0.44</v>
      </c>
      <c r="D34" s="49">
        <f>IFERROR(VLOOKUP(CONCATENATE($A34,$AX$9,"All",$B$11),Age!$A:$S,19,FALSE),0)</f>
        <v>0.47</v>
      </c>
      <c r="E34" s="48">
        <f>IFERROR(VLOOKUP(CONCATENATE($A34,$AX$9,"All",$E$11),Age!$A:$S,18,FALSE),0)</f>
        <v>0.65</v>
      </c>
      <c r="F34" s="49">
        <f>IFERROR(VLOOKUP(CONCATENATE($A34,$AX$9,"All",$E$11),Age!$A:$S,17,FALSE),0)</f>
        <v>0.67</v>
      </c>
      <c r="G34" s="50">
        <f>IFERROR(VLOOKUP(CONCATENATE($A34,$AX$9,"All",$E$11),Age!$A:$S,19,FALSE),0)</f>
        <v>0.69</v>
      </c>
      <c r="H34" s="49">
        <f>IFERROR(VLOOKUP(CONCATENATE($A34,$AX$9,"All",$H$11),Age!$A:$S,18,FALSE),0)</f>
        <v>0.59</v>
      </c>
      <c r="I34" s="49">
        <f>IFERROR(VLOOKUP(CONCATENATE($A34,$AX$9,"All",$H$11),Age!$A:$S,17,FALSE),0)</f>
        <v>0.63</v>
      </c>
      <c r="J34" s="50">
        <f>IFERROR(VLOOKUP(CONCATENATE($A34,$AX$9,"All",$H$11),Age!$A:$S,19,FALSE),0)</f>
        <v>0.66</v>
      </c>
      <c r="L34" s="2">
        <f t="shared" si="13"/>
        <v>2.9999999999999971E-2</v>
      </c>
      <c r="M34" s="2">
        <f t="shared" si="14"/>
        <v>3.0000000000000027E-2</v>
      </c>
      <c r="N34" s="2">
        <f t="shared" si="15"/>
        <v>1.9999999999999907E-2</v>
      </c>
      <c r="O34" s="2">
        <f t="shared" si="16"/>
        <v>2.0000000000000018E-2</v>
      </c>
      <c r="P34" s="2">
        <f t="shared" si="17"/>
        <v>3.0000000000000027E-2</v>
      </c>
      <c r="Q34" s="2">
        <f t="shared" si="18"/>
        <v>4.0000000000000036E-2</v>
      </c>
      <c r="AN34" s="57"/>
      <c r="AW34" s="4"/>
    </row>
    <row r="35" spans="1:49" x14ac:dyDescent="0.35">
      <c r="A35" s="126" t="s">
        <v>125</v>
      </c>
      <c r="B35" s="48">
        <f>IFERROR(VLOOKUP(CONCATENATE($A35,$AX$9,"All",$B$11),Age!$A:$S,18,FALSE),0)</f>
        <v>0.43</v>
      </c>
      <c r="C35" s="49">
        <f>IFERROR(VLOOKUP(CONCATENATE($A35,$AX$9,"All",$B$11),Age!$A:$S,17,FALSE),0)</f>
        <v>0.46</v>
      </c>
      <c r="D35" s="49">
        <f>IFERROR(VLOOKUP(CONCATENATE($A35,$AX$9,"All",$B$11),Age!$A:$S,19,FALSE),0)</f>
        <v>0.49</v>
      </c>
      <c r="E35" s="48">
        <f>IFERROR(VLOOKUP(CONCATENATE($A35,$AX$9,"All",$E$11),Age!$A:$S,18,FALSE),0)</f>
        <v>0.67</v>
      </c>
      <c r="F35" s="49">
        <f>IFERROR(VLOOKUP(CONCATENATE($A35,$AX$9,"All",$E$11),Age!$A:$S,17,FALSE),0)</f>
        <v>0.69</v>
      </c>
      <c r="G35" s="50">
        <f>IFERROR(VLOOKUP(CONCATENATE($A35,$AX$9,"All",$E$11),Age!$A:$S,19,FALSE),0)</f>
        <v>0.72</v>
      </c>
      <c r="H35" s="49">
        <f>IFERROR(VLOOKUP(CONCATENATE($A35,$AX$9,"All",$H$11),Age!$A:$S,18,FALSE),0)</f>
        <v>0.62</v>
      </c>
      <c r="I35" s="49">
        <f>IFERROR(VLOOKUP(CONCATENATE($A35,$AX$9,"All",$H$11),Age!$A:$S,17,FALSE),0)</f>
        <v>0.66</v>
      </c>
      <c r="J35" s="50">
        <f>IFERROR(VLOOKUP(CONCATENATE($A35,$AX$9,"All",$H$11),Age!$A:$S,19,FALSE),0)</f>
        <v>0.7</v>
      </c>
      <c r="L35" s="2">
        <f t="shared" si="13"/>
        <v>2.9999999999999971E-2</v>
      </c>
      <c r="M35" s="2">
        <f t="shared" si="14"/>
        <v>3.0000000000000027E-2</v>
      </c>
      <c r="N35" s="2">
        <f t="shared" si="15"/>
        <v>3.0000000000000027E-2</v>
      </c>
      <c r="O35" s="2">
        <f t="shared" si="16"/>
        <v>1.9999999999999907E-2</v>
      </c>
      <c r="P35" s="2">
        <f t="shared" si="17"/>
        <v>3.9999999999999925E-2</v>
      </c>
      <c r="Q35" s="2">
        <f t="shared" si="18"/>
        <v>4.0000000000000036E-2</v>
      </c>
      <c r="AN35" s="57"/>
      <c r="AW35" s="4"/>
    </row>
    <row r="36" spans="1:49" x14ac:dyDescent="0.35">
      <c r="A36" s="126" t="s">
        <v>126</v>
      </c>
      <c r="B36" s="48">
        <f>IFERROR(VLOOKUP(CONCATENATE($A36,$AX$9,"All",$B$11),Age!$A:$S,18,FALSE),0)</f>
        <v>0.45</v>
      </c>
      <c r="C36" s="49">
        <f>IFERROR(VLOOKUP(CONCATENATE($A36,$AX$9,"All",$B$11),Age!$A:$S,17,FALSE),0)</f>
        <v>0.49</v>
      </c>
      <c r="D36" s="49">
        <f>IFERROR(VLOOKUP(CONCATENATE($A36,$AX$9,"All",$B$11),Age!$A:$S,19,FALSE),0)</f>
        <v>0.53</v>
      </c>
      <c r="E36" s="48">
        <f>IFERROR(VLOOKUP(CONCATENATE($A36,$AX$9,"All",$E$11),Age!$A:$S,18,FALSE),0)</f>
        <v>0.69</v>
      </c>
      <c r="F36" s="49">
        <f>IFERROR(VLOOKUP(CONCATENATE($A36,$AX$9,"All",$E$11),Age!$A:$S,17,FALSE),0)</f>
        <v>0.71</v>
      </c>
      <c r="G36" s="50">
        <f>IFERROR(VLOOKUP(CONCATENATE($A36,$AX$9,"All",$E$11),Age!$A:$S,19,FALSE),0)</f>
        <v>0.74</v>
      </c>
      <c r="H36" s="49">
        <f>IFERROR(VLOOKUP(CONCATENATE($A36,$AX$9,"All",$H$11),Age!$A:$S,18,FALSE),0)</f>
        <v>0.63</v>
      </c>
      <c r="I36" s="49">
        <f>IFERROR(VLOOKUP(CONCATENATE($A36,$AX$9,"All",$H$11),Age!$A:$S,17,FALSE),0)</f>
        <v>0.67</v>
      </c>
      <c r="J36" s="50">
        <f>IFERROR(VLOOKUP(CONCATENATE($A36,$AX$9,"All",$H$11),Age!$A:$S,19,FALSE),0)</f>
        <v>0.72</v>
      </c>
      <c r="L36" s="2">
        <f t="shared" si="13"/>
        <v>4.0000000000000036E-2</v>
      </c>
      <c r="M36" s="2">
        <f t="shared" si="14"/>
        <v>3.999999999999998E-2</v>
      </c>
      <c r="N36" s="2">
        <f t="shared" si="15"/>
        <v>3.0000000000000027E-2</v>
      </c>
      <c r="O36" s="2">
        <f t="shared" si="16"/>
        <v>2.0000000000000018E-2</v>
      </c>
      <c r="P36" s="2">
        <f t="shared" si="17"/>
        <v>4.9999999999999933E-2</v>
      </c>
      <c r="Q36" s="2">
        <f t="shared" si="18"/>
        <v>4.0000000000000036E-2</v>
      </c>
      <c r="AN36" s="57"/>
      <c r="AW36" s="4"/>
    </row>
    <row r="37" spans="1:49" x14ac:dyDescent="0.35">
      <c r="A37" s="25"/>
      <c r="B37" s="25"/>
      <c r="C37" s="26"/>
      <c r="D37" s="26"/>
      <c r="E37" s="25"/>
      <c r="F37" s="26"/>
      <c r="G37" s="27"/>
      <c r="H37" s="26"/>
      <c r="I37" s="26"/>
      <c r="J37" s="27"/>
    </row>
    <row r="39" spans="1:49" x14ac:dyDescent="0.35">
      <c r="A39" s="10" t="s">
        <v>19</v>
      </c>
      <c r="B39" s="55"/>
      <c r="C39" s="55"/>
      <c r="D39" s="55"/>
      <c r="E39" s="55"/>
      <c r="F39" s="55"/>
      <c r="G39" s="55"/>
    </row>
    <row r="40" spans="1:49" ht="17.5" customHeight="1" x14ac:dyDescent="0.35">
      <c r="A40" s="182" t="s">
        <v>75</v>
      </c>
      <c r="B40" s="182"/>
      <c r="C40" s="182"/>
      <c r="D40" s="182"/>
      <c r="E40" s="182"/>
      <c r="F40" s="182"/>
      <c r="G40" s="182"/>
      <c r="H40" s="100"/>
      <c r="I40" s="100"/>
      <c r="J40" s="100"/>
    </row>
    <row r="41" spans="1:49" ht="34.25" customHeight="1" x14ac:dyDescent="0.35">
      <c r="A41" s="164" t="s">
        <v>76</v>
      </c>
      <c r="B41" s="164"/>
      <c r="C41" s="164"/>
      <c r="D41" s="164"/>
      <c r="E41" s="164"/>
      <c r="F41" s="164"/>
      <c r="G41" s="164"/>
      <c r="H41" s="100"/>
      <c r="I41" s="100"/>
      <c r="J41" s="100"/>
    </row>
    <row r="42" spans="1:49" ht="18.75" customHeight="1" x14ac:dyDescent="0.35">
      <c r="A42" s="164" t="s">
        <v>77</v>
      </c>
      <c r="B42" s="164"/>
      <c r="C42" s="164"/>
      <c r="D42" s="164"/>
      <c r="E42" s="164"/>
      <c r="F42" s="164"/>
      <c r="G42" s="164"/>
      <c r="L42" s="109" t="s">
        <v>70</v>
      </c>
    </row>
    <row r="43" spans="1:49" ht="17.25" customHeight="1" x14ac:dyDescent="0.35">
      <c r="A43" s="164" t="s">
        <v>78</v>
      </c>
      <c r="B43" s="164"/>
      <c r="C43" s="164"/>
      <c r="D43" s="164"/>
      <c r="E43" s="164"/>
      <c r="F43" s="164"/>
      <c r="G43" s="164"/>
      <c r="L43" s="98" t="s">
        <v>71</v>
      </c>
    </row>
    <row r="44" spans="1:49" ht="63.75" customHeight="1" x14ac:dyDescent="0.35">
      <c r="A44" s="164" t="s">
        <v>79</v>
      </c>
      <c r="B44" s="164"/>
      <c r="C44" s="164"/>
      <c r="D44" s="164"/>
      <c r="E44" s="164"/>
      <c r="F44" s="164"/>
      <c r="G44" s="164"/>
      <c r="L44" s="99" t="s">
        <v>80</v>
      </c>
    </row>
    <row r="87" spans="13:23" x14ac:dyDescent="0.35">
      <c r="O87" s="105"/>
    </row>
    <row r="88" spans="13:23" ht="9.65" customHeight="1" x14ac:dyDescent="0.35">
      <c r="M88" s="109" t="s">
        <v>70</v>
      </c>
      <c r="N88" s="110"/>
      <c r="O88" s="110"/>
      <c r="P88" s="110"/>
      <c r="Q88" s="110"/>
      <c r="R88" s="110"/>
      <c r="S88" s="110"/>
      <c r="T88" s="110"/>
      <c r="U88" s="110"/>
      <c r="V88" s="110"/>
    </row>
    <row r="89" spans="13:23" ht="9.65" customHeight="1" x14ac:dyDescent="0.35">
      <c r="M89" s="98" t="s">
        <v>71</v>
      </c>
    </row>
    <row r="90" spans="13:23" ht="9.65" customHeight="1" x14ac:dyDescent="0.35">
      <c r="M90" s="99" t="s">
        <v>87</v>
      </c>
    </row>
    <row r="93" spans="13:23" x14ac:dyDescent="0.35">
      <c r="W93" s="101" t="s">
        <v>21</v>
      </c>
    </row>
  </sheetData>
  <mergeCells count="19">
    <mergeCell ref="B25:J25"/>
    <mergeCell ref="B26:D26"/>
    <mergeCell ref="E26:G26"/>
    <mergeCell ref="H26:J26"/>
    <mergeCell ref="L26:M26"/>
    <mergeCell ref="B10:J10"/>
    <mergeCell ref="B11:D11"/>
    <mergeCell ref="E11:G11"/>
    <mergeCell ref="H11:J11"/>
    <mergeCell ref="P11:Q11"/>
    <mergeCell ref="L11:M11"/>
    <mergeCell ref="N11:O11"/>
    <mergeCell ref="A41:G41"/>
    <mergeCell ref="A42:G42"/>
    <mergeCell ref="A43:G43"/>
    <mergeCell ref="A44:G44"/>
    <mergeCell ref="P26:Q26"/>
    <mergeCell ref="N26:O26"/>
    <mergeCell ref="A40:G40"/>
  </mergeCells>
  <hyperlinks>
    <hyperlink ref="A2" location="Contents!A1" display="Back to contents" xr:uid="{B623CBCF-1C18-463C-B42B-019DEBDDF1D0}"/>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4817" r:id="rId3" name="Drop Down 1">
              <controlPr defaultSize="0" autoLine="0" autoPict="0">
                <anchor moveWithCells="1">
                  <from>
                    <xdr:col>0</xdr:col>
                    <xdr:colOff>38100</xdr:colOff>
                    <xdr:row>5</xdr:row>
                    <xdr:rowOff>63500</xdr:rowOff>
                  </from>
                  <to>
                    <xdr:col>1</xdr:col>
                    <xdr:colOff>139700</xdr:colOff>
                    <xdr:row>6</xdr:row>
                    <xdr:rowOff>127000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F5E6F-DC9D-4EEA-87E0-CB7AAA35D3F8}">
  <sheetPr codeName="Sheet7"/>
  <dimension ref="A1:CE69"/>
  <sheetViews>
    <sheetView showGridLines="0" zoomScaleNormal="100" workbookViewId="0"/>
  </sheetViews>
  <sheetFormatPr defaultColWidth="8.81640625" defaultRowHeight="15.5" x14ac:dyDescent="0.35"/>
  <cols>
    <col min="1" max="1" width="22.1796875" style="7" customWidth="1"/>
    <col min="2" max="2" width="18.81640625" style="7" customWidth="1"/>
    <col min="3" max="3" width="22" style="7" customWidth="1"/>
    <col min="4" max="4" width="27.1796875" style="7" customWidth="1"/>
    <col min="5" max="5" width="18" style="7" customWidth="1"/>
    <col min="6" max="6" width="22.54296875" style="7" customWidth="1"/>
    <col min="7" max="7" width="22.81640625" style="7" customWidth="1"/>
    <col min="8" max="8" width="15.81640625" style="7" customWidth="1"/>
    <col min="9" max="9" width="23" style="7" customWidth="1"/>
    <col min="10" max="10" width="24.453125" style="7" customWidth="1"/>
    <col min="11" max="11" width="8.81640625" style="7"/>
    <col min="12" max="12" width="10" style="7" hidden="1" customWidth="1"/>
    <col min="13" max="13" width="10.54296875" style="7" hidden="1" customWidth="1"/>
    <col min="14" max="14" width="10" style="7" hidden="1" customWidth="1"/>
    <col min="15" max="15" width="10.54296875" style="7" hidden="1" customWidth="1"/>
    <col min="16" max="16" width="10" style="7" hidden="1" customWidth="1"/>
    <col min="17" max="17" width="10.54296875" style="7" hidden="1" customWidth="1"/>
    <col min="18" max="18" width="8.81640625" style="7" hidden="1" customWidth="1"/>
    <col min="19" max="41" width="8.81640625" style="7"/>
    <col min="42" max="45" width="8.81640625" style="7" hidden="1" customWidth="1"/>
    <col min="46" max="56" width="9.1796875" style="5" hidden="1" customWidth="1"/>
    <col min="57" max="58" width="8.81640625" style="7" hidden="1" customWidth="1"/>
    <col min="59" max="59" width="8.81640625" style="7" customWidth="1"/>
    <col min="60" max="16384" width="8.81640625" style="7"/>
  </cols>
  <sheetData>
    <row r="1" spans="1:83" ht="16" customHeight="1" x14ac:dyDescent="0.35">
      <c r="A1" s="5"/>
      <c r="B1" s="5"/>
      <c r="C1" s="5"/>
      <c r="D1" s="5"/>
      <c r="E1" s="5"/>
      <c r="F1" s="5"/>
      <c r="G1" s="5"/>
      <c r="H1" s="24"/>
      <c r="L1" s="97" t="s">
        <v>70</v>
      </c>
      <c r="AS1" s="37"/>
      <c r="AT1" s="8"/>
      <c r="AU1" s="8"/>
      <c r="AV1" s="8"/>
      <c r="AW1" s="8"/>
      <c r="AX1" s="8"/>
      <c r="AY1" s="8"/>
      <c r="AZ1" s="8"/>
      <c r="BA1" s="8"/>
      <c r="BB1" s="8"/>
      <c r="BC1" s="8"/>
      <c r="BD1" s="8"/>
      <c r="CE1" s="23" t="s">
        <v>88</v>
      </c>
    </row>
    <row r="2" spans="1:83" ht="16" customHeight="1" x14ac:dyDescent="0.35">
      <c r="A2" s="9" t="s">
        <v>22</v>
      </c>
      <c r="B2" s="5"/>
      <c r="C2" s="5"/>
      <c r="D2" s="5"/>
      <c r="E2" s="5"/>
      <c r="F2" s="5"/>
      <c r="G2" s="5"/>
      <c r="H2" s="24"/>
      <c r="L2" s="98" t="s">
        <v>71</v>
      </c>
      <c r="AS2" s="5" t="str">
        <f>"50-64 year olds: Number of opioid dependents on/off OAT, and unobserved dependents in "&amp;AW$9&amp;""</f>
        <v>50-64 year olds: Number of opioid dependents on/off OAT, and unobserved dependents in Scotland</v>
      </c>
      <c r="AY2" s="5" t="str">
        <f>"15-34 year olds: Estimated OAT composition in "&amp;$BC$9&amp;""</f>
        <v>15-34 year olds: Estimated OAT composition in Scotland</v>
      </c>
      <c r="BK2" s="23" t="s">
        <v>21</v>
      </c>
    </row>
    <row r="3" spans="1:83" ht="17" customHeight="1" x14ac:dyDescent="0.35">
      <c r="A3" s="10" t="s">
        <v>89</v>
      </c>
      <c r="B3" s="10" t="s">
        <v>567</v>
      </c>
      <c r="C3" s="5"/>
      <c r="D3" s="22"/>
      <c r="E3" s="22"/>
      <c r="F3" s="22"/>
      <c r="G3" s="22"/>
      <c r="H3" s="24"/>
      <c r="L3" s="99" t="s">
        <v>80</v>
      </c>
      <c r="AS3" s="5"/>
      <c r="AY3" s="5" t="str">
        <f>"35-49 year olds: Estimated OAT composition in "&amp;$BC$9&amp;""</f>
        <v>35-49 year olds: Estimated OAT composition in Scotland</v>
      </c>
    </row>
    <row r="4" spans="1:83" x14ac:dyDescent="0.35">
      <c r="A4" s="5"/>
      <c r="B4" s="5" t="s">
        <v>68</v>
      </c>
      <c r="C4" s="5"/>
      <c r="D4" s="22"/>
      <c r="E4" s="22"/>
      <c r="F4" s="22"/>
      <c r="G4" s="22"/>
      <c r="H4" s="24"/>
      <c r="AS4" s="5"/>
      <c r="AY4" s="5" t="str">
        <f>"50-64 year olds: Estimated OAT composition in "&amp;$BC$9&amp;""</f>
        <v>50-64 year olds: Estimated OAT composition in Scotland</v>
      </c>
    </row>
    <row r="5" spans="1:83" ht="18" x14ac:dyDescent="0.4">
      <c r="A5" s="11" t="s">
        <v>25</v>
      </c>
      <c r="B5" s="11"/>
      <c r="C5" s="5"/>
      <c r="D5" s="5"/>
      <c r="E5" s="5"/>
      <c r="F5" s="5"/>
      <c r="G5" s="5"/>
      <c r="H5" s="24"/>
      <c r="S5" s="186"/>
      <c r="T5" s="186"/>
      <c r="U5" s="186"/>
      <c r="V5" s="186"/>
      <c r="W5" s="186"/>
      <c r="X5" s="186"/>
      <c r="Y5" s="186"/>
      <c r="Z5" s="186"/>
      <c r="AA5" s="186"/>
      <c r="AB5" s="186"/>
      <c r="AC5" s="186"/>
      <c r="AD5" s="186"/>
      <c r="AE5" s="93"/>
      <c r="AF5" s="186"/>
      <c r="AG5" s="186"/>
      <c r="AH5" s="186"/>
      <c r="AI5" s="186"/>
      <c r="AJ5" s="186"/>
      <c r="AK5" s="186"/>
      <c r="AL5" s="186"/>
      <c r="AM5" s="186"/>
      <c r="AN5" s="186"/>
      <c r="AO5" s="186"/>
      <c r="AP5" s="186"/>
      <c r="AQ5" s="186"/>
      <c r="AY5" s="5" t="str">
        <f>"% OAT coverage in "&amp;BC$9&amp;""</f>
        <v>% OAT coverage in Scotland</v>
      </c>
    </row>
    <row r="6" spans="1:83" x14ac:dyDescent="0.35">
      <c r="A6" s="5"/>
      <c r="B6" s="5"/>
      <c r="C6" s="5"/>
      <c r="D6" s="5"/>
      <c r="E6" s="5"/>
      <c r="F6" s="5"/>
      <c r="G6" s="5"/>
      <c r="H6" s="24"/>
    </row>
    <row r="7" spans="1:83" x14ac:dyDescent="0.35">
      <c r="A7" s="5"/>
      <c r="B7" s="5"/>
      <c r="C7" s="5"/>
      <c r="D7" s="5"/>
      <c r="E7" s="5"/>
      <c r="F7" s="5"/>
      <c r="G7" s="5"/>
      <c r="H7" s="24"/>
      <c r="AT7" s="5" t="s">
        <v>26</v>
      </c>
      <c r="AU7" s="5" t="s">
        <v>27</v>
      </c>
      <c r="AY7" s="5" t="s">
        <v>28</v>
      </c>
      <c r="BD7" s="5" t="s">
        <v>29</v>
      </c>
    </row>
    <row r="9" spans="1:83" x14ac:dyDescent="0.35">
      <c r="A9" s="128" t="s">
        <v>30</v>
      </c>
      <c r="B9" s="5"/>
      <c r="C9" s="5"/>
      <c r="D9" s="5"/>
      <c r="E9" s="5"/>
      <c r="F9" s="5"/>
      <c r="G9" s="5"/>
      <c r="H9" s="5"/>
      <c r="I9" s="5"/>
      <c r="J9" s="5"/>
      <c r="AT9" s="5" t="s">
        <v>31</v>
      </c>
      <c r="AU9" s="5" t="s">
        <v>31</v>
      </c>
      <c r="AV9" s="12"/>
      <c r="AW9" s="82" t="s">
        <v>32</v>
      </c>
      <c r="AX9" s="5" t="s">
        <v>32</v>
      </c>
      <c r="AZ9" s="14"/>
      <c r="BB9" s="13">
        <v>1</v>
      </c>
      <c r="BC9" s="12" t="str">
        <f>INDEX(AX9:AX22,BB9)</f>
        <v>Scotland</v>
      </c>
    </row>
    <row r="10" spans="1:83" ht="25.25" customHeight="1" x14ac:dyDescent="0.35">
      <c r="A10" s="129" t="s">
        <v>26</v>
      </c>
      <c r="B10" s="171" t="s">
        <v>55</v>
      </c>
      <c r="C10" s="167"/>
      <c r="D10" s="167"/>
      <c r="E10" s="167"/>
      <c r="F10" s="167"/>
      <c r="G10" s="167"/>
      <c r="H10" s="167"/>
      <c r="I10" s="167"/>
      <c r="J10" s="168"/>
      <c r="AS10" s="57"/>
      <c r="AT10" s="5" t="s">
        <v>37</v>
      </c>
      <c r="AV10" s="12"/>
      <c r="AW10" s="5" t="str">
        <f>IF($W$8=5,AY10,IF($W$8=3,AZ16,AX10))</f>
        <v>NHS Ayrshire &amp; Arran</v>
      </c>
      <c r="AX10" s="5" t="s">
        <v>130</v>
      </c>
      <c r="BA10" s="12"/>
    </row>
    <row r="11" spans="1:83" ht="25.25" customHeight="1" x14ac:dyDescent="0.35">
      <c r="A11" s="130" t="s">
        <v>37</v>
      </c>
      <c r="B11" s="167" t="s">
        <v>56</v>
      </c>
      <c r="C11" s="167"/>
      <c r="D11" s="168"/>
      <c r="E11" s="171" t="s">
        <v>57</v>
      </c>
      <c r="F11" s="167"/>
      <c r="G11" s="168"/>
      <c r="H11" s="167" t="s">
        <v>58</v>
      </c>
      <c r="I11" s="167"/>
      <c r="J11" s="168"/>
      <c r="L11" s="189" t="s">
        <v>56</v>
      </c>
      <c r="M11" s="190"/>
      <c r="N11" s="189" t="s">
        <v>57</v>
      </c>
      <c r="O11" s="190"/>
      <c r="P11" s="189" t="s">
        <v>58</v>
      </c>
      <c r="Q11" s="190"/>
      <c r="AS11" s="57"/>
      <c r="AT11" s="5" t="s">
        <v>42</v>
      </c>
      <c r="AV11" s="12"/>
      <c r="AW11" s="5" t="str">
        <f t="shared" ref="AW11:AW16" si="0">IF($W$8=5,AY11,IF($W$8=3,AZ17,AX11))</f>
        <v>NHS Fife</v>
      </c>
      <c r="AX11" s="5" t="s">
        <v>129</v>
      </c>
      <c r="BA11" s="3"/>
    </row>
    <row r="12" spans="1:83" ht="75.650000000000006" customHeight="1" x14ac:dyDescent="0.35">
      <c r="A12" s="130" t="s">
        <v>33</v>
      </c>
      <c r="B12" s="97" t="s">
        <v>70</v>
      </c>
      <c r="C12" s="98" t="s">
        <v>71</v>
      </c>
      <c r="D12" s="99" t="s">
        <v>90</v>
      </c>
      <c r="E12" s="97" t="s">
        <v>70</v>
      </c>
      <c r="F12" s="98" t="s">
        <v>71</v>
      </c>
      <c r="G12" s="99" t="s">
        <v>90</v>
      </c>
      <c r="H12" s="97" t="s">
        <v>70</v>
      </c>
      <c r="I12" s="98" t="s">
        <v>71</v>
      </c>
      <c r="J12" s="99" t="s">
        <v>90</v>
      </c>
      <c r="L12" s="53" t="s">
        <v>73</v>
      </c>
      <c r="M12" s="54" t="s">
        <v>35</v>
      </c>
      <c r="N12" s="53" t="s">
        <v>73</v>
      </c>
      <c r="O12" s="54" t="s">
        <v>35</v>
      </c>
      <c r="P12" s="53" t="s">
        <v>73</v>
      </c>
      <c r="Q12" s="54" t="s">
        <v>35</v>
      </c>
      <c r="AS12" s="57"/>
      <c r="AV12" s="12"/>
      <c r="AW12" s="5" t="str">
        <f t="shared" si="0"/>
        <v>NHS Grampian</v>
      </c>
      <c r="AX12" s="5" t="s">
        <v>128</v>
      </c>
      <c r="BA12" s="4"/>
    </row>
    <row r="13" spans="1:83" x14ac:dyDescent="0.35">
      <c r="A13" s="36" t="s">
        <v>39</v>
      </c>
      <c r="B13" s="33">
        <f>IFERROR(VLOOKUP(CONCATENATE($A13,$BC$9,$A$11,$B$11),SexAge!$A:$S,16,FALSE),0)</f>
        <v>5226</v>
      </c>
      <c r="C13" s="30">
        <f>L13-B13</f>
        <v>1394</v>
      </c>
      <c r="D13" s="31">
        <f t="shared" ref="D13:D21" si="1">M13-L13</f>
        <v>4080</v>
      </c>
      <c r="E13" s="33">
        <f>IFERROR(VLOOKUP(CONCATENATE($A13,$BC$9,$A$11,$E$11),SexAge!$A:$S,16,FALSE),0)</f>
        <v>12104</v>
      </c>
      <c r="F13" s="30">
        <f t="shared" ref="F13" si="2">N13-E13</f>
        <v>2754</v>
      </c>
      <c r="G13" s="31">
        <f t="shared" ref="G13" si="3">O13-N13</f>
        <v>4442</v>
      </c>
      <c r="H13" s="30">
        <f>IFERROR(VLOOKUP(CONCATENATE($A13,$BC$9,$A$11,$H$11),SexAge!$A:$S,16,FALSE),0)</f>
        <v>1570</v>
      </c>
      <c r="I13" s="30">
        <f t="shared" ref="I13" si="4">P13-H13</f>
        <v>439</v>
      </c>
      <c r="J13" s="31">
        <f t="shared" ref="J13" si="5">Q13-P13</f>
        <v>1291</v>
      </c>
      <c r="L13" s="34">
        <f>IFERROR(VLOOKUP(CONCATENATE($A13,$BC$9,$A$11,$B$11),SexAge!$A:$S,12,FALSE),0)</f>
        <v>6620</v>
      </c>
      <c r="M13" s="20">
        <f>IFERROR(VLOOKUP(CONCATENATE($A13,$BC$9,$A$11,$B$11),SexAge!$A:$Q,6,FALSE),0)</f>
        <v>10700</v>
      </c>
      <c r="N13" s="34">
        <f>IFERROR(VLOOKUP(CONCATENATE($A13,$BC$9,$A$11,$E$11),SexAge!$A:$Q,12,FALSE),0)</f>
        <v>14858</v>
      </c>
      <c r="O13" s="20">
        <f>IFERROR(VLOOKUP(CONCATENATE($A13,$BC$9,$A$11,$E$11),SexAge!$A:$Q,6,FALSE),0)</f>
        <v>19300</v>
      </c>
      <c r="P13" s="34">
        <f>IFERROR(VLOOKUP(CONCATENATE($A13,$BC$9,$A$11,$H$11),SexAge!$A:$Q,12,FALSE),0)</f>
        <v>2009</v>
      </c>
      <c r="Q13" s="20">
        <f>IFERROR(VLOOKUP(CONCATENATE($A13,$BC$9,$A$11,$H$11),SexAge!$A:$Q,6,FALSE),0)</f>
        <v>3300</v>
      </c>
      <c r="AS13" s="57"/>
      <c r="AV13" s="12"/>
      <c r="AW13" s="5" t="str">
        <f t="shared" si="0"/>
        <v>NHS Greater Glasgow &amp; Clyde</v>
      </c>
      <c r="AX13" s="13" t="s">
        <v>38</v>
      </c>
      <c r="BA13" s="4"/>
    </row>
    <row r="14" spans="1:83" x14ac:dyDescent="0.35">
      <c r="A14" s="36" t="s">
        <v>44</v>
      </c>
      <c r="B14" s="34">
        <f>IFERROR(VLOOKUP(CONCATENATE($A14,$BC$9,$A$11,$B$11),SexAge!$A:$S,16,FALSE),0)</f>
        <v>4765</v>
      </c>
      <c r="C14" s="18">
        <f t="shared" ref="C14:C21" si="6">L14-B14</f>
        <v>1186</v>
      </c>
      <c r="D14" s="20">
        <f t="shared" si="1"/>
        <v>3749</v>
      </c>
      <c r="E14" s="34">
        <f>IFERROR(VLOOKUP(CONCATENATE($A14,$BC$9,$A$11,$E$11),SexAge!$A:$S,16,FALSE),0)</f>
        <v>12652</v>
      </c>
      <c r="F14" s="18">
        <f t="shared" ref="F14:F21" si="7">N14-E14</f>
        <v>2616</v>
      </c>
      <c r="G14" s="20">
        <f t="shared" ref="G14:G21" si="8">O14-N14</f>
        <v>3832</v>
      </c>
      <c r="H14" s="18">
        <f>IFERROR(VLOOKUP(CONCATENATE($A14,$BC$9,$A$11,$H$11),SexAge!$A:$S,16,FALSE),0)</f>
        <v>1898</v>
      </c>
      <c r="I14" s="18">
        <f t="shared" ref="I14:I21" si="9">P14-H14</f>
        <v>455</v>
      </c>
      <c r="J14" s="20">
        <f t="shared" ref="J14:J21" si="10">Q14-P14</f>
        <v>1247</v>
      </c>
      <c r="L14" s="34">
        <f>IFERROR(VLOOKUP(CONCATENATE($A14,$BC$9,$A$11,$B$11),SexAge!$A:$S,12,FALSE),0)</f>
        <v>5951</v>
      </c>
      <c r="M14" s="20">
        <f>IFERROR(VLOOKUP(CONCATENATE($A14,$BC$9,$A$11,$B$11),SexAge!$A:$Q,6,FALSE),0)</f>
        <v>9700</v>
      </c>
      <c r="N14" s="34">
        <f>IFERROR(VLOOKUP(CONCATENATE($A14,$BC$9,$A$11,$E$11),SexAge!$A:$Q,12,FALSE),0)</f>
        <v>15268</v>
      </c>
      <c r="O14" s="20">
        <f>IFERROR(VLOOKUP(CONCATENATE($A14,$BC$9,$A$11,$E$11),SexAge!$A:$Q,6,FALSE),0)</f>
        <v>19100</v>
      </c>
      <c r="P14" s="34">
        <f>IFERROR(VLOOKUP(CONCATENATE($A14,$BC$9,$A$11,$H$11),SexAge!$A:$Q,12,FALSE),0)</f>
        <v>2353</v>
      </c>
      <c r="Q14" s="20">
        <f>IFERROR(VLOOKUP(CONCATENATE($A14,$BC$9,$A$11,$H$11),SexAge!$A:$Q,6,FALSE),0)</f>
        <v>3600</v>
      </c>
      <c r="AS14" s="57"/>
      <c r="AV14" s="12"/>
      <c r="AW14" s="5" t="str">
        <f t="shared" si="0"/>
        <v>NHS Lanarkshire</v>
      </c>
      <c r="AX14" s="5" t="s">
        <v>127</v>
      </c>
      <c r="BA14" s="4"/>
    </row>
    <row r="15" spans="1:83" x14ac:dyDescent="0.35">
      <c r="A15" s="36" t="s">
        <v>46</v>
      </c>
      <c r="B15" s="34">
        <f>IFERROR(VLOOKUP(CONCATENATE($A15,$BC$9,$A$11,$B$11),SexAge!$A:$S,16,FALSE),0)</f>
        <v>4250</v>
      </c>
      <c r="C15" s="18">
        <f t="shared" si="6"/>
        <v>986</v>
      </c>
      <c r="D15" s="20">
        <f t="shared" si="1"/>
        <v>3264</v>
      </c>
      <c r="E15" s="34">
        <f>IFERROR(VLOOKUP(CONCATENATE($A15,$BC$9,$A$11,$E$11),SexAge!$A:$S,16,FALSE),0)</f>
        <v>13101</v>
      </c>
      <c r="F15" s="18">
        <f t="shared" si="7"/>
        <v>2555</v>
      </c>
      <c r="G15" s="20">
        <f t="shared" si="8"/>
        <v>3544</v>
      </c>
      <c r="H15" s="18">
        <f>IFERROR(VLOOKUP(CONCATENATE($A15,$BC$9,$A$11,$H$11),SexAge!$A:$S,16,FALSE),0)</f>
        <v>2308</v>
      </c>
      <c r="I15" s="18">
        <f t="shared" si="9"/>
        <v>516</v>
      </c>
      <c r="J15" s="20">
        <f t="shared" si="10"/>
        <v>1376</v>
      </c>
      <c r="L15" s="34">
        <f>IFERROR(VLOOKUP(CONCATENATE($A15,$BC$9,$A$11,$B$11),SexAge!$A:$S,12,FALSE),0)</f>
        <v>5236</v>
      </c>
      <c r="M15" s="20">
        <f>IFERROR(VLOOKUP(CONCATENATE($A15,$BC$9,$A$11,$B$11),SexAge!$A:$Q,6,FALSE),0)</f>
        <v>8500</v>
      </c>
      <c r="N15" s="34">
        <f>IFERROR(VLOOKUP(CONCATENATE($A15,$BC$9,$A$11,$E$11),SexAge!$A:$Q,12,FALSE),0)</f>
        <v>15656</v>
      </c>
      <c r="O15" s="20">
        <f>IFERROR(VLOOKUP(CONCATENATE($A15,$BC$9,$A$11,$E$11),SexAge!$A:$Q,6,FALSE),0)</f>
        <v>19200</v>
      </c>
      <c r="P15" s="34">
        <f>IFERROR(VLOOKUP(CONCATENATE($A15,$BC$9,$A$11,$H$11),SexAge!$A:$Q,12,FALSE),0)</f>
        <v>2824</v>
      </c>
      <c r="Q15" s="20">
        <f>IFERROR(VLOOKUP(CONCATENATE($A15,$BC$9,$A$11,$H$11),SexAge!$A:$Q,6,FALSE),0)</f>
        <v>4200</v>
      </c>
      <c r="AS15" s="57"/>
      <c r="AV15" s="12"/>
      <c r="AW15" s="5" t="str">
        <f t="shared" si="0"/>
        <v>NHS Lothian</v>
      </c>
      <c r="AX15" s="13" t="s">
        <v>43</v>
      </c>
      <c r="BA15" s="4"/>
    </row>
    <row r="16" spans="1:83" x14ac:dyDescent="0.35">
      <c r="A16" s="36" t="s">
        <v>47</v>
      </c>
      <c r="B16" s="34">
        <f>IFERROR(VLOOKUP(CONCATENATE($A16,$BC$9,$A$11,$B$11),SexAge!$A:$S,16,FALSE),0)</f>
        <v>3793</v>
      </c>
      <c r="C16" s="18">
        <f t="shared" si="6"/>
        <v>885</v>
      </c>
      <c r="D16" s="20">
        <f t="shared" si="1"/>
        <v>2922</v>
      </c>
      <c r="E16" s="34">
        <f>IFERROR(VLOOKUP(CONCATENATE($A16,$BC$9,$A$11,$E$11),SexAge!$A:$S,16,FALSE),0)</f>
        <v>13307</v>
      </c>
      <c r="F16" s="18">
        <f t="shared" si="7"/>
        <v>2512</v>
      </c>
      <c r="G16" s="20">
        <f t="shared" si="8"/>
        <v>3081</v>
      </c>
      <c r="H16" s="18">
        <f>IFERROR(VLOOKUP(CONCATENATE($A16,$BC$9,$A$11,$H$11),SexAge!$A:$S,16,FALSE),0)</f>
        <v>2709</v>
      </c>
      <c r="I16" s="18">
        <f t="shared" si="9"/>
        <v>563</v>
      </c>
      <c r="J16" s="20">
        <f t="shared" si="10"/>
        <v>828</v>
      </c>
      <c r="L16" s="34">
        <f>IFERROR(VLOOKUP(CONCATENATE($A16,$BC$9,$A$11,$B$11),SexAge!$A:$S,12,FALSE),0)</f>
        <v>4678</v>
      </c>
      <c r="M16" s="20">
        <f>IFERROR(VLOOKUP(CONCATENATE($A16,$BC$9,$A$11,$B$11),SexAge!$A:$Q,6,FALSE),0)</f>
        <v>7600</v>
      </c>
      <c r="N16" s="34">
        <f>IFERROR(VLOOKUP(CONCATENATE($A16,$BC$9,$A$11,$E$11),SexAge!$A:$Q,12,FALSE),0)</f>
        <v>15819</v>
      </c>
      <c r="O16" s="20">
        <f>IFERROR(VLOOKUP(CONCATENATE($A16,$BC$9,$A$11,$E$11),SexAge!$A:$Q,6,FALSE),0)</f>
        <v>18900</v>
      </c>
      <c r="P16" s="34">
        <f>IFERROR(VLOOKUP(CONCATENATE($A16,$BC$9,$A$11,$H$11),SexAge!$A:$Q,12,FALSE),0)</f>
        <v>3272</v>
      </c>
      <c r="Q16" s="20">
        <f>IFERROR(VLOOKUP(CONCATENATE($A16,$BC$9,$A$11,$H$11),SexAge!$A:$Q,6,FALSE),0)</f>
        <v>4100</v>
      </c>
      <c r="AS16" s="57"/>
      <c r="AV16" s="12"/>
      <c r="AW16" s="5" t="str">
        <f t="shared" si="0"/>
        <v>NHS Tayside</v>
      </c>
      <c r="AX16" s="13" t="s">
        <v>45</v>
      </c>
      <c r="BA16" s="4"/>
    </row>
    <row r="17" spans="1:54" x14ac:dyDescent="0.35">
      <c r="A17" s="36" t="s">
        <v>48</v>
      </c>
      <c r="B17" s="34">
        <f>IFERROR(VLOOKUP(CONCATENATE($A17,$BC$9,$A$11,$B$11),SexAge!$A:$S,16,FALSE),0)</f>
        <v>3433</v>
      </c>
      <c r="C17" s="18">
        <f t="shared" si="6"/>
        <v>843</v>
      </c>
      <c r="D17" s="20">
        <f t="shared" si="1"/>
        <v>3124</v>
      </c>
      <c r="E17" s="34">
        <f>IFERROR(VLOOKUP(CONCATENATE($A17,$BC$9,$A$11,$E$11),SexAge!$A:$S,16,FALSE),0)</f>
        <v>13063</v>
      </c>
      <c r="F17" s="18">
        <f t="shared" si="7"/>
        <v>2503</v>
      </c>
      <c r="G17" s="20">
        <f t="shared" si="8"/>
        <v>3234</v>
      </c>
      <c r="H17" s="18">
        <f>IFERROR(VLOOKUP(CONCATENATE($A17,$BC$9,$A$11,$H$11),SexAge!$A:$S,16,FALSE),0)</f>
        <v>3151</v>
      </c>
      <c r="I17" s="18">
        <f t="shared" si="9"/>
        <v>610</v>
      </c>
      <c r="J17" s="20">
        <f t="shared" si="10"/>
        <v>1139</v>
      </c>
      <c r="L17" s="34">
        <f>IFERROR(VLOOKUP(CONCATENATE($A17,$BC$9,$A$11,$B$11),SexAge!$A:$S,12,FALSE),0)</f>
        <v>4276</v>
      </c>
      <c r="M17" s="20">
        <f>IFERROR(VLOOKUP(CONCATENATE($A17,$BC$9,$A$11,$B$11),SexAge!$A:$Q,6,FALSE),0)</f>
        <v>7400</v>
      </c>
      <c r="N17" s="34">
        <f>IFERROR(VLOOKUP(CONCATENATE($A17,$BC$9,$A$11,$E$11),SexAge!$A:$Q,12,FALSE),0)</f>
        <v>15566</v>
      </c>
      <c r="O17" s="20">
        <f>IFERROR(VLOOKUP(CONCATENATE($A17,$BC$9,$A$11,$E$11),SexAge!$A:$Q,6,FALSE),0)</f>
        <v>18800</v>
      </c>
      <c r="P17" s="34">
        <f>IFERROR(VLOOKUP(CONCATENATE($A17,$BC$9,$A$11,$H$11),SexAge!$A:$Q,12,FALSE),0)</f>
        <v>3761</v>
      </c>
      <c r="Q17" s="20">
        <f>IFERROR(VLOOKUP(CONCATENATE($A17,$BC$9,$A$11,$H$11),SexAge!$A:$Q,6,FALSE),0)</f>
        <v>4900</v>
      </c>
      <c r="AS17" s="57"/>
      <c r="AV17" s="12"/>
      <c r="AX17" s="13"/>
      <c r="BA17" s="4"/>
    </row>
    <row r="18" spans="1:54" x14ac:dyDescent="0.35">
      <c r="A18" s="36" t="s">
        <v>49</v>
      </c>
      <c r="B18" s="34">
        <f>IFERROR(VLOOKUP(CONCATENATE($A18,$BC$9,$A$11,$B$11),SexAge!$A:$S,16,FALSE),0)</f>
        <v>3208</v>
      </c>
      <c r="C18" s="18">
        <f t="shared" si="6"/>
        <v>823</v>
      </c>
      <c r="D18" s="20">
        <f t="shared" si="1"/>
        <v>3869</v>
      </c>
      <c r="E18" s="34">
        <f>IFERROR(VLOOKUP(CONCATENATE($A18,$BC$9,$A$11,$E$11),SexAge!$A:$S,16,FALSE),0)</f>
        <v>12624</v>
      </c>
      <c r="F18" s="18">
        <f t="shared" si="7"/>
        <v>2561</v>
      </c>
      <c r="G18" s="20">
        <f t="shared" si="8"/>
        <v>3915</v>
      </c>
      <c r="H18" s="18">
        <f>IFERROR(VLOOKUP(CONCATENATE($A18,$BC$9,$A$11,$H$11),SexAge!$A:$S,16,FALSE),0)</f>
        <v>3605</v>
      </c>
      <c r="I18" s="18">
        <f t="shared" si="9"/>
        <v>728</v>
      </c>
      <c r="J18" s="20">
        <f t="shared" si="10"/>
        <v>1167</v>
      </c>
      <c r="L18" s="34">
        <f>IFERROR(VLOOKUP(CONCATENATE($A18,$BC$9,$A$11,$B$11),SexAge!$A:$S,12,FALSE),0)</f>
        <v>4031</v>
      </c>
      <c r="M18" s="20">
        <f>IFERROR(VLOOKUP(CONCATENATE($A18,$BC$9,$A$11,$B$11),SexAge!$A:$Q,6,FALSE),0)</f>
        <v>7900</v>
      </c>
      <c r="N18" s="34">
        <f>IFERROR(VLOOKUP(CONCATENATE($A18,$BC$9,$A$11,$E$11),SexAge!$A:$Q,12,FALSE),0)</f>
        <v>15185</v>
      </c>
      <c r="O18" s="20">
        <f>IFERROR(VLOOKUP(CONCATENATE($A18,$BC$9,$A$11,$E$11),SexAge!$A:$Q,6,FALSE),0)</f>
        <v>19100</v>
      </c>
      <c r="P18" s="34">
        <f>IFERROR(VLOOKUP(CONCATENATE($A18,$BC$9,$A$11,$H$11),SexAge!$A:$Q,12,FALSE),0)</f>
        <v>4333</v>
      </c>
      <c r="Q18" s="20">
        <f>IFERROR(VLOOKUP(CONCATENATE($A18,$BC$9,$A$11,$H$11),SexAge!$A:$Q,6,FALSE),0)</f>
        <v>5500</v>
      </c>
      <c r="AS18" s="57"/>
      <c r="AV18" s="12"/>
      <c r="AX18" s="13"/>
      <c r="BA18" s="4"/>
    </row>
    <row r="19" spans="1:54" x14ac:dyDescent="0.35">
      <c r="A19" s="36" t="s">
        <v>124</v>
      </c>
      <c r="B19" s="34">
        <f>IFERROR(VLOOKUP(CONCATENATE($A19,$BC$9,$A$11,$B$11),SexAge!$A:$S,16,FALSE),0)</f>
        <v>3104</v>
      </c>
      <c r="C19" s="18">
        <f t="shared" si="6"/>
        <v>778</v>
      </c>
      <c r="D19" s="20">
        <f t="shared" si="1"/>
        <v>4018</v>
      </c>
      <c r="E19" s="34">
        <f>IFERROR(VLOOKUP(CONCATENATE($A19,$BC$9,$A$11,$E$11),SexAge!$A:$S,16,FALSE),0)</f>
        <v>12339</v>
      </c>
      <c r="F19" s="18">
        <f t="shared" si="7"/>
        <v>2499</v>
      </c>
      <c r="G19" s="20">
        <f t="shared" si="8"/>
        <v>4062</v>
      </c>
      <c r="H19" s="18">
        <f>IFERROR(VLOOKUP(CONCATENATE($A19,$BC$9,$A$11,$H$11),SexAge!$A:$S,16,FALSE),0)</f>
        <v>4132</v>
      </c>
      <c r="I19" s="18">
        <f t="shared" si="9"/>
        <v>788</v>
      </c>
      <c r="J19" s="20">
        <f t="shared" si="10"/>
        <v>1580</v>
      </c>
      <c r="L19" s="34">
        <f>IFERROR(VLOOKUP(CONCATENATE($A19,$BC$9,$A$11,$B$11),SexAge!$A:$S,12,FALSE),0)</f>
        <v>3882</v>
      </c>
      <c r="M19" s="20">
        <f>IFERROR(VLOOKUP(CONCATENATE($A19,$BC$9,$A$11,$B$11),SexAge!$A:$Q,6,FALSE),0)</f>
        <v>7900</v>
      </c>
      <c r="N19" s="34">
        <f>IFERROR(VLOOKUP(CONCATENATE($A19,$BC$9,$A$11,$E$11),SexAge!$A:$Q,12,FALSE),0)</f>
        <v>14838</v>
      </c>
      <c r="O19" s="20">
        <f>IFERROR(VLOOKUP(CONCATENATE($A19,$BC$9,$A$11,$E$11),SexAge!$A:$Q,6,FALSE),0)</f>
        <v>18900</v>
      </c>
      <c r="P19" s="34">
        <f>IFERROR(VLOOKUP(CONCATENATE($A19,$BC$9,$A$11,$H$11),SexAge!$A:$Q,12,FALSE),0)</f>
        <v>4920</v>
      </c>
      <c r="Q19" s="20">
        <f>IFERROR(VLOOKUP(CONCATENATE($A19,$BC$9,$A$11,$H$11),SexAge!$A:$Q,6,FALSE),0)</f>
        <v>6500</v>
      </c>
      <c r="AS19" s="57"/>
      <c r="AV19" s="12"/>
      <c r="AX19" s="5" t="str">
        <f>IF($T$9=5,"",IF($T$9=3,BA49,""))</f>
        <v/>
      </c>
      <c r="BB19" s="4"/>
    </row>
    <row r="20" spans="1:54" x14ac:dyDescent="0.35">
      <c r="A20" s="36" t="s">
        <v>125</v>
      </c>
      <c r="B20" s="34">
        <f>IFERROR(VLOOKUP(CONCATENATE($A20,$BC$9,$A$11,$B$11),SexAge!$A:$S,16,FALSE),0)</f>
        <v>2951</v>
      </c>
      <c r="C20" s="18">
        <f t="shared" si="6"/>
        <v>730</v>
      </c>
      <c r="D20" s="20">
        <f t="shared" si="1"/>
        <v>3319</v>
      </c>
      <c r="E20" s="34">
        <f>IFERROR(VLOOKUP(CONCATENATE($A20,$BC$9,$A$11,$E$11),SexAge!$A:$S,16,FALSE),0)</f>
        <v>12045</v>
      </c>
      <c r="F20" s="18">
        <f t="shared" si="7"/>
        <v>2176</v>
      </c>
      <c r="G20" s="20">
        <f t="shared" si="8"/>
        <v>3479</v>
      </c>
      <c r="H20" s="18">
        <f>IFERROR(VLOOKUP(CONCATENATE($A20,$BC$9,$A$11,$H$11),SexAge!$A:$S,16,FALSE),0)</f>
        <v>4702</v>
      </c>
      <c r="I20" s="18">
        <f t="shared" si="9"/>
        <v>787</v>
      </c>
      <c r="J20" s="20">
        <f t="shared" si="10"/>
        <v>1511</v>
      </c>
      <c r="L20" s="34">
        <f>IFERROR(VLOOKUP(CONCATENATE($A20,$BC$9,$A$11,$B$11),SexAge!$A:$S,12,FALSE),0)</f>
        <v>3681</v>
      </c>
      <c r="M20" s="20">
        <f>IFERROR(VLOOKUP(CONCATENATE($A20,$BC$9,$A$11,$B$11),SexAge!$A:$Q,6,FALSE),0)</f>
        <v>7000</v>
      </c>
      <c r="N20" s="34">
        <f>IFERROR(VLOOKUP(CONCATENATE($A20,$BC$9,$A$11,$E$11),SexAge!$A:$Q,12,FALSE),0)</f>
        <v>14221</v>
      </c>
      <c r="O20" s="20">
        <f>IFERROR(VLOOKUP(CONCATENATE($A20,$BC$9,$A$11,$E$11),SexAge!$A:$Q,6,FALSE),0)</f>
        <v>17700</v>
      </c>
      <c r="P20" s="34">
        <f>IFERROR(VLOOKUP(CONCATENATE($A20,$BC$9,$A$11,$H$11),SexAge!$A:$Q,12,FALSE),0)</f>
        <v>5489</v>
      </c>
      <c r="Q20" s="20">
        <f>IFERROR(VLOOKUP(CONCATENATE($A20,$BC$9,$A$11,$H$11),SexAge!$A:$Q,6,FALSE),0)</f>
        <v>7000</v>
      </c>
      <c r="AS20" s="57" t="str">
        <f>"Males, 15-34 year olds: Estimated OAT composition in "&amp;$BC$9</f>
        <v>Males, 15-34 year olds: Estimated OAT composition in Scotland</v>
      </c>
      <c r="AV20" s="12"/>
      <c r="AX20" s="5" t="str">
        <f>IF($T$9=5,"",IF($T$9=3,BA50,""))</f>
        <v/>
      </c>
      <c r="AZ20" s="57" t="str">
        <f>"Females, 15-34 year olds: Estimated OAT composition in "&amp;$BC$9</f>
        <v>Females, 15-34 year olds: Estimated OAT composition in Scotland</v>
      </c>
      <c r="BB20" s="4"/>
    </row>
    <row r="21" spans="1:54" x14ac:dyDescent="0.35">
      <c r="A21" s="36" t="s">
        <v>126</v>
      </c>
      <c r="B21" s="34">
        <f>IFERROR(VLOOKUP(CONCATENATE($A21,$BC$9,$A$11,$B$11),SexAge!$A:$S,16,FALSE),0)</f>
        <v>2659</v>
      </c>
      <c r="C21" s="18">
        <f t="shared" si="6"/>
        <v>757</v>
      </c>
      <c r="D21" s="20">
        <f t="shared" si="1"/>
        <v>2484</v>
      </c>
      <c r="E21" s="34">
        <f>IFERROR(VLOOKUP(CONCATENATE($A21,$BC$9,$A$11,$E$11),SexAge!$A:$S,16,FALSE),0)</f>
        <v>11436</v>
      </c>
      <c r="F21" s="18">
        <f t="shared" si="7"/>
        <v>2169</v>
      </c>
      <c r="G21" s="20">
        <f t="shared" si="8"/>
        <v>2695</v>
      </c>
      <c r="H21" s="18">
        <f>IFERROR(VLOOKUP(CONCATENATE($A21,$BC$9,$A$11,$H$11),SexAge!$A:$S,16,FALSE),0)</f>
        <v>5207</v>
      </c>
      <c r="I21" s="18">
        <f t="shared" si="9"/>
        <v>851</v>
      </c>
      <c r="J21" s="20">
        <f t="shared" si="10"/>
        <v>1542</v>
      </c>
      <c r="L21" s="34">
        <f>IFERROR(VLOOKUP(CONCATENATE($A21,$BC$9,$A$11,$B$11),SexAge!$A:$S,12,FALSE),0)</f>
        <v>3416</v>
      </c>
      <c r="M21" s="20">
        <f>IFERROR(VLOOKUP(CONCATENATE($A21,$BC$9,$A$11,$B$11),SexAge!$A:$Q,6,FALSE),0)</f>
        <v>5900</v>
      </c>
      <c r="N21" s="34">
        <f>IFERROR(VLOOKUP(CONCATENATE($A21,$BC$9,$A$11,$E$11),SexAge!$A:$Q,12,FALSE),0)</f>
        <v>13605</v>
      </c>
      <c r="O21" s="20">
        <f>IFERROR(VLOOKUP(CONCATENATE($A21,$BC$9,$A$11,$E$11),SexAge!$A:$Q,6,FALSE),0)</f>
        <v>16300</v>
      </c>
      <c r="P21" s="34">
        <f>IFERROR(VLOOKUP(CONCATENATE($A21,$BC$9,$A$11,$H$11),SexAge!$A:$Q,12,FALSE),0)</f>
        <v>6058</v>
      </c>
      <c r="Q21" s="20">
        <f>IFERROR(VLOOKUP(CONCATENATE($A21,$BC$9,$A$11,$H$11),SexAge!$A:$Q,6,FALSE),0)</f>
        <v>7600</v>
      </c>
      <c r="AS21" s="57" t="str">
        <f>"Males, 35-49 year olds: Estimated OAT composition in "&amp;$BC$9</f>
        <v>Males, 35-49 year olds: Estimated OAT composition in Scotland</v>
      </c>
      <c r="AV21" s="12"/>
      <c r="AX21" s="5" t="str">
        <f>IF($T$9=5,"",IF($T$9=3,BA51,""))</f>
        <v/>
      </c>
      <c r="AZ21" s="57" t="str">
        <f>"Females, 35-49 year olds: Estimated OAT composition in "&amp;$BC$9</f>
        <v>Females, 35-49 year olds: Estimated OAT composition in Scotland</v>
      </c>
      <c r="BB21" s="4"/>
    </row>
    <row r="22" spans="1:54" x14ac:dyDescent="0.35">
      <c r="A22" s="88"/>
      <c r="B22" s="35"/>
      <c r="C22" s="19"/>
      <c r="D22" s="21"/>
      <c r="E22" s="35"/>
      <c r="F22" s="19"/>
      <c r="G22" s="21"/>
      <c r="H22" s="19"/>
      <c r="I22" s="19"/>
      <c r="J22" s="21"/>
      <c r="AS22" s="57" t="str">
        <f>"Males, 50-64 year olds: Estimated OAT composition in "&amp;$BC$9</f>
        <v>Males, 50-64 year olds: Estimated OAT composition in Scotland</v>
      </c>
      <c r="AX22" s="5" t="str">
        <f>IF($T$9=5,"",IF($T$9=3,BA55,""))</f>
        <v/>
      </c>
      <c r="AZ22" s="57" t="str">
        <f>"Females, 50-64 year olds: Estimated OAT composition in "&amp;$BC$9</f>
        <v>Females, 50-64 year olds: Estimated OAT composition in Scotland</v>
      </c>
      <c r="BB22" s="4"/>
    </row>
    <row r="23" spans="1:54" ht="25.25" customHeight="1" x14ac:dyDescent="0.35">
      <c r="A23" s="41" t="s">
        <v>42</v>
      </c>
      <c r="B23" s="180" t="s">
        <v>56</v>
      </c>
      <c r="C23" s="166"/>
      <c r="D23" s="181"/>
      <c r="E23" s="166" t="s">
        <v>57</v>
      </c>
      <c r="F23" s="166"/>
      <c r="G23" s="166"/>
      <c r="H23" s="180" t="s">
        <v>58</v>
      </c>
      <c r="I23" s="166"/>
      <c r="J23" s="181"/>
      <c r="L23" s="189" t="s">
        <v>56</v>
      </c>
      <c r="M23" s="190"/>
      <c r="N23" s="189" t="s">
        <v>57</v>
      </c>
      <c r="O23" s="190"/>
      <c r="P23" s="189" t="s">
        <v>58</v>
      </c>
      <c r="Q23" s="190"/>
      <c r="AS23" s="57" t="str">
        <f>"Males: Estimated % OAT coverage in "&amp;$BC$9</f>
        <v>Males: Estimated % OAT coverage in Scotland</v>
      </c>
      <c r="AZ23" s="57" t="str">
        <f>"Females: Estimated % OAT coverage in "&amp;$BC$9</f>
        <v>Females: Estimated % OAT coverage in Scotland</v>
      </c>
      <c r="BB23" s="4"/>
    </row>
    <row r="24" spans="1:54" ht="69" customHeight="1" x14ac:dyDescent="0.35">
      <c r="A24" s="40" t="s">
        <v>33</v>
      </c>
      <c r="B24" s="97" t="s">
        <v>70</v>
      </c>
      <c r="C24" s="98" t="s">
        <v>71</v>
      </c>
      <c r="D24" s="99" t="s">
        <v>90</v>
      </c>
      <c r="E24" s="97" t="s">
        <v>70</v>
      </c>
      <c r="F24" s="98" t="s">
        <v>71</v>
      </c>
      <c r="G24" s="99" t="s">
        <v>90</v>
      </c>
      <c r="H24" s="97" t="s">
        <v>70</v>
      </c>
      <c r="I24" s="98" t="s">
        <v>71</v>
      </c>
      <c r="J24" s="99" t="s">
        <v>90</v>
      </c>
      <c r="L24" s="53" t="s">
        <v>73</v>
      </c>
      <c r="M24" s="54" t="s">
        <v>35</v>
      </c>
      <c r="N24" s="53" t="s">
        <v>73</v>
      </c>
      <c r="O24" s="54" t="s">
        <v>35</v>
      </c>
      <c r="P24" s="53" t="s">
        <v>73</v>
      </c>
      <c r="Q24" s="54" t="s">
        <v>35</v>
      </c>
      <c r="AS24" s="57"/>
      <c r="BB24" s="4"/>
    </row>
    <row r="25" spans="1:54" x14ac:dyDescent="0.35">
      <c r="A25" s="36" t="s">
        <v>39</v>
      </c>
      <c r="B25" s="33">
        <f>IFERROR(VLOOKUP(CONCATENATE($A25,$BC$9,A$23,$B$11),SexAge!$A:$S,16,FALSE),0)</f>
        <v>3952</v>
      </c>
      <c r="C25" s="30">
        <f t="shared" ref="C25:C26" si="11">L25-B25</f>
        <v>955</v>
      </c>
      <c r="D25" s="30">
        <f t="shared" ref="D25:D26" si="12">M25-L25</f>
        <v>1493</v>
      </c>
      <c r="E25" s="33">
        <f>IFERROR(VLOOKUP(CONCATENATE($A25,$BC$9,A$23,$E$11),SexAge!$A:$S,16,FALSE),0)</f>
        <v>4949</v>
      </c>
      <c r="F25" s="30">
        <f t="shared" ref="F25" si="13">N25-E25</f>
        <v>1110</v>
      </c>
      <c r="G25" s="31">
        <f t="shared" ref="G25" si="14">O25-N25</f>
        <v>1641</v>
      </c>
      <c r="H25" s="33">
        <f>IFERROR(VLOOKUP(CONCATENATE($A25,$BC$9,A$23,$H$11),SexAge!$A:$S,16,FALSE),0)</f>
        <v>559</v>
      </c>
      <c r="I25" s="30">
        <f>P25-H25</f>
        <v>190</v>
      </c>
      <c r="J25" s="31">
        <f>SUM(Q25-P25)</f>
        <v>451</v>
      </c>
      <c r="L25" s="34">
        <f>IFERROR(VLOOKUP(CONCATENATE($A25,$BC$9,A$23,$B$11),SexAge!$A:$Q,12,FALSE),0)</f>
        <v>4907</v>
      </c>
      <c r="M25" s="20">
        <f>IFERROR(VLOOKUP(CONCATENATE($A25,$BC$9,A$23,$B$11),SexAge!$A:$Q,6,FALSE),0)</f>
        <v>6400</v>
      </c>
      <c r="N25" s="34">
        <f>IFERROR(VLOOKUP(CONCATENATE($A25,$BC$9,$A$23,$E$11),SexAge!$A:$Q,12,FALSE),0)</f>
        <v>6059</v>
      </c>
      <c r="O25" s="20">
        <f>IFERROR(VLOOKUP(CONCATENATE($A25,$BC$9,$A$23,$E$11),SexAge!$A:$Q,6,FALSE),0)</f>
        <v>7700</v>
      </c>
      <c r="P25" s="34">
        <f>IFERROR(VLOOKUP(CONCATENATE($A25,$BC$9,$A$23,$H$11),SexAge!$A:$Q,12,FALSE),0)</f>
        <v>749</v>
      </c>
      <c r="Q25" s="20">
        <f>IFERROR(VLOOKUP(CONCATENATE($A25,$BC$9,$A$23,$H$11),SexAge!$A:$Q,6,FALSE),0)</f>
        <v>1200</v>
      </c>
      <c r="AS25" s="57"/>
      <c r="BB25" s="4"/>
    </row>
    <row r="26" spans="1:54" x14ac:dyDescent="0.35">
      <c r="A26" s="36" t="s">
        <v>44</v>
      </c>
      <c r="B26" s="34">
        <f>IFERROR(VLOOKUP(CONCATENATE($A26,$BC$9,A$23,$B$11),SexAge!$A:$S,16,FALSE),0)</f>
        <v>3555</v>
      </c>
      <c r="C26" s="18">
        <f t="shared" si="11"/>
        <v>855</v>
      </c>
      <c r="D26" s="18">
        <f t="shared" si="12"/>
        <v>1290</v>
      </c>
      <c r="E26" s="34">
        <f>IFERROR(VLOOKUP(CONCATENATE($A26,$BC$9,A$23,$E$11),SexAge!$A:$S,16,FALSE),0)</f>
        <v>5256</v>
      </c>
      <c r="F26" s="18">
        <f t="shared" ref="F26:F33" si="15">N26-E26</f>
        <v>1177</v>
      </c>
      <c r="G26" s="20">
        <f t="shared" ref="G26:G33" si="16">O26-N26</f>
        <v>1467</v>
      </c>
      <c r="H26" s="34">
        <f>IFERROR(VLOOKUP(CONCATENATE($A26,$BC$9,A$23,$H$11),SexAge!$A:$S,16,FALSE),0)</f>
        <v>692</v>
      </c>
      <c r="I26" s="18">
        <f t="shared" ref="I26:I33" si="17">P26-H26</f>
        <v>224</v>
      </c>
      <c r="J26" s="20">
        <f t="shared" ref="J26:J33" si="18">SUM(Q26-P26)</f>
        <v>484</v>
      </c>
      <c r="L26" s="34">
        <f>IFERROR(VLOOKUP(CONCATENATE($A26,$BC$9,A$23,$B$11),SexAge!$A:$Q,12,FALSE),0)</f>
        <v>4410</v>
      </c>
      <c r="M26" s="20">
        <f>IFERROR(VLOOKUP(CONCATENATE($A26,$BC$9,A$23,$B$11),SexAge!$A:$Q,6,FALSE),0)</f>
        <v>5700</v>
      </c>
      <c r="N26" s="34">
        <f>IFERROR(VLOOKUP(CONCATENATE($A26,$BC$9,$A$23,$E$11),SexAge!$A:$Q,12,FALSE),0)</f>
        <v>6433</v>
      </c>
      <c r="O26" s="20">
        <f>IFERROR(VLOOKUP(CONCATENATE($A26,$BC$9,$A$23,$E$11),SexAge!$A:$Q,6,FALSE),0)</f>
        <v>7900</v>
      </c>
      <c r="P26" s="34">
        <f>IFERROR(VLOOKUP(CONCATENATE($A26,$BC$9,$A$23,$H$11),SexAge!$A:$Q,12,FALSE),0)</f>
        <v>916</v>
      </c>
      <c r="Q26" s="20">
        <f>IFERROR(VLOOKUP(CONCATENATE($A26,$BC$9,$A$23,$H$11),SexAge!$A:$Q,6,FALSE),0)</f>
        <v>1400</v>
      </c>
      <c r="AS26" s="57"/>
      <c r="BB26" s="4"/>
    </row>
    <row r="27" spans="1:54" x14ac:dyDescent="0.35">
      <c r="A27" s="36" t="s">
        <v>46</v>
      </c>
      <c r="B27" s="34">
        <f>IFERROR(VLOOKUP(CONCATENATE($A27,$BC$9,A$23,$B$11),SexAge!$A:$S,16,FALSE),0)</f>
        <v>3201</v>
      </c>
      <c r="C27" s="18">
        <f t="shared" ref="C27:C33" si="19">L27-B27</f>
        <v>715</v>
      </c>
      <c r="D27" s="18">
        <f t="shared" ref="D27:D33" si="20">M27-L27</f>
        <v>1184</v>
      </c>
      <c r="E27" s="34">
        <f>IFERROR(VLOOKUP(CONCATENATE($A27,$BC$9,A$23,$E$11),SexAge!$A:$S,16,FALSE),0)</f>
        <v>5553</v>
      </c>
      <c r="F27" s="18">
        <f t="shared" si="15"/>
        <v>1176</v>
      </c>
      <c r="G27" s="20">
        <f t="shared" si="16"/>
        <v>1371</v>
      </c>
      <c r="H27" s="34">
        <f>IFERROR(VLOOKUP(CONCATENATE($A27,$BC$9,A$23,$H$11),SexAge!$A:$S,16,FALSE),0)</f>
        <v>807</v>
      </c>
      <c r="I27" s="18">
        <f t="shared" si="17"/>
        <v>239</v>
      </c>
      <c r="J27" s="20">
        <f t="shared" si="18"/>
        <v>454</v>
      </c>
      <c r="L27" s="34">
        <f>IFERROR(VLOOKUP(CONCATENATE($A27,$BC$9,A$23,$B$11),SexAge!$A:$Q,12,FALSE),0)</f>
        <v>3916</v>
      </c>
      <c r="M27" s="20">
        <f>IFERROR(VLOOKUP(CONCATENATE($A27,$BC$9,A$23,$B$11),SexAge!$A:$Q,6,FALSE),0)</f>
        <v>5100</v>
      </c>
      <c r="N27" s="34">
        <f>IFERROR(VLOOKUP(CONCATENATE($A27,$BC$9,$A$23,$E$11),SexAge!$A:$Q,12,FALSE),0)</f>
        <v>6729</v>
      </c>
      <c r="O27" s="20">
        <f>IFERROR(VLOOKUP(CONCATENATE($A27,$BC$9,$A$23,$E$11),SexAge!$A:$Q,6,FALSE),0)</f>
        <v>8100</v>
      </c>
      <c r="P27" s="34">
        <f>IFERROR(VLOOKUP(CONCATENATE($A27,$BC$9,$A$23,$H$11),SexAge!$A:$Q,12,FALSE),0)</f>
        <v>1046</v>
      </c>
      <c r="Q27" s="20">
        <f>IFERROR(VLOOKUP(CONCATENATE($A27,$BC$9,$A$23,$H$11),SexAge!$A:$Q,6,FALSE),0)</f>
        <v>1500</v>
      </c>
      <c r="AS27" s="57"/>
      <c r="BB27" s="4"/>
    </row>
    <row r="28" spans="1:54" x14ac:dyDescent="0.35">
      <c r="A28" s="36" t="s">
        <v>47</v>
      </c>
      <c r="B28" s="34">
        <f>IFERROR(VLOOKUP(CONCATENATE($A28,$BC$9,A$23,$B$11),SexAge!$A:$S,16,FALSE),0)</f>
        <v>2871</v>
      </c>
      <c r="C28" s="18">
        <f t="shared" si="19"/>
        <v>616</v>
      </c>
      <c r="D28" s="18">
        <f t="shared" si="20"/>
        <v>1013</v>
      </c>
      <c r="E28" s="34">
        <f>IFERROR(VLOOKUP(CONCATENATE($A28,$BC$9,A$23,$E$11),SexAge!$A:$S,16,FALSE),0)</f>
        <v>5766</v>
      </c>
      <c r="F28" s="18">
        <f t="shared" si="15"/>
        <v>1161</v>
      </c>
      <c r="G28" s="20">
        <f t="shared" si="16"/>
        <v>1173</v>
      </c>
      <c r="H28" s="34">
        <f>IFERROR(VLOOKUP(CONCATENATE($A28,$BC$9,A$23,$H$11),SexAge!$A:$S,16,FALSE),0)</f>
        <v>935</v>
      </c>
      <c r="I28" s="18">
        <f t="shared" si="17"/>
        <v>239</v>
      </c>
      <c r="J28" s="20">
        <f t="shared" si="18"/>
        <v>326</v>
      </c>
      <c r="L28" s="34">
        <f>IFERROR(VLOOKUP(CONCATENATE($A28,$BC$9,A$23,$B$11),SexAge!$A:$Q,12,FALSE),0)</f>
        <v>3487</v>
      </c>
      <c r="M28" s="20">
        <f>IFERROR(VLOOKUP(CONCATENATE($A28,$BC$9,A$23,$B$11),SexAge!$A:$Q,6,FALSE),0)</f>
        <v>4500</v>
      </c>
      <c r="N28" s="34">
        <f>IFERROR(VLOOKUP(CONCATENATE($A28,$BC$9,$A$23,$E$11),SexAge!$A:$Q,12,FALSE),0)</f>
        <v>6927</v>
      </c>
      <c r="O28" s="20">
        <f>IFERROR(VLOOKUP(CONCATENATE($A28,$BC$9,$A$23,$E$11),SexAge!$A:$Q,6,FALSE),0)</f>
        <v>8100</v>
      </c>
      <c r="P28" s="34">
        <f>IFERROR(VLOOKUP(CONCATENATE($A28,$BC$9,$A$23,$H$11),SexAge!$A:$Q,12,FALSE),0)</f>
        <v>1174</v>
      </c>
      <c r="Q28" s="20">
        <f>IFERROR(VLOOKUP(CONCATENATE($A28,$BC$9,$A$23,$H$11),SexAge!$A:$Q,6,FALSE),0)</f>
        <v>1500</v>
      </c>
      <c r="AS28" s="5"/>
      <c r="BB28" s="4"/>
    </row>
    <row r="29" spans="1:54" ht="18" customHeight="1" x14ac:dyDescent="0.35">
      <c r="A29" s="36" t="s">
        <v>48</v>
      </c>
      <c r="B29" s="34">
        <f>IFERROR(VLOOKUP(CONCATENATE($A29,$BC$9,A$23,$B$11),SexAge!$A:$S,16,FALSE),0)</f>
        <v>2524</v>
      </c>
      <c r="C29" s="18">
        <f t="shared" si="19"/>
        <v>564</v>
      </c>
      <c r="D29" s="18">
        <f t="shared" si="20"/>
        <v>1112</v>
      </c>
      <c r="E29" s="34">
        <f>IFERROR(VLOOKUP(CONCATENATE($A29,$BC$9,A$23,$E$11),SexAge!$A:$S,16,FALSE),0)</f>
        <v>5832</v>
      </c>
      <c r="F29" s="18">
        <f t="shared" si="15"/>
        <v>1176</v>
      </c>
      <c r="G29" s="20">
        <f t="shared" si="16"/>
        <v>1192</v>
      </c>
      <c r="H29" s="34">
        <f>IFERROR(VLOOKUP(CONCATENATE($A29,$BC$9,A$23,$H$11),SexAge!$A:$S,16,FALSE),0)</f>
        <v>1069</v>
      </c>
      <c r="I29" s="18">
        <f t="shared" si="17"/>
        <v>277</v>
      </c>
      <c r="J29" s="20">
        <f t="shared" si="18"/>
        <v>454</v>
      </c>
      <c r="L29" s="34">
        <f>IFERROR(VLOOKUP(CONCATENATE($A29,$BC$9,A$23,$B$11),SexAge!$A:$Q,12,FALSE),0)</f>
        <v>3088</v>
      </c>
      <c r="M29" s="20">
        <f>IFERROR(VLOOKUP(CONCATENATE($A29,$BC$9,A$23,$B$11),SexAge!$A:$Q,6,FALSE),0)</f>
        <v>4200</v>
      </c>
      <c r="N29" s="34">
        <f>IFERROR(VLOOKUP(CONCATENATE($A29,$BC$9,$A$23,$E$11),SexAge!$A:$Q,12,FALSE),0)</f>
        <v>7008</v>
      </c>
      <c r="O29" s="20">
        <f>IFERROR(VLOOKUP(CONCATENATE($A29,$BC$9,$A$23,$E$11),SexAge!$A:$Q,6,FALSE),0)</f>
        <v>8200</v>
      </c>
      <c r="P29" s="34">
        <f>IFERROR(VLOOKUP(CONCATENATE($A29,$BC$9,$A$23,$H$11),SexAge!$A:$Q,12,FALSE),0)</f>
        <v>1346</v>
      </c>
      <c r="Q29" s="20">
        <f>IFERROR(VLOOKUP(CONCATENATE($A29,$BC$9,$A$23,$H$11),SexAge!$A:$Q,6,FALSE),0)</f>
        <v>1800</v>
      </c>
      <c r="AS29" s="97" t="s">
        <v>70</v>
      </c>
      <c r="AU29" s="99"/>
      <c r="BA29" s="4"/>
    </row>
    <row r="30" spans="1:54" ht="18.649999999999999" customHeight="1" x14ac:dyDescent="0.35">
      <c r="A30" s="36" t="s">
        <v>49</v>
      </c>
      <c r="B30" s="34">
        <f>IFERROR(VLOOKUP(CONCATENATE($A30,$BC$9,A$23,$B$11),SexAge!$A:$S,16,FALSE),0)</f>
        <v>2296</v>
      </c>
      <c r="C30" s="18">
        <f t="shared" si="19"/>
        <v>501</v>
      </c>
      <c r="D30" s="18">
        <f t="shared" si="20"/>
        <v>1303</v>
      </c>
      <c r="E30" s="34">
        <f>IFERROR(VLOOKUP(CONCATENATE($A30,$BC$9,A$23,$E$11),SexAge!$A:$S,16,FALSE),0)</f>
        <v>5902</v>
      </c>
      <c r="F30" s="18">
        <f t="shared" si="15"/>
        <v>1157</v>
      </c>
      <c r="G30" s="20">
        <f t="shared" si="16"/>
        <v>1441</v>
      </c>
      <c r="H30" s="34">
        <f>IFERROR(VLOOKUP(CONCATENATE($A30,$BC$9,A$23,$H$11),SexAge!$A:$S,16,FALSE),0)</f>
        <v>1230</v>
      </c>
      <c r="I30" s="18">
        <f t="shared" si="17"/>
        <v>302</v>
      </c>
      <c r="J30" s="20">
        <f t="shared" si="18"/>
        <v>468</v>
      </c>
      <c r="L30" s="34">
        <f>IFERROR(VLOOKUP(CONCATENATE($A30,$BC$9,A$23,$B$11),SexAge!$A:$Q,12,FALSE),0)</f>
        <v>2797</v>
      </c>
      <c r="M30" s="20">
        <f>IFERROR(VLOOKUP(CONCATENATE($A30,$BC$9,A$23,$B$11),SexAge!$A:$Q,6,FALSE),0)</f>
        <v>4100</v>
      </c>
      <c r="N30" s="34">
        <f>IFERROR(VLOOKUP(CONCATENATE($A30,$BC$9,$A$23,$E$11),SexAge!$A:$Q,12,FALSE),0)</f>
        <v>7059</v>
      </c>
      <c r="O30" s="20">
        <f>IFERROR(VLOOKUP(CONCATENATE($A30,$BC$9,$A$23,$E$11),SexAge!$A:$Q,6,FALSE),0)</f>
        <v>8500</v>
      </c>
      <c r="P30" s="34">
        <f>IFERROR(VLOOKUP(CONCATENATE($A30,$BC$9,$A$23,$H$11),SexAge!$A:$Q,12,FALSE),0)</f>
        <v>1532</v>
      </c>
      <c r="Q30" s="20">
        <f>IFERROR(VLOOKUP(CONCATENATE($A30,$BC$9,$A$23,$H$11),SexAge!$A:$Q,6,FALSE),0)</f>
        <v>2000</v>
      </c>
      <c r="AS30" s="98" t="s">
        <v>71</v>
      </c>
      <c r="BA30" s="4"/>
    </row>
    <row r="31" spans="1:54" x14ac:dyDescent="0.35">
      <c r="A31" s="36" t="s">
        <v>124</v>
      </c>
      <c r="B31" s="34">
        <f>IFERROR(VLOOKUP(CONCATENATE($A31,$BC$9,A$23,$B$11),SexAge!$A:$S,16,FALSE),0)</f>
        <v>2143</v>
      </c>
      <c r="C31" s="18">
        <f t="shared" si="19"/>
        <v>453</v>
      </c>
      <c r="D31" s="18">
        <f t="shared" si="20"/>
        <v>1404</v>
      </c>
      <c r="E31" s="34">
        <f>IFERROR(VLOOKUP(CONCATENATE($A31,$BC$9,A$23,$E$11),SexAge!$A:$S,16,FALSE),0)</f>
        <v>5964</v>
      </c>
      <c r="F31" s="18">
        <f t="shared" si="15"/>
        <v>1121</v>
      </c>
      <c r="G31" s="20">
        <f t="shared" si="16"/>
        <v>1515</v>
      </c>
      <c r="H31" s="34">
        <f>IFERROR(VLOOKUP(CONCATENATE($A31,$BC$9,A$23,$H$11),SexAge!$A:$S,16,FALSE),0)</f>
        <v>1369</v>
      </c>
      <c r="I31" s="18">
        <f t="shared" si="17"/>
        <v>309</v>
      </c>
      <c r="J31" s="20">
        <f t="shared" si="18"/>
        <v>622</v>
      </c>
      <c r="L31" s="34">
        <f>IFERROR(VLOOKUP(CONCATENATE($A31,$BC$9,A$23,$B$11),SexAge!$A:$Q,12,FALSE),0)</f>
        <v>2596</v>
      </c>
      <c r="M31" s="20">
        <f>IFERROR(VLOOKUP(CONCATENATE($A31,$BC$9,A$23,$B$11),SexAge!$A:$Q,6,FALSE),0)</f>
        <v>4000</v>
      </c>
      <c r="N31" s="34">
        <f>IFERROR(VLOOKUP(CONCATENATE($A31,$BC$9,$A$23,$E$11),SexAge!$A:$Q,12,FALSE),0)</f>
        <v>7085</v>
      </c>
      <c r="O31" s="20">
        <f>IFERROR(VLOOKUP(CONCATENATE($A31,$BC$9,$A$23,$E$11),SexAge!$A:$Q,6,FALSE),0)</f>
        <v>8600</v>
      </c>
      <c r="P31" s="34">
        <f>IFERROR(VLOOKUP(CONCATENATE($A31,$BC$9,$A$23,$H$11),SexAge!$A:$Q,12,FALSE),0)</f>
        <v>1678</v>
      </c>
      <c r="Q31" s="20">
        <f>IFERROR(VLOOKUP(CONCATENATE($A31,$BC$9,$A$23,$H$11),SexAge!$A:$Q,6,FALSE),0)</f>
        <v>2300</v>
      </c>
      <c r="AS31" s="5" t="s">
        <v>80</v>
      </c>
      <c r="BA31" s="4"/>
    </row>
    <row r="32" spans="1:54" x14ac:dyDescent="0.35">
      <c r="A32" s="36" t="s">
        <v>125</v>
      </c>
      <c r="B32" s="34">
        <f>IFERROR(VLOOKUP(CONCATENATE($A32,$BC$9,A$23,$B$11),SexAge!$A:$S,16,FALSE),0)</f>
        <v>1898</v>
      </c>
      <c r="C32" s="18">
        <f t="shared" si="19"/>
        <v>432</v>
      </c>
      <c r="D32" s="18">
        <f t="shared" si="20"/>
        <v>1170</v>
      </c>
      <c r="E32" s="34">
        <f>IFERROR(VLOOKUP(CONCATENATE($A32,$BC$9,A$23,$E$11),SexAge!$A:$S,16,FALSE),0)</f>
        <v>6048</v>
      </c>
      <c r="F32" s="18">
        <f t="shared" si="15"/>
        <v>993</v>
      </c>
      <c r="G32" s="20">
        <f t="shared" si="16"/>
        <v>1259</v>
      </c>
      <c r="H32" s="34">
        <f>IFERROR(VLOOKUP(CONCATENATE($A32,$BC$9,A$23,$H$11),SexAge!$A:$S,16,FALSE),0)</f>
        <v>1568</v>
      </c>
      <c r="I32" s="18">
        <f t="shared" si="17"/>
        <v>284</v>
      </c>
      <c r="J32" s="20">
        <f t="shared" si="18"/>
        <v>648</v>
      </c>
      <c r="L32" s="34">
        <f>IFERROR(VLOOKUP(CONCATENATE($A32,$BC$9,A$23,$B$11),SexAge!$A:$Q,12,FALSE),0)</f>
        <v>2330</v>
      </c>
      <c r="M32" s="20">
        <f>IFERROR(VLOOKUP(CONCATENATE($A32,$BC$9,A$23,$B$11),SexAge!$A:$Q,6,FALSE),0)</f>
        <v>3500</v>
      </c>
      <c r="N32" s="34">
        <f>IFERROR(VLOOKUP(CONCATENATE($A32,$BC$9,$A$23,$E$11),SexAge!$A:$Q,12,FALSE),0)</f>
        <v>7041</v>
      </c>
      <c r="O32" s="20">
        <f>IFERROR(VLOOKUP(CONCATENATE($A32,$BC$9,$A$23,$E$11),SexAge!$A:$Q,6,FALSE),0)</f>
        <v>8300</v>
      </c>
      <c r="P32" s="34">
        <f>IFERROR(VLOOKUP(CONCATENATE($A32,$BC$9,$A$23,$H$11),SexAge!$A:$Q,12,FALSE),0)</f>
        <v>1852</v>
      </c>
      <c r="Q32" s="20">
        <f>IFERROR(VLOOKUP(CONCATENATE($A32,$BC$9,$A$23,$H$11),SexAge!$A:$Q,6,FALSE),0)</f>
        <v>2500</v>
      </c>
      <c r="AS32" s="5"/>
      <c r="BA32" s="4"/>
    </row>
    <row r="33" spans="1:54" x14ac:dyDescent="0.35">
      <c r="A33" s="36" t="s">
        <v>126</v>
      </c>
      <c r="B33" s="34">
        <f>IFERROR(VLOOKUP(CONCATENATE($A33,$BC$9,A$23,$B$11),SexAge!$A:$S,16,FALSE),0)</f>
        <v>1680</v>
      </c>
      <c r="C33" s="18">
        <f t="shared" si="19"/>
        <v>399</v>
      </c>
      <c r="D33" s="18">
        <f t="shared" si="20"/>
        <v>921</v>
      </c>
      <c r="E33" s="34">
        <f>IFERROR(VLOOKUP(CONCATENATE($A33,$BC$9,A$23,$E$11),SexAge!$A:$S,16,FALSE),0)</f>
        <v>5855</v>
      </c>
      <c r="F33" s="18">
        <f t="shared" si="15"/>
        <v>1043</v>
      </c>
      <c r="G33" s="20">
        <f t="shared" si="16"/>
        <v>1002</v>
      </c>
      <c r="H33" s="34">
        <f>IFERROR(VLOOKUP(CONCATENATE($A33,$BC$9,A$23,$H$11),SexAge!$A:$S,16,FALSE),0)</f>
        <v>1739</v>
      </c>
      <c r="I33" s="18">
        <f t="shared" si="17"/>
        <v>324</v>
      </c>
      <c r="J33" s="20">
        <f t="shared" si="18"/>
        <v>637</v>
      </c>
      <c r="L33" s="34">
        <f>IFERROR(VLOOKUP(CONCATENATE($A33,$BC$9,A$23,$B$11),SexAge!$A:$Q,12,FALSE),0)</f>
        <v>2079</v>
      </c>
      <c r="M33" s="20">
        <f>IFERROR(VLOOKUP(CONCATENATE($A33,$BC$9,A$23,$B$11),SexAge!$A:$Q,6,FALSE),0)</f>
        <v>3000</v>
      </c>
      <c r="N33" s="34">
        <f>IFERROR(VLOOKUP(CONCATENATE($A33,$BC$9,$A$23,$E$11),SexAge!$A:$Q,12,FALSE),0)</f>
        <v>6898</v>
      </c>
      <c r="O33" s="20">
        <f>IFERROR(VLOOKUP(CONCATENATE($A33,$BC$9,$A$23,$E$11),SexAge!$A:$Q,6,FALSE),0)</f>
        <v>7900</v>
      </c>
      <c r="P33" s="34">
        <f>IFERROR(VLOOKUP(CONCATENATE($A33,$BC$9,$A$23,$H$11),SexAge!$A:$Q,12,FALSE),0)</f>
        <v>2063</v>
      </c>
      <c r="Q33" s="20">
        <f>IFERROR(VLOOKUP(CONCATENATE($A33,$BC$9,$A$23,$H$11),SexAge!$A:$Q,6,FALSE),0)</f>
        <v>2700</v>
      </c>
      <c r="AS33" s="5"/>
      <c r="BA33" s="4"/>
    </row>
    <row r="34" spans="1:54" x14ac:dyDescent="0.35">
      <c r="A34" s="89"/>
      <c r="B34" s="89"/>
      <c r="C34" s="90"/>
      <c r="D34" s="90"/>
      <c r="E34" s="89"/>
      <c r="F34" s="90"/>
      <c r="G34" s="91"/>
      <c r="H34" s="90"/>
      <c r="I34" s="90"/>
      <c r="J34" s="108"/>
      <c r="AS34" s="5"/>
      <c r="BA34" s="4"/>
    </row>
    <row r="35" spans="1:54" x14ac:dyDescent="0.35">
      <c r="AS35" s="5"/>
    </row>
    <row r="36" spans="1:54" ht="24" customHeight="1" x14ac:dyDescent="0.35">
      <c r="A36" s="128" t="s">
        <v>91</v>
      </c>
      <c r="AS36" s="5"/>
    </row>
    <row r="37" spans="1:54" ht="24" customHeight="1" x14ac:dyDescent="0.35">
      <c r="A37" s="129" t="s">
        <v>26</v>
      </c>
      <c r="B37" s="168" t="s">
        <v>55</v>
      </c>
      <c r="C37" s="188"/>
      <c r="D37" s="188"/>
      <c r="E37" s="188"/>
      <c r="F37" s="188"/>
      <c r="G37" s="188"/>
      <c r="H37" s="188"/>
      <c r="I37" s="188"/>
      <c r="J37" s="188"/>
      <c r="AS37" s="57"/>
      <c r="BB37" s="4"/>
    </row>
    <row r="38" spans="1:54" ht="24" customHeight="1" x14ac:dyDescent="0.35">
      <c r="A38" s="130" t="s">
        <v>37</v>
      </c>
      <c r="B38" s="167" t="s">
        <v>56</v>
      </c>
      <c r="C38" s="167"/>
      <c r="D38" s="168"/>
      <c r="E38" s="167" t="s">
        <v>57</v>
      </c>
      <c r="F38" s="167"/>
      <c r="G38" s="168"/>
      <c r="H38" s="171" t="s">
        <v>58</v>
      </c>
      <c r="I38" s="167"/>
      <c r="J38" s="168"/>
      <c r="L38" s="189" t="s">
        <v>56</v>
      </c>
      <c r="M38" s="190"/>
      <c r="N38" s="189" t="s">
        <v>57</v>
      </c>
      <c r="O38" s="190"/>
      <c r="P38" s="189" t="s">
        <v>58</v>
      </c>
      <c r="Q38" s="190"/>
      <c r="AS38" s="57"/>
      <c r="BB38" s="4"/>
    </row>
    <row r="39" spans="1:54" ht="24" customHeight="1" x14ac:dyDescent="0.35">
      <c r="A39" s="131" t="s">
        <v>33</v>
      </c>
      <c r="B39" s="39" t="s">
        <v>34</v>
      </c>
      <c r="C39" s="39" t="s">
        <v>35</v>
      </c>
      <c r="D39" s="43" t="s">
        <v>36</v>
      </c>
      <c r="E39" s="39" t="s">
        <v>34</v>
      </c>
      <c r="F39" s="39" t="s">
        <v>35</v>
      </c>
      <c r="G39" s="43" t="s">
        <v>36</v>
      </c>
      <c r="H39" s="39" t="s">
        <v>34</v>
      </c>
      <c r="I39" s="39" t="s">
        <v>35</v>
      </c>
      <c r="J39" s="43" t="s">
        <v>36</v>
      </c>
      <c r="L39" s="69" t="s">
        <v>41</v>
      </c>
      <c r="M39" s="65" t="s">
        <v>40</v>
      </c>
      <c r="N39" s="69" t="s">
        <v>41</v>
      </c>
      <c r="O39" s="65" t="s">
        <v>40</v>
      </c>
      <c r="P39" s="69" t="s">
        <v>41</v>
      </c>
      <c r="Q39" s="65" t="s">
        <v>40</v>
      </c>
      <c r="AS39" s="57"/>
      <c r="BB39" s="4"/>
    </row>
    <row r="40" spans="1:54" x14ac:dyDescent="0.35">
      <c r="A40" s="38" t="s">
        <v>39</v>
      </c>
      <c r="B40" s="45">
        <f>IFERROR(VLOOKUP(CONCATENATE($A40,$BC$9,$A$38,$B$11),SexAge!$A:$S,18,FALSE),0)</f>
        <v>0.45</v>
      </c>
      <c r="C40" s="46">
        <f>IFERROR(VLOOKUP(CONCATENATE($A40,$BC$9,$A$38,$B$11),SexAge!$A:$S,17,FALSE),0)</f>
        <v>0.49</v>
      </c>
      <c r="D40" s="47">
        <f>IFERROR(VLOOKUP(CONCATENATE($A40,$BC$9,$A$38,$B$11),SexAge!$A:$S,19,FALSE),0)</f>
        <v>0.52</v>
      </c>
      <c r="E40" s="45">
        <f>IFERROR(VLOOKUP(CONCATENATE($A40,$BC$9,$A$38,$E$11),SexAge!$A:$S,18,FALSE),0)</f>
        <v>0.6</v>
      </c>
      <c r="F40" s="46">
        <f>IFERROR(VLOOKUP(CONCATENATE($A40,$BC$9,$A$38,$E$11),SexAge!$A:$S,17,FALSE),0)</f>
        <v>0.63</v>
      </c>
      <c r="G40" s="47">
        <f>IFERROR(VLOOKUP(CONCATENATE($A40,$BC$9,$A$38,$E$11),SexAge!$A:$S,19,FALSE),0)</f>
        <v>0.65</v>
      </c>
      <c r="H40" s="45">
        <f>IFERROR(VLOOKUP(CONCATENATE($A40,$BC$9,$A$38,$H$11),SexAge!$A:$S,18,FALSE),0)</f>
        <v>0.41</v>
      </c>
      <c r="I40" s="46">
        <f>IFERROR(VLOOKUP(CONCATENATE($A40,$BC$9,$A$38,$H$11),SexAge!$A:$S,17,FALSE),0)</f>
        <v>0.48</v>
      </c>
      <c r="J40" s="47">
        <f>IFERROR(VLOOKUP(CONCATENATE($A40,$BC$9,$A$38,$H$11),SexAge!$A:$S,19,FALSE),0)</f>
        <v>0.54</v>
      </c>
      <c r="L40" s="45">
        <f>D40-C40</f>
        <v>3.0000000000000027E-2</v>
      </c>
      <c r="M40" s="47">
        <f>C40-B40</f>
        <v>3.999999999999998E-2</v>
      </c>
      <c r="N40" s="45">
        <f>G40-F40</f>
        <v>2.0000000000000018E-2</v>
      </c>
      <c r="O40" s="47">
        <f>F40-E40</f>
        <v>3.0000000000000027E-2</v>
      </c>
      <c r="P40" s="45">
        <f>J40-I40</f>
        <v>6.0000000000000053E-2</v>
      </c>
      <c r="Q40" s="47">
        <f>I40-H40</f>
        <v>7.0000000000000007E-2</v>
      </c>
      <c r="AS40" s="5"/>
    </row>
    <row r="41" spans="1:54" x14ac:dyDescent="0.35">
      <c r="A41" s="36" t="s">
        <v>44</v>
      </c>
      <c r="B41" s="48">
        <f>IFERROR(VLOOKUP(CONCATENATE($A41,$BC$9,$A$38,$B$11),SexAge!$A:$S,18,FALSE),0)</f>
        <v>0.46</v>
      </c>
      <c r="C41" s="49">
        <f>IFERROR(VLOOKUP(CONCATENATE($A41,$BC$9,$A$38,$B$11),SexAge!$A:$S,17,FALSE),0)</f>
        <v>0.49</v>
      </c>
      <c r="D41" s="50">
        <f>IFERROR(VLOOKUP(CONCATENATE($A41,$BC$9,$A$38,$B$11),SexAge!$A:$S,19,FALSE),0)</f>
        <v>0.53</v>
      </c>
      <c r="E41" s="48">
        <f>IFERROR(VLOOKUP(CONCATENATE($A41,$BC$9,$A$38,$E$11),SexAge!$A:$S,18,FALSE),0)</f>
        <v>0.64</v>
      </c>
      <c r="F41" s="49">
        <f>IFERROR(VLOOKUP(CONCATENATE($A41,$BC$9,$A$38,$E$11),SexAge!$A:$S,17,FALSE),0)</f>
        <v>0.66</v>
      </c>
      <c r="G41" s="50">
        <f>IFERROR(VLOOKUP(CONCATENATE($A41,$BC$9,$A$38,$E$11),SexAge!$A:$S,19,FALSE),0)</f>
        <v>0.69</v>
      </c>
      <c r="H41" s="48">
        <f>IFERROR(VLOOKUP(CONCATENATE($A41,$BC$9,$A$38,$H$11),SexAge!$A:$S,18,FALSE),0)</f>
        <v>0.47</v>
      </c>
      <c r="I41" s="49">
        <f>IFERROR(VLOOKUP(CONCATENATE($A41,$BC$9,$A$38,$H$11),SexAge!$A:$S,17,FALSE),0)</f>
        <v>0.53</v>
      </c>
      <c r="J41" s="50">
        <f>IFERROR(VLOOKUP(CONCATENATE($A41,$BC$9,$A$38,$H$11),SexAge!$A:$S,19,FALSE),0)</f>
        <v>0.59</v>
      </c>
      <c r="L41" s="48">
        <f t="shared" ref="L41:L45" si="21">D41-C41</f>
        <v>4.0000000000000036E-2</v>
      </c>
      <c r="M41" s="50">
        <f t="shared" ref="M41:M45" si="22">C41-B41</f>
        <v>2.9999999999999971E-2</v>
      </c>
      <c r="N41" s="48">
        <f t="shared" ref="N41:N45" si="23">G41-F41</f>
        <v>2.9999999999999916E-2</v>
      </c>
      <c r="O41" s="50">
        <f t="shared" ref="O41:O45" si="24">F41-E41</f>
        <v>2.0000000000000018E-2</v>
      </c>
      <c r="P41" s="48">
        <f t="shared" ref="P41:P45" si="25">J41-I41</f>
        <v>5.9999999999999942E-2</v>
      </c>
      <c r="Q41" s="50">
        <f t="shared" ref="Q41:Q45" si="26">I41-H41</f>
        <v>6.0000000000000053E-2</v>
      </c>
      <c r="AS41" s="5"/>
    </row>
    <row r="42" spans="1:54" x14ac:dyDescent="0.35">
      <c r="A42" s="36" t="s">
        <v>46</v>
      </c>
      <c r="B42" s="48">
        <f>IFERROR(VLOOKUP(CONCATENATE($A42,$BC$9,$A$38,$B$11),SexAge!$A:$S,18,FALSE),0)</f>
        <v>0.47</v>
      </c>
      <c r="C42" s="49">
        <f>IFERROR(VLOOKUP(CONCATENATE($A42,$BC$9,$A$38,$B$11),SexAge!$A:$S,17,FALSE),0)</f>
        <v>0.5</v>
      </c>
      <c r="D42" s="50">
        <f>IFERROR(VLOOKUP(CONCATENATE($A42,$BC$9,$A$38,$B$11),SexAge!$A:$S,19,FALSE),0)</f>
        <v>0.54</v>
      </c>
      <c r="E42" s="48">
        <f>IFERROR(VLOOKUP(CONCATENATE($A42,$BC$9,$A$38,$E$11),SexAge!$A:$S,18,FALSE),0)</f>
        <v>0.66</v>
      </c>
      <c r="F42" s="49">
        <f>IFERROR(VLOOKUP(CONCATENATE($A42,$BC$9,$A$38,$E$11),SexAge!$A:$S,17,FALSE),0)</f>
        <v>0.68</v>
      </c>
      <c r="G42" s="50">
        <f>IFERROR(VLOOKUP(CONCATENATE($A42,$BC$9,$A$38,$E$11),SexAge!$A:$S,19,FALSE),0)</f>
        <v>0.7</v>
      </c>
      <c r="H42" s="48">
        <f>IFERROR(VLOOKUP(CONCATENATE($A42,$BC$9,$A$38,$H$11),SexAge!$A:$S,18,FALSE),0)</f>
        <v>0.5</v>
      </c>
      <c r="I42" s="49">
        <f>IFERROR(VLOOKUP(CONCATENATE($A42,$BC$9,$A$38,$H$11),SexAge!$A:$S,17,FALSE),0)</f>
        <v>0.55000000000000004</v>
      </c>
      <c r="J42" s="50">
        <f>IFERROR(VLOOKUP(CONCATENATE($A42,$BC$9,$A$38,$H$11),SexAge!$A:$S,19,FALSE),0)</f>
        <v>0.61</v>
      </c>
      <c r="L42" s="48">
        <f t="shared" si="21"/>
        <v>4.0000000000000036E-2</v>
      </c>
      <c r="M42" s="50">
        <f t="shared" si="22"/>
        <v>3.0000000000000027E-2</v>
      </c>
      <c r="N42" s="48">
        <f t="shared" si="23"/>
        <v>1.9999999999999907E-2</v>
      </c>
      <c r="O42" s="50">
        <f t="shared" si="24"/>
        <v>2.0000000000000018E-2</v>
      </c>
      <c r="P42" s="48">
        <f t="shared" si="25"/>
        <v>5.9999999999999942E-2</v>
      </c>
      <c r="Q42" s="50">
        <f t="shared" si="26"/>
        <v>5.0000000000000044E-2</v>
      </c>
      <c r="AS42" s="5"/>
    </row>
    <row r="43" spans="1:54" x14ac:dyDescent="0.35">
      <c r="A43" s="36" t="s">
        <v>47</v>
      </c>
      <c r="B43" s="48">
        <f>IFERROR(VLOOKUP(CONCATENATE($A43,$BC$9,$A$38,$B$11),SexAge!$A:$S,18,FALSE),0)</f>
        <v>0.47</v>
      </c>
      <c r="C43" s="49">
        <f>IFERROR(VLOOKUP(CONCATENATE($A43,$BC$9,$A$38,$B$11),SexAge!$A:$S,17,FALSE),0)</f>
        <v>0.5</v>
      </c>
      <c r="D43" s="50">
        <f>IFERROR(VLOOKUP(CONCATENATE($A43,$BC$9,$A$38,$B$11),SexAge!$A:$S,19,FALSE),0)</f>
        <v>0.53</v>
      </c>
      <c r="E43" s="48">
        <f>IFERROR(VLOOKUP(CONCATENATE($A43,$BC$9,$A$38,$E$11),SexAge!$A:$S,18,FALSE),0)</f>
        <v>0.68</v>
      </c>
      <c r="F43" s="49">
        <f>IFERROR(VLOOKUP(CONCATENATE($A43,$BC$9,$A$38,$E$11),SexAge!$A:$S,17,FALSE),0)</f>
        <v>0.7</v>
      </c>
      <c r="G43" s="50">
        <f>IFERROR(VLOOKUP(CONCATENATE($A43,$BC$9,$A$38,$E$11),SexAge!$A:$S,19,FALSE),0)</f>
        <v>0.72</v>
      </c>
      <c r="H43" s="48">
        <f>IFERROR(VLOOKUP(CONCATENATE($A43,$BC$9,$A$38,$H$11),SexAge!$A:$S,18,FALSE),0)</f>
        <v>0.62</v>
      </c>
      <c r="I43" s="49">
        <f>IFERROR(VLOOKUP(CONCATENATE($A43,$BC$9,$A$38,$H$11),SexAge!$A:$S,17,FALSE),0)</f>
        <v>0.66</v>
      </c>
      <c r="J43" s="50">
        <f>IFERROR(VLOOKUP(CONCATENATE($A43,$BC$9,$A$38,$H$11),SexAge!$A:$S,19,FALSE),0)</f>
        <v>0.69</v>
      </c>
      <c r="L43" s="48">
        <f t="shared" si="21"/>
        <v>3.0000000000000027E-2</v>
      </c>
      <c r="M43" s="50">
        <f t="shared" si="22"/>
        <v>3.0000000000000027E-2</v>
      </c>
      <c r="N43" s="48">
        <f t="shared" si="23"/>
        <v>2.0000000000000018E-2</v>
      </c>
      <c r="O43" s="50">
        <f t="shared" si="24"/>
        <v>1.9999999999999907E-2</v>
      </c>
      <c r="P43" s="48">
        <f t="shared" si="25"/>
        <v>2.9999999999999916E-2</v>
      </c>
      <c r="Q43" s="50">
        <f t="shared" si="26"/>
        <v>4.0000000000000036E-2</v>
      </c>
      <c r="AS43" s="16"/>
    </row>
    <row r="44" spans="1:54" x14ac:dyDescent="0.35">
      <c r="A44" s="36" t="s">
        <v>48</v>
      </c>
      <c r="B44" s="48">
        <f>IFERROR(VLOOKUP(CONCATENATE($A44,$BC$9,$A$38,$B$11),SexAge!$A:$S,18,FALSE),0)</f>
        <v>0.43</v>
      </c>
      <c r="C44" s="49">
        <f>IFERROR(VLOOKUP(CONCATENATE($A44,$BC$9,$A$38,$B$11),SexAge!$A:$S,17,FALSE),0)</f>
        <v>0.46</v>
      </c>
      <c r="D44" s="50">
        <f>IFERROR(VLOOKUP(CONCATENATE($A44,$BC$9,$A$38,$B$11),SexAge!$A:$S,19,FALSE),0)</f>
        <v>0.5</v>
      </c>
      <c r="E44" s="48">
        <f>IFERROR(VLOOKUP(CONCATENATE($A44,$BC$9,$A$38,$E$11),SexAge!$A:$S,18,FALSE),0)</f>
        <v>0.68</v>
      </c>
      <c r="F44" s="49">
        <f>IFERROR(VLOOKUP(CONCATENATE($A44,$BC$9,$A$38,$E$11),SexAge!$A:$S,17,FALSE),0)</f>
        <v>0.69</v>
      </c>
      <c r="G44" s="50">
        <f>IFERROR(VLOOKUP(CONCATENATE($A44,$BC$9,$A$38,$E$11),SexAge!$A:$S,19,FALSE),0)</f>
        <v>0.72</v>
      </c>
      <c r="H44" s="48">
        <f>IFERROR(VLOOKUP(CONCATENATE($A44,$BC$9,$A$38,$H$11),SexAge!$A:$S,18,FALSE),0)</f>
        <v>0.61</v>
      </c>
      <c r="I44" s="49">
        <f>IFERROR(VLOOKUP(CONCATENATE($A44,$BC$9,$A$38,$H$11),SexAge!$A:$S,17,FALSE),0)</f>
        <v>0.64</v>
      </c>
      <c r="J44" s="50">
        <f>IFERROR(VLOOKUP(CONCATENATE($A44,$BC$9,$A$38,$H$11),SexAge!$A:$S,19,FALSE),0)</f>
        <v>0.69</v>
      </c>
      <c r="L44" s="48">
        <f t="shared" si="21"/>
        <v>3.999999999999998E-2</v>
      </c>
      <c r="M44" s="50">
        <f t="shared" si="22"/>
        <v>3.0000000000000027E-2</v>
      </c>
      <c r="N44" s="48">
        <f t="shared" si="23"/>
        <v>3.0000000000000027E-2</v>
      </c>
      <c r="O44" s="50">
        <f t="shared" si="24"/>
        <v>9.9999999999998979E-3</v>
      </c>
      <c r="P44" s="48">
        <f t="shared" si="25"/>
        <v>4.9999999999999933E-2</v>
      </c>
      <c r="Q44" s="50">
        <f t="shared" si="26"/>
        <v>3.0000000000000027E-2</v>
      </c>
      <c r="AS44" s="5"/>
    </row>
    <row r="45" spans="1:54" x14ac:dyDescent="0.35">
      <c r="A45" s="36" t="s">
        <v>49</v>
      </c>
      <c r="B45" s="48">
        <f>IFERROR(VLOOKUP(CONCATENATE($A45,$BC$9,$A$38,$B$11),SexAge!$A:$S,18,FALSE),0)</f>
        <v>0.38</v>
      </c>
      <c r="C45" s="49">
        <f>IFERROR(VLOOKUP(CONCATENATE($A45,$BC$9,$A$38,$B$11),SexAge!$A:$S,17,FALSE),0)</f>
        <v>0.41</v>
      </c>
      <c r="D45" s="50">
        <f>IFERROR(VLOOKUP(CONCATENATE($A45,$BC$9,$A$38,$B$11),SexAge!$A:$S,19,FALSE),0)</f>
        <v>0.44</v>
      </c>
      <c r="E45" s="48">
        <f>IFERROR(VLOOKUP(CONCATENATE($A45,$BC$9,$A$38,$E$11),SexAge!$A:$S,18,FALSE),0)</f>
        <v>0.64</v>
      </c>
      <c r="F45" s="49">
        <f>IFERROR(VLOOKUP(CONCATENATE($A45,$BC$9,$A$38,$E$11),SexAge!$A:$S,17,FALSE),0)</f>
        <v>0.66</v>
      </c>
      <c r="G45" s="50">
        <f>IFERROR(VLOOKUP(CONCATENATE($A45,$BC$9,$A$38,$E$11),SexAge!$A:$S,19,FALSE),0)</f>
        <v>0.68</v>
      </c>
      <c r="H45" s="48">
        <f>IFERROR(VLOOKUP(CONCATENATE($A45,$BC$9,$A$38,$H$11),SexAge!$A:$S,18,FALSE),0)</f>
        <v>0.62</v>
      </c>
      <c r="I45" s="49">
        <f>IFERROR(VLOOKUP(CONCATENATE($A45,$BC$9,$A$38,$H$11),SexAge!$A:$S,17,FALSE),0)</f>
        <v>0.66</v>
      </c>
      <c r="J45" s="50">
        <f>IFERROR(VLOOKUP(CONCATENATE($A45,$BC$9,$A$38,$H$11),SexAge!$A:$S,19,FALSE),0)</f>
        <v>0.69</v>
      </c>
      <c r="L45" s="51">
        <f t="shared" si="21"/>
        <v>3.0000000000000027E-2</v>
      </c>
      <c r="M45" s="52">
        <f t="shared" si="22"/>
        <v>2.9999999999999971E-2</v>
      </c>
      <c r="N45" s="51">
        <f t="shared" si="23"/>
        <v>2.0000000000000018E-2</v>
      </c>
      <c r="O45" s="52">
        <f t="shared" si="24"/>
        <v>2.0000000000000018E-2</v>
      </c>
      <c r="P45" s="51">
        <f t="shared" si="25"/>
        <v>2.9999999999999916E-2</v>
      </c>
      <c r="Q45" s="52">
        <f t="shared" si="26"/>
        <v>4.0000000000000036E-2</v>
      </c>
      <c r="AS45" s="5"/>
    </row>
    <row r="46" spans="1:54" x14ac:dyDescent="0.35">
      <c r="A46" s="36" t="s">
        <v>124</v>
      </c>
      <c r="B46" s="48">
        <f>IFERROR(VLOOKUP(CONCATENATE($A46,$BC$9,$A$38,$B$11),SexAge!$A:$S,18,FALSE),0)</f>
        <v>0.37</v>
      </c>
      <c r="C46" s="49">
        <f>IFERROR(VLOOKUP(CONCATENATE($A46,$BC$9,$A$38,$B$11),SexAge!$A:$S,17,FALSE),0)</f>
        <v>0.39</v>
      </c>
      <c r="D46" s="50">
        <f>IFERROR(VLOOKUP(CONCATENATE($A46,$BC$9,$A$38,$B$11),SexAge!$A:$S,19,FALSE),0)</f>
        <v>0.43</v>
      </c>
      <c r="E46" s="48">
        <f>IFERROR(VLOOKUP(CONCATENATE($A46,$BC$9,$A$38,$E$11),SexAge!$A:$S,18,FALSE),0)</f>
        <v>0.63</v>
      </c>
      <c r="F46" s="49">
        <f>IFERROR(VLOOKUP(CONCATENATE($A46,$BC$9,$A$38,$E$11),SexAge!$A:$S,17,FALSE),0)</f>
        <v>0.65</v>
      </c>
      <c r="G46" s="50">
        <f>IFERROR(VLOOKUP(CONCATENATE($A46,$BC$9,$A$38,$E$11),SexAge!$A:$S,19,FALSE),0)</f>
        <v>0.67</v>
      </c>
      <c r="H46" s="48">
        <f>IFERROR(VLOOKUP(CONCATENATE($A46,$BC$9,$A$38,$H$11),SexAge!$A:$S,18,FALSE),0)</f>
        <v>0.6</v>
      </c>
      <c r="I46" s="49">
        <f>IFERROR(VLOOKUP(CONCATENATE($A46,$BC$9,$A$38,$H$11),SexAge!$A:$S,17,FALSE),0)</f>
        <v>0.64</v>
      </c>
      <c r="J46" s="50">
        <f>IFERROR(VLOOKUP(CONCATENATE($A46,$BC$9,$A$38,$H$11),SexAge!$A:$S,19,FALSE),0)</f>
        <v>0.67</v>
      </c>
      <c r="L46" s="51">
        <f t="shared" ref="L46:L48" si="27">D46-C46</f>
        <v>3.999999999999998E-2</v>
      </c>
      <c r="M46" s="52">
        <f t="shared" ref="M46:M48" si="28">C46-B46</f>
        <v>2.0000000000000018E-2</v>
      </c>
      <c r="N46" s="51">
        <f t="shared" ref="N46:N48" si="29">G46-F46</f>
        <v>2.0000000000000018E-2</v>
      </c>
      <c r="O46" s="52">
        <f t="shared" ref="O46:O48" si="30">F46-E46</f>
        <v>2.0000000000000018E-2</v>
      </c>
      <c r="P46" s="51">
        <f t="shared" ref="P46:P48" si="31">J46-I46</f>
        <v>3.0000000000000027E-2</v>
      </c>
      <c r="Q46" s="52">
        <f t="shared" ref="Q46:Q48" si="32">I46-H46</f>
        <v>4.0000000000000036E-2</v>
      </c>
      <c r="AS46" s="5"/>
    </row>
    <row r="47" spans="1:54" x14ac:dyDescent="0.35">
      <c r="A47" s="36" t="s">
        <v>125</v>
      </c>
      <c r="B47" s="48">
        <f>IFERROR(VLOOKUP(CONCATENATE($A47,$BC$9,$A$38,$B$11),SexAge!$A:$S,18,FALSE),0)</f>
        <v>0.38</v>
      </c>
      <c r="C47" s="49">
        <f>IFERROR(VLOOKUP(CONCATENATE($A47,$BC$9,$A$38,$B$11),SexAge!$A:$S,17,FALSE),0)</f>
        <v>0.42</v>
      </c>
      <c r="D47" s="50">
        <f>IFERROR(VLOOKUP(CONCATENATE($A47,$BC$9,$A$38,$B$11),SexAge!$A:$S,19,FALSE),0)</f>
        <v>0.45</v>
      </c>
      <c r="E47" s="48">
        <f>IFERROR(VLOOKUP(CONCATENATE($A47,$BC$9,$A$38,$E$11),SexAge!$A:$S,18,FALSE),0)</f>
        <v>0.65</v>
      </c>
      <c r="F47" s="49">
        <f>IFERROR(VLOOKUP(CONCATENATE($A47,$BC$9,$A$38,$E$11),SexAge!$A:$S,17,FALSE),0)</f>
        <v>0.68</v>
      </c>
      <c r="G47" s="50">
        <f>IFERROR(VLOOKUP(CONCATENATE($A47,$BC$9,$A$38,$E$11),SexAge!$A:$S,19,FALSE),0)</f>
        <v>0.7</v>
      </c>
      <c r="H47" s="48">
        <f>IFERROR(VLOOKUP(CONCATENATE($A47,$BC$9,$A$38,$H$11),SexAge!$A:$S,18,FALSE),0)</f>
        <v>0.63</v>
      </c>
      <c r="I47" s="49">
        <f>IFERROR(VLOOKUP(CONCATENATE($A47,$BC$9,$A$38,$H$11),SexAge!$A:$S,17,FALSE),0)</f>
        <v>0.67</v>
      </c>
      <c r="J47" s="50">
        <f>IFERROR(VLOOKUP(CONCATENATE($A47,$BC$9,$A$38,$H$11),SexAge!$A:$S,19,FALSE),0)</f>
        <v>0.7</v>
      </c>
      <c r="L47" s="51">
        <f t="shared" si="27"/>
        <v>3.0000000000000027E-2</v>
      </c>
      <c r="M47" s="52">
        <f t="shared" si="28"/>
        <v>3.999999999999998E-2</v>
      </c>
      <c r="N47" s="51">
        <f t="shared" si="29"/>
        <v>1.9999999999999907E-2</v>
      </c>
      <c r="O47" s="52">
        <f t="shared" si="30"/>
        <v>3.0000000000000027E-2</v>
      </c>
      <c r="P47" s="51">
        <f t="shared" si="31"/>
        <v>2.9999999999999916E-2</v>
      </c>
      <c r="Q47" s="52">
        <f t="shared" si="32"/>
        <v>4.0000000000000036E-2</v>
      </c>
      <c r="AS47" s="5"/>
    </row>
    <row r="48" spans="1:54" x14ac:dyDescent="0.35">
      <c r="A48" s="36" t="s">
        <v>126</v>
      </c>
      <c r="B48" s="48">
        <f>IFERROR(VLOOKUP(CONCATENATE($A48,$BC$9,$A$38,$B$11),SexAge!$A:$S,18,FALSE),0)</f>
        <v>0.42</v>
      </c>
      <c r="C48" s="49">
        <f>IFERROR(VLOOKUP(CONCATENATE($A48,$BC$9,$A$38,$B$11),SexAge!$A:$S,17,FALSE),0)</f>
        <v>0.45</v>
      </c>
      <c r="D48" s="50">
        <f>IFERROR(VLOOKUP(CONCATENATE($A48,$BC$9,$A$38,$B$11),SexAge!$A:$S,19,FALSE),0)</f>
        <v>0.49</v>
      </c>
      <c r="E48" s="48">
        <f>IFERROR(VLOOKUP(CONCATENATE($A48,$BC$9,$A$38,$E$11),SexAge!$A:$S,18,FALSE),0)</f>
        <v>0.68</v>
      </c>
      <c r="F48" s="49">
        <f>IFERROR(VLOOKUP(CONCATENATE($A48,$BC$9,$A$38,$E$11),SexAge!$A:$S,17,FALSE),0)</f>
        <v>0.7</v>
      </c>
      <c r="G48" s="50">
        <f>IFERROR(VLOOKUP(CONCATENATE($A48,$BC$9,$A$38,$E$11),SexAge!$A:$S,19,FALSE),0)</f>
        <v>0.72</v>
      </c>
      <c r="H48" s="48">
        <f>IFERROR(VLOOKUP(CONCATENATE($A48,$BC$9,$A$38,$H$11),SexAge!$A:$S,18,FALSE),0)</f>
        <v>0.64</v>
      </c>
      <c r="I48" s="49">
        <f>IFERROR(VLOOKUP(CONCATENATE($A48,$BC$9,$A$38,$H$11),SexAge!$A:$S,17,FALSE),0)</f>
        <v>0.69</v>
      </c>
      <c r="J48" s="50">
        <f>IFERROR(VLOOKUP(CONCATENATE($A48,$BC$9,$A$38,$H$11),SexAge!$A:$S,19,FALSE),0)</f>
        <v>0.72</v>
      </c>
      <c r="L48" s="51">
        <f t="shared" si="27"/>
        <v>3.999999999999998E-2</v>
      </c>
      <c r="M48" s="52">
        <f t="shared" si="28"/>
        <v>3.0000000000000027E-2</v>
      </c>
      <c r="N48" s="51">
        <f t="shared" si="29"/>
        <v>2.0000000000000018E-2</v>
      </c>
      <c r="O48" s="52">
        <f t="shared" si="30"/>
        <v>1.9999999999999907E-2</v>
      </c>
      <c r="P48" s="51">
        <f t="shared" si="31"/>
        <v>3.0000000000000027E-2</v>
      </c>
      <c r="Q48" s="52">
        <f t="shared" si="32"/>
        <v>4.9999999999999933E-2</v>
      </c>
    </row>
    <row r="49" spans="1:54" x14ac:dyDescent="0.35">
      <c r="A49" s="25"/>
      <c r="B49" s="25"/>
      <c r="C49" s="26"/>
      <c r="D49" s="27"/>
      <c r="E49" s="25"/>
      <c r="F49" s="26"/>
      <c r="G49" s="27"/>
      <c r="H49" s="25"/>
      <c r="I49" s="26"/>
      <c r="J49" s="27"/>
    </row>
    <row r="50" spans="1:54" ht="25.25" customHeight="1" x14ac:dyDescent="0.35">
      <c r="A50" s="130" t="s">
        <v>42</v>
      </c>
      <c r="B50" s="191" t="s">
        <v>56</v>
      </c>
      <c r="C50" s="191"/>
      <c r="D50" s="192"/>
      <c r="E50" s="191" t="s">
        <v>57</v>
      </c>
      <c r="F50" s="191"/>
      <c r="G50" s="192"/>
      <c r="H50" s="193" t="s">
        <v>58</v>
      </c>
      <c r="I50" s="191"/>
      <c r="J50" s="192"/>
      <c r="L50" s="189" t="s">
        <v>56</v>
      </c>
      <c r="M50" s="190"/>
      <c r="N50" s="189" t="s">
        <v>57</v>
      </c>
      <c r="O50" s="190"/>
      <c r="P50" s="189" t="s">
        <v>58</v>
      </c>
      <c r="Q50" s="190"/>
    </row>
    <row r="51" spans="1:54" ht="25.25" customHeight="1" x14ac:dyDescent="0.35">
      <c r="A51" s="131" t="s">
        <v>33</v>
      </c>
      <c r="B51" s="39" t="s">
        <v>34</v>
      </c>
      <c r="C51" s="39" t="s">
        <v>35</v>
      </c>
      <c r="D51" s="43" t="s">
        <v>36</v>
      </c>
      <c r="E51" s="39" t="s">
        <v>34</v>
      </c>
      <c r="F51" s="39" t="s">
        <v>35</v>
      </c>
      <c r="G51" s="43" t="s">
        <v>36</v>
      </c>
      <c r="H51" s="39" t="s">
        <v>34</v>
      </c>
      <c r="I51" s="39" t="s">
        <v>35</v>
      </c>
      <c r="J51" s="43" t="s">
        <v>36</v>
      </c>
      <c r="L51" s="69" t="s">
        <v>41</v>
      </c>
      <c r="M51" s="65" t="s">
        <v>40</v>
      </c>
      <c r="N51" s="69" t="s">
        <v>41</v>
      </c>
      <c r="O51" s="65" t="s">
        <v>40</v>
      </c>
      <c r="P51" s="69" t="s">
        <v>41</v>
      </c>
      <c r="Q51" s="65" t="s">
        <v>40</v>
      </c>
    </row>
    <row r="52" spans="1:54" x14ac:dyDescent="0.35">
      <c r="A52" s="38" t="s">
        <v>39</v>
      </c>
      <c r="B52" s="45">
        <f>IFERROR(VLOOKUP(CONCATENATE($A52,$BC$9,$A$50,$B$11),SexAge!$A:$S,18,FALSE),0)</f>
        <v>0.59</v>
      </c>
      <c r="C52" s="46">
        <f>IFERROR(VLOOKUP(CONCATENATE($A52,$BC$9,$A$50,$B$11),SexAge!$A:$S,17,FALSE),0)</f>
        <v>0.62</v>
      </c>
      <c r="D52" s="47">
        <f>IFERROR(VLOOKUP(CONCATENATE($A52,$BC$9,$A$50,$B$11),SexAge!$A:$S,19,FALSE),0)</f>
        <v>0.65</v>
      </c>
      <c r="E52" s="45">
        <f>IFERROR(VLOOKUP(CONCATENATE($A52,$BC$9,$A$50,$E$11),SexAge!$A:$S,18,FALSE),0)</f>
        <v>0.61</v>
      </c>
      <c r="F52" s="46">
        <f>IFERROR(VLOOKUP(CONCATENATE($A52,$BC$9,$A$50,$E$11),SexAge!$A:$S,17,FALSE),0)</f>
        <v>0.64</v>
      </c>
      <c r="G52" s="47">
        <f>IFERROR(VLOOKUP(CONCATENATE($A52,$BC$9,$A$50,$E$11),SexAge!$A:$S,19,FALSE),0)</f>
        <v>0.67</v>
      </c>
      <c r="H52" s="45">
        <f>IFERROR(VLOOKUP(CONCATENATE($A52,$BC$9,$A$50,$H$11),SexAge!$A:$S,18,FALSE),0)</f>
        <v>0.4</v>
      </c>
      <c r="I52" s="46">
        <f>IFERROR(VLOOKUP(CONCATENATE($A52,$BC$9,$A$50,$H$11),SexAge!$A:$S,17,FALSE),0)</f>
        <v>0.47</v>
      </c>
      <c r="J52" s="47">
        <f>IFERROR(VLOOKUP(CONCATENATE($A52,$BC$9,$A$50,$H$11),SexAge!$A:$S,19,FALSE),0)</f>
        <v>0.51</v>
      </c>
      <c r="L52" s="45">
        <f>D52-C52</f>
        <v>3.0000000000000027E-2</v>
      </c>
      <c r="M52" s="47">
        <f>C52-B52</f>
        <v>3.0000000000000027E-2</v>
      </c>
      <c r="N52" s="45">
        <f>G52-F52</f>
        <v>3.0000000000000027E-2</v>
      </c>
      <c r="O52" s="47">
        <f>F52-E52</f>
        <v>3.0000000000000027E-2</v>
      </c>
      <c r="P52" s="45">
        <f>J52-I52</f>
        <v>4.0000000000000036E-2</v>
      </c>
      <c r="Q52" s="47">
        <f>I52-H52</f>
        <v>6.9999999999999951E-2</v>
      </c>
      <c r="AS52" s="57"/>
      <c r="BB52" s="4"/>
    </row>
    <row r="53" spans="1:54" x14ac:dyDescent="0.35">
      <c r="A53" s="36" t="s">
        <v>44</v>
      </c>
      <c r="B53" s="48">
        <f>IFERROR(VLOOKUP(CONCATENATE($A53,$BC$9,$A$50,$B$11),SexAge!$A:$S,18,FALSE),0)</f>
        <v>0.59</v>
      </c>
      <c r="C53" s="49">
        <f>IFERROR(VLOOKUP(CONCATENATE($A53,$BC$9,$A$50,$B$11),SexAge!$A:$S,17,FALSE),0)</f>
        <v>0.62</v>
      </c>
      <c r="D53" s="50">
        <f>IFERROR(VLOOKUP(CONCATENATE($A53,$BC$9,$A$50,$B$11),SexAge!$A:$S,19,FALSE),0)</f>
        <v>0.65</v>
      </c>
      <c r="E53" s="48">
        <f>IFERROR(VLOOKUP(CONCATENATE($A53,$BC$9,$A$50,$E$11),SexAge!$A:$S,18,FALSE),0)</f>
        <v>0.64</v>
      </c>
      <c r="F53" s="49">
        <f>IFERROR(VLOOKUP(CONCATENATE($A53,$BC$9,$A$50,$E$11),SexAge!$A:$S,17,FALSE),0)</f>
        <v>0.67</v>
      </c>
      <c r="G53" s="50">
        <f>IFERROR(VLOOKUP(CONCATENATE($A53,$BC$9,$A$50,$E$11),SexAge!$A:$S,19,FALSE),0)</f>
        <v>0.69</v>
      </c>
      <c r="H53" s="48">
        <f>IFERROR(VLOOKUP(CONCATENATE($A53,$BC$9,$A$50,$H$11),SexAge!$A:$S,18,FALSE),0)</f>
        <v>0.46</v>
      </c>
      <c r="I53" s="49">
        <f>IFERROR(VLOOKUP(CONCATENATE($A53,$BC$9,$A$50,$H$11),SexAge!$A:$S,17,FALSE),0)</f>
        <v>0.49</v>
      </c>
      <c r="J53" s="50">
        <f>IFERROR(VLOOKUP(CONCATENATE($A53,$BC$9,$A$50,$H$11),SexAge!$A:$S,19,FALSE),0)</f>
        <v>0.57999999999999996</v>
      </c>
      <c r="L53" s="48">
        <f t="shared" ref="L53:L57" si="33">D53-C53</f>
        <v>3.0000000000000027E-2</v>
      </c>
      <c r="M53" s="50">
        <f t="shared" ref="M53:M57" si="34">C53-B53</f>
        <v>3.0000000000000027E-2</v>
      </c>
      <c r="N53" s="48">
        <f t="shared" ref="N53:N57" si="35">G53-F53</f>
        <v>1.9999999999999907E-2</v>
      </c>
      <c r="O53" s="50">
        <f t="shared" ref="O53:O57" si="36">F53-E53</f>
        <v>3.0000000000000027E-2</v>
      </c>
      <c r="P53" s="48">
        <f t="shared" ref="P53:P57" si="37">J53-I53</f>
        <v>8.9999999999999969E-2</v>
      </c>
      <c r="Q53" s="50">
        <f t="shared" ref="Q53:Q57" si="38">I53-H53</f>
        <v>2.9999999999999971E-2</v>
      </c>
      <c r="AS53" s="57"/>
      <c r="BB53" s="4"/>
    </row>
    <row r="54" spans="1:54" x14ac:dyDescent="0.35">
      <c r="A54" s="36" t="s">
        <v>46</v>
      </c>
      <c r="B54" s="48">
        <f>IFERROR(VLOOKUP(CONCATENATE($A54,$BC$9,$A$50,$B$11),SexAge!$A:$S,18,FALSE),0)</f>
        <v>0.6</v>
      </c>
      <c r="C54" s="49">
        <f>IFERROR(VLOOKUP(CONCATENATE($A54,$BC$9,$A$50,$B$11),SexAge!$A:$S,17,FALSE),0)</f>
        <v>0.63</v>
      </c>
      <c r="D54" s="50">
        <f>IFERROR(VLOOKUP(CONCATENATE($A54,$BC$9,$A$50,$B$11),SexAge!$A:$S,19,FALSE),0)</f>
        <v>0.67</v>
      </c>
      <c r="E54" s="48">
        <f>IFERROR(VLOOKUP(CONCATENATE($A54,$BC$9,$A$50,$E$11),SexAge!$A:$S,18,FALSE),0)</f>
        <v>0.66</v>
      </c>
      <c r="F54" s="49">
        <f>IFERROR(VLOOKUP(CONCATENATE($A54,$BC$9,$A$50,$E$11),SexAge!$A:$S,17,FALSE),0)</f>
        <v>0.69</v>
      </c>
      <c r="G54" s="50">
        <f>IFERROR(VLOOKUP(CONCATENATE($A54,$BC$9,$A$50,$E$11),SexAge!$A:$S,19,FALSE),0)</f>
        <v>0.71</v>
      </c>
      <c r="H54" s="48">
        <f>IFERROR(VLOOKUP(CONCATENATE($A54,$BC$9,$A$50,$H$11),SexAge!$A:$S,18,FALSE),0)</f>
        <v>0.47</v>
      </c>
      <c r="I54" s="49">
        <f>IFERROR(VLOOKUP(CONCATENATE($A54,$BC$9,$A$50,$H$11),SexAge!$A:$S,17,FALSE),0)</f>
        <v>0.54</v>
      </c>
      <c r="J54" s="50">
        <f>IFERROR(VLOOKUP(CONCATENATE($A54,$BC$9,$A$50,$H$11),SexAge!$A:$S,19,FALSE),0)</f>
        <v>0.57999999999999996</v>
      </c>
      <c r="L54" s="48">
        <f t="shared" si="33"/>
        <v>4.0000000000000036E-2</v>
      </c>
      <c r="M54" s="50">
        <f t="shared" si="34"/>
        <v>3.0000000000000027E-2</v>
      </c>
      <c r="N54" s="48">
        <f t="shared" si="35"/>
        <v>2.0000000000000018E-2</v>
      </c>
      <c r="O54" s="50">
        <f t="shared" si="36"/>
        <v>2.9999999999999916E-2</v>
      </c>
      <c r="P54" s="48">
        <f t="shared" si="37"/>
        <v>3.9999999999999925E-2</v>
      </c>
      <c r="Q54" s="50">
        <f t="shared" si="38"/>
        <v>7.0000000000000062E-2</v>
      </c>
      <c r="AS54" s="57"/>
      <c r="BB54" s="4"/>
    </row>
    <row r="55" spans="1:54" x14ac:dyDescent="0.35">
      <c r="A55" s="36" t="s">
        <v>47</v>
      </c>
      <c r="B55" s="48">
        <f>IFERROR(VLOOKUP(CONCATENATE($A55,$BC$9,$A$50,$B$11),SexAge!$A:$S,18,FALSE),0)</f>
        <v>0.61</v>
      </c>
      <c r="C55" s="49">
        <f>IFERROR(VLOOKUP(CONCATENATE($A55,$BC$9,$A$50,$B$11),SexAge!$A:$S,17,FALSE),0)</f>
        <v>0.64</v>
      </c>
      <c r="D55" s="50">
        <f>IFERROR(VLOOKUP(CONCATENATE($A55,$BC$9,$A$50,$B$11),SexAge!$A:$S,19,FALSE),0)</f>
        <v>0.67</v>
      </c>
      <c r="E55" s="48">
        <f>IFERROR(VLOOKUP(CONCATENATE($A55,$BC$9,$A$50,$E$11),SexAge!$A:$S,18,FALSE),0)</f>
        <v>0.69</v>
      </c>
      <c r="F55" s="49">
        <f>IFERROR(VLOOKUP(CONCATENATE($A55,$BC$9,$A$50,$E$11),SexAge!$A:$S,17,FALSE),0)</f>
        <v>0.71</v>
      </c>
      <c r="G55" s="50">
        <f>IFERROR(VLOOKUP(CONCATENATE($A55,$BC$9,$A$50,$E$11),SexAge!$A:$S,19,FALSE),0)</f>
        <v>0.74</v>
      </c>
      <c r="H55" s="48">
        <f>IFERROR(VLOOKUP(CONCATENATE($A55,$BC$9,$A$50,$H$11),SexAge!$A:$S,18,FALSE),0)</f>
        <v>0.57999999999999996</v>
      </c>
      <c r="I55" s="49">
        <f>IFERROR(VLOOKUP(CONCATENATE($A55,$BC$9,$A$50,$H$11),SexAge!$A:$S,17,FALSE),0)</f>
        <v>0.62</v>
      </c>
      <c r="J55" s="50">
        <f>IFERROR(VLOOKUP(CONCATENATE($A55,$BC$9,$A$50,$H$11),SexAge!$A:$S,19,FALSE),0)</f>
        <v>0.67</v>
      </c>
      <c r="L55" s="48">
        <f t="shared" si="33"/>
        <v>3.0000000000000027E-2</v>
      </c>
      <c r="M55" s="50">
        <f t="shared" si="34"/>
        <v>3.0000000000000027E-2</v>
      </c>
      <c r="N55" s="48">
        <f t="shared" si="35"/>
        <v>3.0000000000000027E-2</v>
      </c>
      <c r="O55" s="50">
        <f t="shared" si="36"/>
        <v>2.0000000000000018E-2</v>
      </c>
      <c r="P55" s="48">
        <f t="shared" si="37"/>
        <v>5.0000000000000044E-2</v>
      </c>
      <c r="Q55" s="50">
        <f t="shared" si="38"/>
        <v>4.0000000000000036E-2</v>
      </c>
    </row>
    <row r="56" spans="1:54" x14ac:dyDescent="0.35">
      <c r="A56" s="36" t="s">
        <v>48</v>
      </c>
      <c r="B56" s="48">
        <f>IFERROR(VLOOKUP(CONCATENATE($A56,$BC$9,$A$50,$B$11),SexAge!$A:$S,18,FALSE),0)</f>
        <v>0.56999999999999995</v>
      </c>
      <c r="C56" s="49">
        <f>IFERROR(VLOOKUP(CONCATENATE($A56,$BC$9,$A$50,$B$11),SexAge!$A:$S,17,FALSE),0)</f>
        <v>0.6</v>
      </c>
      <c r="D56" s="50">
        <f>IFERROR(VLOOKUP(CONCATENATE($A56,$BC$9,$A$50,$B$11),SexAge!$A:$S,19,FALSE),0)</f>
        <v>0.63</v>
      </c>
      <c r="E56" s="48">
        <f>IFERROR(VLOOKUP(CONCATENATE($A56,$BC$9,$A$50,$E$11),SexAge!$A:$S,18,FALSE),0)</f>
        <v>0.69</v>
      </c>
      <c r="F56" s="49">
        <f>IFERROR(VLOOKUP(CONCATENATE($A56,$BC$9,$A$50,$E$11),SexAge!$A:$S,17,FALSE),0)</f>
        <v>0.71</v>
      </c>
      <c r="G56" s="50">
        <f>IFERROR(VLOOKUP(CONCATENATE($A56,$BC$9,$A$50,$E$11),SexAge!$A:$S,19,FALSE),0)</f>
        <v>0.73</v>
      </c>
      <c r="H56" s="48">
        <f>IFERROR(VLOOKUP(CONCATENATE($A56,$BC$9,$A$50,$H$11),SexAge!$A:$S,18,FALSE),0)</f>
        <v>0.56000000000000005</v>
      </c>
      <c r="I56" s="49">
        <f>IFERROR(VLOOKUP(CONCATENATE($A56,$BC$9,$A$50,$H$11),SexAge!$A:$S,17,FALSE),0)</f>
        <v>0.59</v>
      </c>
      <c r="J56" s="50">
        <f>IFERROR(VLOOKUP(CONCATENATE($A56,$BC$9,$A$50,$H$11),SexAge!$A:$S,19,FALSE),0)</f>
        <v>0.63</v>
      </c>
      <c r="L56" s="48">
        <f t="shared" si="33"/>
        <v>3.0000000000000027E-2</v>
      </c>
      <c r="M56" s="50">
        <f t="shared" si="34"/>
        <v>3.0000000000000027E-2</v>
      </c>
      <c r="N56" s="48">
        <f t="shared" si="35"/>
        <v>2.0000000000000018E-2</v>
      </c>
      <c r="O56" s="50">
        <f t="shared" si="36"/>
        <v>2.0000000000000018E-2</v>
      </c>
      <c r="P56" s="48">
        <f t="shared" si="37"/>
        <v>4.0000000000000036E-2</v>
      </c>
      <c r="Q56" s="50">
        <f t="shared" si="38"/>
        <v>2.9999999999999916E-2</v>
      </c>
    </row>
    <row r="57" spans="1:54" x14ac:dyDescent="0.35">
      <c r="A57" s="36" t="s">
        <v>49</v>
      </c>
      <c r="B57" s="48">
        <f>IFERROR(VLOOKUP(CONCATENATE($A57,$BC$9,$A$50,$B$11),SexAge!$A:$S,18,FALSE),0)</f>
        <v>0.52</v>
      </c>
      <c r="C57" s="49">
        <f>IFERROR(VLOOKUP(CONCATENATE($A57,$BC$9,$A$50,$B$11),SexAge!$A:$S,17,FALSE),0)</f>
        <v>0.56000000000000005</v>
      </c>
      <c r="D57" s="50">
        <f>IFERROR(VLOOKUP(CONCATENATE($A57,$BC$9,$A$50,$B$11),SexAge!$A:$S,19,FALSE),0)</f>
        <v>0.59</v>
      </c>
      <c r="E57" s="48">
        <f>IFERROR(VLOOKUP(CONCATENATE($A57,$BC$9,$A$50,$E$11),SexAge!$A:$S,18,FALSE),0)</f>
        <v>0.67</v>
      </c>
      <c r="F57" s="49">
        <f>IFERROR(VLOOKUP(CONCATENATE($A57,$BC$9,$A$50,$E$11),SexAge!$A:$S,17,FALSE),0)</f>
        <v>0.69</v>
      </c>
      <c r="G57" s="50">
        <f>IFERROR(VLOOKUP(CONCATENATE($A57,$BC$9,$A$50,$E$11),SexAge!$A:$S,19,FALSE),0)</f>
        <v>0.72</v>
      </c>
      <c r="H57" s="48">
        <f>IFERROR(VLOOKUP(CONCATENATE($A57,$BC$9,$A$50,$H$11),SexAge!$A:$S,18,FALSE),0)</f>
        <v>0.59</v>
      </c>
      <c r="I57" s="49">
        <f>IFERROR(VLOOKUP(CONCATENATE($A57,$BC$9,$A$50,$H$11),SexAge!$A:$S,17,FALSE),0)</f>
        <v>0.62</v>
      </c>
      <c r="J57" s="50">
        <f>IFERROR(VLOOKUP(CONCATENATE($A57,$BC$9,$A$50,$H$11),SexAge!$A:$S,19,FALSE),0)</f>
        <v>0.68</v>
      </c>
      <c r="L57" s="51">
        <f t="shared" si="33"/>
        <v>2.9999999999999916E-2</v>
      </c>
      <c r="M57" s="52">
        <f t="shared" si="34"/>
        <v>4.0000000000000036E-2</v>
      </c>
      <c r="N57" s="51">
        <f t="shared" si="35"/>
        <v>3.0000000000000027E-2</v>
      </c>
      <c r="O57" s="52">
        <f t="shared" si="36"/>
        <v>1.9999999999999907E-2</v>
      </c>
      <c r="P57" s="51">
        <f t="shared" si="37"/>
        <v>6.0000000000000053E-2</v>
      </c>
      <c r="Q57" s="52">
        <f t="shared" si="38"/>
        <v>3.0000000000000027E-2</v>
      </c>
    </row>
    <row r="58" spans="1:54" x14ac:dyDescent="0.35">
      <c r="A58" s="36" t="s">
        <v>124</v>
      </c>
      <c r="B58" s="48">
        <f>IFERROR(VLOOKUP(CONCATENATE($A58,$BC$9,$A$50,$B$11),SexAge!$A:$S,18,FALSE),0)</f>
        <v>0.51</v>
      </c>
      <c r="C58" s="49">
        <f>IFERROR(VLOOKUP(CONCATENATE($A58,$BC$9,$A$50,$B$11),SexAge!$A:$S,17,FALSE),0)</f>
        <v>0.54</v>
      </c>
      <c r="D58" s="50">
        <f>IFERROR(VLOOKUP(CONCATENATE($A58,$BC$9,$A$50,$B$11),SexAge!$A:$S,19,FALSE),0)</f>
        <v>0.57999999999999996</v>
      </c>
      <c r="E58" s="48">
        <f>IFERROR(VLOOKUP(CONCATENATE($A58,$BC$9,$A$50,$E$11),SexAge!$A:$S,18,FALSE),0)</f>
        <v>0.67</v>
      </c>
      <c r="F58" s="49">
        <f>IFERROR(VLOOKUP(CONCATENATE($A58,$BC$9,$A$50,$E$11),SexAge!$A:$S,17,FALSE),0)</f>
        <v>0.69</v>
      </c>
      <c r="G58" s="50">
        <f>IFERROR(VLOOKUP(CONCATENATE($A58,$BC$9,$A$50,$E$11),SexAge!$A:$S,19,FALSE),0)</f>
        <v>0.72</v>
      </c>
      <c r="H58" s="48">
        <f>IFERROR(VLOOKUP(CONCATENATE($A58,$BC$9,$A$50,$H$11),SexAge!$A:$S,18,FALSE),0)</f>
        <v>0.55000000000000004</v>
      </c>
      <c r="I58" s="49">
        <f>IFERROR(VLOOKUP(CONCATENATE($A58,$BC$9,$A$50,$H$11),SexAge!$A:$S,17,FALSE),0)</f>
        <v>0.6</v>
      </c>
      <c r="J58" s="50">
        <f>IFERROR(VLOOKUP(CONCATENATE($A58,$BC$9,$A$50,$H$11),SexAge!$A:$S,19,FALSE),0)</f>
        <v>0.65</v>
      </c>
      <c r="L58" s="51">
        <f t="shared" ref="L58:L60" si="39">D58-C58</f>
        <v>3.9999999999999925E-2</v>
      </c>
      <c r="M58" s="52">
        <f t="shared" ref="M58:M60" si="40">C58-B58</f>
        <v>3.0000000000000027E-2</v>
      </c>
      <c r="N58" s="51">
        <f t="shared" ref="N58:N60" si="41">G58-F58</f>
        <v>3.0000000000000027E-2</v>
      </c>
      <c r="O58" s="52">
        <f t="shared" ref="O58:O60" si="42">F58-E58</f>
        <v>1.9999999999999907E-2</v>
      </c>
      <c r="P58" s="51">
        <f t="shared" ref="P58:P60" si="43">J58-I58</f>
        <v>5.0000000000000044E-2</v>
      </c>
      <c r="Q58" s="52">
        <f t="shared" ref="Q58:Q60" si="44">I58-H58</f>
        <v>4.9999999999999933E-2</v>
      </c>
    </row>
    <row r="59" spans="1:54" x14ac:dyDescent="0.35">
      <c r="A59" s="36" t="s">
        <v>125</v>
      </c>
      <c r="B59" s="48">
        <f>IFERROR(VLOOKUP(CONCATENATE($A59,$BC$9,$A$50,$B$11),SexAge!$A:$S,18,FALSE),0)</f>
        <v>0.5</v>
      </c>
      <c r="C59" s="49">
        <f>IFERROR(VLOOKUP(CONCATENATE($A59,$BC$9,$A$50,$B$11),SexAge!$A:$S,17,FALSE),0)</f>
        <v>0.54</v>
      </c>
      <c r="D59" s="50">
        <f>IFERROR(VLOOKUP(CONCATENATE($A59,$BC$9,$A$50,$B$11),SexAge!$A:$S,19,FALSE),0)</f>
        <v>0.57999999999999996</v>
      </c>
      <c r="E59" s="48">
        <f>IFERROR(VLOOKUP(CONCATENATE($A59,$BC$9,$A$50,$E$11),SexAge!$A:$S,18,FALSE),0)</f>
        <v>0.7</v>
      </c>
      <c r="F59" s="49">
        <f>IFERROR(VLOOKUP(CONCATENATE($A59,$BC$9,$A$50,$E$11),SexAge!$A:$S,17,FALSE),0)</f>
        <v>0.73</v>
      </c>
      <c r="G59" s="50">
        <f>IFERROR(VLOOKUP(CONCATENATE($A59,$BC$9,$A$50,$E$11),SexAge!$A:$S,19,FALSE),0)</f>
        <v>0.75</v>
      </c>
      <c r="H59" s="48">
        <f>IFERROR(VLOOKUP(CONCATENATE($A59,$BC$9,$A$50,$H$11),SexAge!$A:$S,18,FALSE),0)</f>
        <v>0.6</v>
      </c>
      <c r="I59" s="49">
        <f>IFERROR(VLOOKUP(CONCATENATE($A59,$BC$9,$A$50,$H$11),SexAge!$A:$S,17,FALSE),0)</f>
        <v>0.63</v>
      </c>
      <c r="J59" s="50">
        <f>IFERROR(VLOOKUP(CONCATENATE($A59,$BC$9,$A$50,$H$11),SexAge!$A:$S,19,FALSE),0)</f>
        <v>0.68</v>
      </c>
      <c r="L59" s="51">
        <f t="shared" si="39"/>
        <v>3.9999999999999925E-2</v>
      </c>
      <c r="M59" s="52">
        <f t="shared" si="40"/>
        <v>4.0000000000000036E-2</v>
      </c>
      <c r="N59" s="51">
        <f t="shared" si="41"/>
        <v>2.0000000000000018E-2</v>
      </c>
      <c r="O59" s="52">
        <f t="shared" si="42"/>
        <v>3.0000000000000027E-2</v>
      </c>
      <c r="P59" s="51">
        <f t="shared" si="43"/>
        <v>5.0000000000000044E-2</v>
      </c>
      <c r="Q59" s="52">
        <f t="shared" si="44"/>
        <v>3.0000000000000027E-2</v>
      </c>
    </row>
    <row r="60" spans="1:54" x14ac:dyDescent="0.35">
      <c r="A60" s="36" t="s">
        <v>126</v>
      </c>
      <c r="B60" s="48">
        <f>IFERROR(VLOOKUP(CONCATENATE($A60,$BC$9,$A$50,$B$11),SexAge!$A:$S,18,FALSE),0)</f>
        <v>0.53</v>
      </c>
      <c r="C60" s="49">
        <f>IFERROR(VLOOKUP(CONCATENATE($A60,$BC$9,$A$50,$B$11),SexAge!$A:$S,17,FALSE),0)</f>
        <v>0.56000000000000005</v>
      </c>
      <c r="D60" s="50">
        <f>IFERROR(VLOOKUP(CONCATENATE($A60,$BC$9,$A$50,$B$11),SexAge!$A:$S,19,FALSE),0)</f>
        <v>0.6</v>
      </c>
      <c r="E60" s="48">
        <f>IFERROR(VLOOKUP(CONCATENATE($A60,$BC$9,$A$50,$E$11),SexAge!$A:$S,18,FALSE),0)</f>
        <v>0.71</v>
      </c>
      <c r="F60" s="49">
        <f>IFERROR(VLOOKUP(CONCATENATE($A60,$BC$9,$A$50,$E$11),SexAge!$A:$S,17,FALSE),0)</f>
        <v>0.74</v>
      </c>
      <c r="G60" s="50">
        <f>IFERROR(VLOOKUP(CONCATENATE($A60,$BC$9,$A$50,$E$11),SexAge!$A:$S,19,FALSE),0)</f>
        <v>0.76</v>
      </c>
      <c r="H60" s="48">
        <f>IFERROR(VLOOKUP(CONCATENATE($A60,$BC$9,$A$50,$H$11),SexAge!$A:$S,18,FALSE),0)</f>
        <v>0.6</v>
      </c>
      <c r="I60" s="49">
        <f>IFERROR(VLOOKUP(CONCATENATE($A60,$BC$9,$A$50,$H$11),SexAge!$A:$S,17,FALSE),0)</f>
        <v>0.64</v>
      </c>
      <c r="J60" s="50">
        <f>IFERROR(VLOOKUP(CONCATENATE($A60,$BC$9,$A$50,$H$11),SexAge!$A:$S,19,FALSE),0)</f>
        <v>0.7</v>
      </c>
      <c r="L60" s="51">
        <f t="shared" si="39"/>
        <v>3.9999999999999925E-2</v>
      </c>
      <c r="M60" s="52">
        <f t="shared" si="40"/>
        <v>3.0000000000000027E-2</v>
      </c>
      <c r="N60" s="51">
        <f t="shared" si="41"/>
        <v>2.0000000000000018E-2</v>
      </c>
      <c r="O60" s="52">
        <f t="shared" si="42"/>
        <v>3.0000000000000027E-2</v>
      </c>
      <c r="P60" s="51">
        <f t="shared" si="43"/>
        <v>5.9999999999999942E-2</v>
      </c>
      <c r="Q60" s="52">
        <f t="shared" si="44"/>
        <v>4.0000000000000036E-2</v>
      </c>
    </row>
    <row r="61" spans="1:54" x14ac:dyDescent="0.35">
      <c r="A61" s="25"/>
      <c r="B61" s="25"/>
      <c r="C61" s="26"/>
      <c r="D61" s="27"/>
      <c r="E61" s="25"/>
      <c r="F61" s="26"/>
      <c r="G61" s="27"/>
      <c r="H61" s="25"/>
      <c r="I61" s="26"/>
      <c r="J61" s="27"/>
    </row>
    <row r="63" spans="1:54" x14ac:dyDescent="0.35">
      <c r="A63" s="10" t="s">
        <v>19</v>
      </c>
      <c r="B63" s="55"/>
      <c r="C63" s="55"/>
      <c r="D63" s="55"/>
      <c r="E63" s="55"/>
      <c r="F63" s="55"/>
      <c r="G63" s="55"/>
      <c r="H63"/>
      <c r="I63"/>
      <c r="J63"/>
    </row>
    <row r="64" spans="1:54" ht="15" customHeight="1" x14ac:dyDescent="0.35">
      <c r="A64" s="182" t="s">
        <v>75</v>
      </c>
      <c r="B64" s="182"/>
      <c r="C64" s="182"/>
      <c r="D64" s="182"/>
      <c r="E64" s="182"/>
      <c r="F64" s="182"/>
      <c r="G64" s="182"/>
      <c r="H64" s="100"/>
      <c r="I64" s="100"/>
      <c r="J64" s="100"/>
      <c r="AS64" s="57"/>
      <c r="BB64" s="4"/>
    </row>
    <row r="65" spans="1:54" ht="32" customHeight="1" x14ac:dyDescent="0.35">
      <c r="A65" s="164" t="s">
        <v>76</v>
      </c>
      <c r="B65" s="164"/>
      <c r="C65" s="164"/>
      <c r="D65" s="164"/>
      <c r="E65" s="164"/>
      <c r="F65" s="164"/>
      <c r="G65" s="164"/>
      <c r="H65" s="100"/>
      <c r="I65" s="100"/>
      <c r="J65" s="100"/>
      <c r="AS65" s="57"/>
      <c r="BB65" s="4"/>
    </row>
    <row r="66" spans="1:54" ht="54" customHeight="1" x14ac:dyDescent="0.35">
      <c r="A66" s="164" t="s">
        <v>566</v>
      </c>
      <c r="B66" s="164"/>
      <c r="C66" s="164"/>
      <c r="D66" s="164"/>
      <c r="E66" s="164"/>
      <c r="F66" s="164"/>
      <c r="G66" s="164"/>
      <c r="AS66" s="57"/>
      <c r="BB66" s="4"/>
    </row>
    <row r="67" spans="1:54" x14ac:dyDescent="0.35">
      <c r="A67" s="100"/>
      <c r="B67" s="100"/>
      <c r="C67" s="100"/>
      <c r="D67" s="100"/>
      <c r="E67" s="100"/>
      <c r="F67" s="100"/>
      <c r="G67" s="100"/>
    </row>
    <row r="68" spans="1:54" ht="15" customHeight="1" x14ac:dyDescent="0.35">
      <c r="A68" s="100"/>
      <c r="B68" s="100"/>
      <c r="C68" s="100"/>
      <c r="D68" s="100"/>
      <c r="E68" s="100"/>
      <c r="F68" s="100"/>
      <c r="G68" s="100"/>
    </row>
    <row r="69" spans="1:54" x14ac:dyDescent="0.35">
      <c r="A69" s="100"/>
      <c r="B69" s="100"/>
      <c r="C69" s="100"/>
      <c r="D69" s="100"/>
      <c r="E69" s="100"/>
      <c r="F69" s="100"/>
      <c r="G69" s="100"/>
    </row>
  </sheetData>
  <mergeCells count="31">
    <mergeCell ref="P50:Q50"/>
    <mergeCell ref="B50:D50"/>
    <mergeCell ref="E50:G50"/>
    <mergeCell ref="H50:J50"/>
    <mergeCell ref="L38:M38"/>
    <mergeCell ref="N38:O38"/>
    <mergeCell ref="L50:M50"/>
    <mergeCell ref="N50:O50"/>
    <mergeCell ref="L11:M11"/>
    <mergeCell ref="N11:O11"/>
    <mergeCell ref="P11:Q11"/>
    <mergeCell ref="B38:D38"/>
    <mergeCell ref="E38:G38"/>
    <mergeCell ref="H38:J38"/>
    <mergeCell ref="P38:Q38"/>
    <mergeCell ref="A64:G64"/>
    <mergeCell ref="A65:G65"/>
    <mergeCell ref="A66:G66"/>
    <mergeCell ref="S5:AD5"/>
    <mergeCell ref="AF5:AQ5"/>
    <mergeCell ref="B37:J37"/>
    <mergeCell ref="B10:J10"/>
    <mergeCell ref="B11:D11"/>
    <mergeCell ref="E11:G11"/>
    <mergeCell ref="H11:J11"/>
    <mergeCell ref="B23:D23"/>
    <mergeCell ref="E23:G23"/>
    <mergeCell ref="H23:J23"/>
    <mergeCell ref="L23:M23"/>
    <mergeCell ref="N23:O23"/>
    <mergeCell ref="P23:Q23"/>
  </mergeCells>
  <hyperlinks>
    <hyperlink ref="A2" location="Contents!A1" display="Back to contents" xr:uid="{31EC4FCC-D212-4B0B-9DEB-A251B794EB5E}"/>
  </hyperlink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5841" r:id="rId3" name="Drop Down 1">
              <controlPr defaultSize="0" autoLine="0" autoPict="0">
                <anchor moveWithCells="1">
                  <from>
                    <xdr:col>0</xdr:col>
                    <xdr:colOff>38100</xdr:colOff>
                    <xdr:row>5</xdr:row>
                    <xdr:rowOff>63500</xdr:rowOff>
                  </from>
                  <to>
                    <xdr:col>0</xdr:col>
                    <xdr:colOff>1441450</xdr:colOff>
                    <xdr:row>6</xdr:row>
                    <xdr:rowOff>152400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8FFE80-82BD-47EE-9700-9ECFA138613A}">
  <sheetPr codeName="Sheet8"/>
  <dimension ref="A1:AA22"/>
  <sheetViews>
    <sheetView showGridLines="0" zoomScaleNormal="100" workbookViewId="0"/>
  </sheetViews>
  <sheetFormatPr defaultRowHeight="14.5" x14ac:dyDescent="0.35"/>
  <cols>
    <col min="1" max="1" width="17.54296875" bestFit="1" customWidth="1"/>
    <col min="2" max="2" width="14.453125" customWidth="1"/>
    <col min="3" max="3" width="17.54296875" customWidth="1"/>
    <col min="4" max="4" width="25.81640625" customWidth="1"/>
    <col min="5" max="6" width="9.1796875" bestFit="1" customWidth="1"/>
    <col min="7" max="7" width="14.1796875" bestFit="1" customWidth="1"/>
    <col min="27" max="27" width="8.81640625" hidden="1" customWidth="1"/>
  </cols>
  <sheetData>
    <row r="1" spans="1:27" ht="15.5" x14ac:dyDescent="0.35">
      <c r="A1" s="5"/>
      <c r="B1" s="5"/>
      <c r="C1" s="5"/>
      <c r="D1" s="5"/>
      <c r="E1" s="5"/>
      <c r="F1" s="5"/>
      <c r="G1" s="5"/>
    </row>
    <row r="2" spans="1:27" ht="15.5" x14ac:dyDescent="0.35">
      <c r="A2" s="9" t="s">
        <v>22</v>
      </c>
      <c r="B2" s="5"/>
      <c r="C2" s="5"/>
      <c r="D2" s="5"/>
      <c r="E2" s="5"/>
      <c r="F2" s="5"/>
      <c r="G2" s="5"/>
    </row>
    <row r="3" spans="1:27" ht="17.5" x14ac:dyDescent="0.35">
      <c r="A3" s="10" t="s">
        <v>92</v>
      </c>
      <c r="B3" s="10" t="s">
        <v>93</v>
      </c>
      <c r="C3" s="5"/>
      <c r="D3" s="22"/>
      <c r="E3" s="22"/>
      <c r="F3" s="22"/>
      <c r="G3" s="22"/>
    </row>
    <row r="4" spans="1:27" ht="15.5" x14ac:dyDescent="0.35">
      <c r="A4" s="5"/>
      <c r="B4" s="5"/>
      <c r="C4" s="5"/>
      <c r="D4" s="22"/>
      <c r="E4" s="22"/>
      <c r="F4" s="22"/>
      <c r="G4" s="22"/>
    </row>
    <row r="5" spans="1:27" ht="16" thickBot="1" x14ac:dyDescent="0.4">
      <c r="A5" s="5"/>
      <c r="B5" s="5"/>
      <c r="C5" s="5"/>
      <c r="D5" s="5"/>
      <c r="E5" s="5"/>
      <c r="F5" s="5"/>
      <c r="G5" s="5"/>
      <c r="AA5" t="s">
        <v>70</v>
      </c>
    </row>
    <row r="6" spans="1:27" ht="78" customHeight="1" thickBot="1" x14ac:dyDescent="0.4">
      <c r="A6" s="104" t="s">
        <v>33</v>
      </c>
      <c r="B6" s="102" t="s">
        <v>70</v>
      </c>
      <c r="C6" s="102" t="s">
        <v>71</v>
      </c>
      <c r="D6" s="103" t="s">
        <v>80</v>
      </c>
      <c r="E6" s="94" t="s">
        <v>94</v>
      </c>
      <c r="F6" s="67"/>
      <c r="G6" s="67"/>
      <c r="AA6" t="s">
        <v>71</v>
      </c>
    </row>
    <row r="7" spans="1:27" ht="15.5" x14ac:dyDescent="0.35">
      <c r="A7" s="36" t="s">
        <v>39</v>
      </c>
      <c r="B7" s="115">
        <v>64</v>
      </c>
      <c r="C7" s="83">
        <v>135</v>
      </c>
      <c r="D7" s="83">
        <v>168</v>
      </c>
      <c r="E7" s="95">
        <v>367</v>
      </c>
      <c r="F7" s="18"/>
      <c r="G7" s="18"/>
      <c r="AA7" t="s">
        <v>80</v>
      </c>
    </row>
    <row r="8" spans="1:27" ht="15.5" x14ac:dyDescent="0.35">
      <c r="A8" s="36" t="s">
        <v>44</v>
      </c>
      <c r="B8" s="34">
        <v>80</v>
      </c>
      <c r="C8" s="18">
        <v>147</v>
      </c>
      <c r="D8" s="18">
        <v>156</v>
      </c>
      <c r="E8" s="95">
        <v>383</v>
      </c>
      <c r="F8" s="18"/>
      <c r="G8" s="18"/>
    </row>
    <row r="9" spans="1:27" ht="15.5" x14ac:dyDescent="0.35">
      <c r="A9" s="36" t="s">
        <v>46</v>
      </c>
      <c r="B9" s="115">
        <v>124</v>
      </c>
      <c r="C9" s="83">
        <v>182</v>
      </c>
      <c r="D9" s="83">
        <v>168</v>
      </c>
      <c r="E9" s="95">
        <v>474</v>
      </c>
      <c r="F9" s="18"/>
      <c r="G9" s="18"/>
    </row>
    <row r="10" spans="1:27" ht="15.5" x14ac:dyDescent="0.35">
      <c r="A10" s="36" t="s">
        <v>47</v>
      </c>
      <c r="B10" s="34">
        <v>184</v>
      </c>
      <c r="C10" s="18">
        <v>218</v>
      </c>
      <c r="D10" s="18">
        <v>219</v>
      </c>
      <c r="E10" s="95">
        <v>621</v>
      </c>
      <c r="F10" s="18"/>
      <c r="G10" s="18"/>
    </row>
    <row r="11" spans="1:27" ht="15.5" x14ac:dyDescent="0.35">
      <c r="A11" s="36" t="s">
        <v>48</v>
      </c>
      <c r="B11" s="115">
        <v>199</v>
      </c>
      <c r="C11" s="83">
        <v>279</v>
      </c>
      <c r="D11" s="83">
        <v>269</v>
      </c>
      <c r="E11" s="95">
        <v>747</v>
      </c>
      <c r="F11" s="18"/>
      <c r="G11" s="18"/>
    </row>
    <row r="12" spans="1:27" ht="15.5" x14ac:dyDescent="0.35">
      <c r="A12" s="36" t="s">
        <v>49</v>
      </c>
      <c r="B12" s="115">
        <v>198</v>
      </c>
      <c r="C12" s="83">
        <v>249</v>
      </c>
      <c r="D12" s="83">
        <v>285</v>
      </c>
      <c r="E12" s="95">
        <v>732</v>
      </c>
      <c r="F12" s="18"/>
      <c r="G12" s="18"/>
    </row>
    <row r="13" spans="1:27" ht="15.5" x14ac:dyDescent="0.35">
      <c r="A13" s="126" t="s">
        <v>124</v>
      </c>
      <c r="B13" s="115">
        <v>225</v>
      </c>
      <c r="C13" s="83">
        <v>307</v>
      </c>
      <c r="D13" s="83">
        <v>369</v>
      </c>
      <c r="E13" s="95">
        <v>901</v>
      </c>
      <c r="F13" s="18"/>
      <c r="G13" s="18"/>
    </row>
    <row r="14" spans="1:27" ht="15.5" x14ac:dyDescent="0.35">
      <c r="A14" s="126" t="s">
        <v>125</v>
      </c>
      <c r="B14" s="115">
        <v>227</v>
      </c>
      <c r="C14" s="83">
        <v>212</v>
      </c>
      <c r="D14" s="83">
        <v>247</v>
      </c>
      <c r="E14" s="95">
        <v>686</v>
      </c>
      <c r="F14" s="18"/>
      <c r="G14" s="18"/>
    </row>
    <row r="15" spans="1:27" ht="16" thickBot="1" x14ac:dyDescent="0.4">
      <c r="A15" s="126" t="s">
        <v>126</v>
      </c>
      <c r="B15" s="115">
        <v>163</v>
      </c>
      <c r="C15" s="83">
        <v>204</v>
      </c>
      <c r="D15" s="83">
        <v>178</v>
      </c>
      <c r="E15" s="95">
        <v>545</v>
      </c>
      <c r="F15" s="18"/>
      <c r="G15" s="18"/>
    </row>
    <row r="16" spans="1:27" ht="16" thickBot="1" x14ac:dyDescent="0.4">
      <c r="A16" s="127" t="s">
        <v>94</v>
      </c>
      <c r="B16" s="116">
        <f>SUM(B7:B15)</f>
        <v>1464</v>
      </c>
      <c r="C16" s="116">
        <f>SUM(C7:C15)</f>
        <v>1933</v>
      </c>
      <c r="D16" s="116">
        <f>SUM(D7:D15)</f>
        <v>2059</v>
      </c>
      <c r="E16" s="117">
        <f>SUM(E7:E15)</f>
        <v>5456</v>
      </c>
      <c r="F16" s="18"/>
      <c r="G16" s="18"/>
    </row>
    <row r="19" spans="1:18" ht="15.5" x14ac:dyDescent="0.35">
      <c r="A19" s="10" t="s">
        <v>19</v>
      </c>
    </row>
    <row r="20" spans="1:18" ht="24.75" customHeight="1" x14ac:dyDescent="0.35">
      <c r="A20" s="182" t="s">
        <v>95</v>
      </c>
      <c r="B20" s="182"/>
      <c r="C20" s="182"/>
      <c r="D20" s="182"/>
      <c r="E20" s="182"/>
      <c r="F20" s="182"/>
      <c r="G20" s="182"/>
      <c r="H20" s="118"/>
      <c r="I20" s="118"/>
      <c r="J20" s="118"/>
      <c r="K20" s="118"/>
      <c r="L20" s="118"/>
      <c r="M20" s="118"/>
      <c r="N20" s="118"/>
      <c r="O20" s="118"/>
      <c r="P20" s="118"/>
      <c r="Q20" s="118"/>
      <c r="R20" s="118"/>
    </row>
    <row r="21" spans="1:18" ht="51" customHeight="1" x14ac:dyDescent="0.35">
      <c r="A21" s="164" t="s">
        <v>96</v>
      </c>
      <c r="B21" s="164"/>
      <c r="C21" s="164"/>
      <c r="D21" s="164"/>
      <c r="E21" s="164"/>
      <c r="F21" s="100"/>
      <c r="G21" s="100"/>
      <c r="H21" s="100"/>
      <c r="I21" s="100"/>
      <c r="J21" s="100"/>
      <c r="K21" s="100"/>
      <c r="L21" s="100"/>
      <c r="M21" s="100"/>
      <c r="N21" s="100"/>
      <c r="O21" s="100"/>
      <c r="P21" s="100"/>
      <c r="Q21" s="100"/>
      <c r="R21" s="100"/>
    </row>
    <row r="22" spans="1:18" ht="116" customHeight="1" x14ac:dyDescent="0.35">
      <c r="A22" s="164"/>
      <c r="B22" s="164"/>
      <c r="C22" s="164"/>
      <c r="D22" s="164"/>
      <c r="E22" s="164"/>
      <c r="F22" s="111"/>
      <c r="G22" s="111"/>
      <c r="H22" s="111"/>
      <c r="I22" s="111"/>
      <c r="J22" s="111"/>
      <c r="K22" s="111"/>
      <c r="L22" s="111"/>
      <c r="M22" s="111"/>
      <c r="N22" s="111"/>
      <c r="O22" s="111"/>
      <c r="P22" s="111"/>
      <c r="Q22" s="111"/>
      <c r="R22" s="111"/>
    </row>
  </sheetData>
  <mergeCells count="3">
    <mergeCell ref="A22:E22"/>
    <mergeCell ref="A21:E21"/>
    <mergeCell ref="A20:G20"/>
  </mergeCells>
  <hyperlinks>
    <hyperlink ref="A2" location="Contents!A1" display="Back to contents" xr:uid="{CCE2A95A-F59A-4BFE-9507-505B1F30E287}"/>
  </hyperlink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F8E15-4FC1-44C8-BA9A-77E63363DF9D}">
  <sheetPr codeName="Sheet9"/>
  <dimension ref="A1:Y24"/>
  <sheetViews>
    <sheetView showGridLines="0" zoomScaleNormal="100" workbookViewId="0"/>
  </sheetViews>
  <sheetFormatPr defaultRowHeight="14.5" x14ac:dyDescent="0.35"/>
  <cols>
    <col min="1" max="1" width="17.54296875" bestFit="1" customWidth="1"/>
    <col min="2" max="2" width="22" customWidth="1"/>
    <col min="3" max="3" width="18.54296875" customWidth="1"/>
    <col min="4" max="4" width="23.81640625" customWidth="1"/>
    <col min="5" max="5" width="8.1796875" customWidth="1"/>
    <col min="25" max="25" width="0" hidden="1" customWidth="1"/>
  </cols>
  <sheetData>
    <row r="1" spans="1:25" ht="15.5" x14ac:dyDescent="0.35">
      <c r="A1" s="5"/>
      <c r="B1" s="5"/>
      <c r="C1" s="5"/>
      <c r="D1" s="5"/>
      <c r="E1" s="5"/>
      <c r="F1" s="5"/>
      <c r="G1" s="5"/>
    </row>
    <row r="2" spans="1:25" ht="15.5" x14ac:dyDescent="0.35">
      <c r="A2" s="9" t="s">
        <v>22</v>
      </c>
      <c r="B2" s="5"/>
      <c r="C2" s="5"/>
      <c r="D2" s="5"/>
      <c r="E2" s="5"/>
      <c r="F2" s="5"/>
      <c r="G2" s="5"/>
    </row>
    <row r="3" spans="1:25" ht="17.5" x14ac:dyDescent="0.35">
      <c r="A3" s="10" t="s">
        <v>97</v>
      </c>
      <c r="B3" s="10" t="s">
        <v>98</v>
      </c>
      <c r="C3" s="5"/>
      <c r="D3" s="22"/>
      <c r="E3" s="22"/>
      <c r="F3" s="22"/>
      <c r="G3" s="22"/>
    </row>
    <row r="4" spans="1:25" ht="15.5" x14ac:dyDescent="0.35">
      <c r="A4" s="5"/>
      <c r="B4" s="5"/>
      <c r="C4" s="5"/>
      <c r="D4" s="22"/>
      <c r="E4" s="22"/>
      <c r="F4" s="22"/>
      <c r="G4" s="22"/>
    </row>
    <row r="5" spans="1:25" ht="16" thickBot="1" x14ac:dyDescent="0.4">
      <c r="A5" s="5"/>
      <c r="B5" s="5"/>
      <c r="C5" s="5"/>
      <c r="D5" s="5"/>
      <c r="E5" s="5"/>
      <c r="F5" s="5"/>
      <c r="G5" s="5"/>
      <c r="Y5" t="s">
        <v>70</v>
      </c>
    </row>
    <row r="6" spans="1:25" ht="78.650000000000006" customHeight="1" thickBot="1" x14ac:dyDescent="0.4">
      <c r="A6" s="104" t="s">
        <v>33</v>
      </c>
      <c r="B6" s="102" t="s">
        <v>70</v>
      </c>
      <c r="C6" s="102" t="s">
        <v>71</v>
      </c>
      <c r="D6" s="103" t="s">
        <v>80</v>
      </c>
      <c r="E6" s="94" t="s">
        <v>94</v>
      </c>
      <c r="F6" s="67"/>
      <c r="G6" s="67"/>
      <c r="Y6" t="s">
        <v>71</v>
      </c>
    </row>
    <row r="7" spans="1:25" ht="15.5" x14ac:dyDescent="0.35">
      <c r="A7" s="36" t="s">
        <v>39</v>
      </c>
      <c r="B7" s="115">
        <v>223</v>
      </c>
      <c r="C7" s="83">
        <v>142</v>
      </c>
      <c r="D7" s="83">
        <v>147</v>
      </c>
      <c r="E7" s="95">
        <v>512</v>
      </c>
      <c r="F7" s="18"/>
      <c r="G7" s="18"/>
      <c r="Y7" t="s">
        <v>80</v>
      </c>
    </row>
    <row r="8" spans="1:25" ht="15.5" x14ac:dyDescent="0.35">
      <c r="A8" s="36" t="s">
        <v>44</v>
      </c>
      <c r="B8" s="115">
        <v>253</v>
      </c>
      <c r="C8" s="83">
        <v>157</v>
      </c>
      <c r="D8" s="83">
        <v>168</v>
      </c>
      <c r="E8" s="95">
        <v>578</v>
      </c>
      <c r="F8" s="18"/>
      <c r="G8" s="18"/>
    </row>
    <row r="9" spans="1:25" ht="15.5" x14ac:dyDescent="0.35">
      <c r="A9" s="36" t="s">
        <v>46</v>
      </c>
      <c r="B9" s="115">
        <v>347</v>
      </c>
      <c r="C9" s="83">
        <v>150</v>
      </c>
      <c r="D9" s="83">
        <v>165</v>
      </c>
      <c r="E9" s="95">
        <v>662</v>
      </c>
      <c r="F9" s="18"/>
      <c r="G9" s="18"/>
    </row>
    <row r="10" spans="1:25" ht="15.5" x14ac:dyDescent="0.35">
      <c r="A10" s="36" t="s">
        <v>47</v>
      </c>
      <c r="B10" s="115">
        <v>398</v>
      </c>
      <c r="C10" s="83">
        <v>181</v>
      </c>
      <c r="D10" s="83">
        <v>156</v>
      </c>
      <c r="E10" s="95">
        <v>735</v>
      </c>
      <c r="F10" s="18"/>
      <c r="G10" s="18"/>
    </row>
    <row r="11" spans="1:25" ht="15.5" x14ac:dyDescent="0.35">
      <c r="A11" s="36" t="s">
        <v>48</v>
      </c>
      <c r="B11" s="115">
        <v>478</v>
      </c>
      <c r="C11" s="83">
        <v>195</v>
      </c>
      <c r="D11" s="83">
        <v>194</v>
      </c>
      <c r="E11" s="95">
        <v>867</v>
      </c>
      <c r="F11" s="18"/>
      <c r="G11" s="18"/>
    </row>
    <row r="12" spans="1:25" ht="15.5" x14ac:dyDescent="0.35">
      <c r="A12" s="36" t="s">
        <v>49</v>
      </c>
      <c r="B12" s="115">
        <v>435</v>
      </c>
      <c r="C12" s="83">
        <v>171</v>
      </c>
      <c r="D12" s="83">
        <v>200</v>
      </c>
      <c r="E12" s="95">
        <v>806</v>
      </c>
      <c r="F12" s="18"/>
      <c r="G12" s="18"/>
    </row>
    <row r="13" spans="1:25" ht="15.5" x14ac:dyDescent="0.35">
      <c r="A13" s="126" t="s">
        <v>124</v>
      </c>
      <c r="B13" s="115">
        <v>321</v>
      </c>
      <c r="C13" s="83">
        <v>156</v>
      </c>
      <c r="D13" s="83">
        <v>207</v>
      </c>
      <c r="E13" s="95">
        <v>684</v>
      </c>
      <c r="F13" s="18"/>
      <c r="G13" s="18"/>
    </row>
    <row r="14" spans="1:25" ht="15.5" x14ac:dyDescent="0.35">
      <c r="A14" s="126" t="s">
        <v>125</v>
      </c>
      <c r="B14" s="115">
        <v>304</v>
      </c>
      <c r="C14" s="83">
        <v>102</v>
      </c>
      <c r="D14" s="83">
        <v>115</v>
      </c>
      <c r="E14" s="95">
        <v>521</v>
      </c>
      <c r="F14" s="18"/>
      <c r="G14" s="18"/>
    </row>
    <row r="15" spans="1:25" ht="16" thickBot="1" x14ac:dyDescent="0.4">
      <c r="A15" s="126" t="s">
        <v>126</v>
      </c>
      <c r="B15" s="115">
        <v>175</v>
      </c>
      <c r="C15" s="83">
        <v>95</v>
      </c>
      <c r="D15" s="83">
        <v>60</v>
      </c>
      <c r="E15" s="95">
        <v>330</v>
      </c>
      <c r="F15" s="18"/>
      <c r="G15" s="18"/>
    </row>
    <row r="16" spans="1:25" ht="16" thickBot="1" x14ac:dyDescent="0.4">
      <c r="A16" s="127" t="s">
        <v>94</v>
      </c>
      <c r="B16" s="116">
        <f>SUM(B7:B15)</f>
        <v>2934</v>
      </c>
      <c r="C16" s="116">
        <f>SUM(C7:C15)</f>
        <v>1349</v>
      </c>
      <c r="D16" s="116">
        <f>SUM(D7:D15)</f>
        <v>1412</v>
      </c>
      <c r="E16" s="117">
        <f>SUM(E7:E15)</f>
        <v>5695</v>
      </c>
      <c r="F16" s="18"/>
      <c r="G16" s="18"/>
    </row>
    <row r="20" spans="1:7" ht="15.5" x14ac:dyDescent="0.35">
      <c r="A20" s="10" t="s">
        <v>19</v>
      </c>
    </row>
    <row r="21" spans="1:7" ht="21" customHeight="1" x14ac:dyDescent="0.35">
      <c r="A21" s="182" t="s">
        <v>95</v>
      </c>
      <c r="B21" s="182"/>
      <c r="C21" s="182"/>
      <c r="D21" s="182"/>
      <c r="E21" s="182"/>
      <c r="F21" s="182"/>
      <c r="G21" s="182"/>
    </row>
    <row r="22" spans="1:7" ht="48.65" customHeight="1" x14ac:dyDescent="0.35">
      <c r="A22" s="164" t="s">
        <v>96</v>
      </c>
      <c r="B22" s="164"/>
      <c r="C22" s="164"/>
      <c r="D22" s="164"/>
      <c r="E22" s="164"/>
    </row>
    <row r="23" spans="1:7" ht="105" customHeight="1" x14ac:dyDescent="0.35">
      <c r="A23" s="164"/>
      <c r="B23" s="164"/>
      <c r="C23" s="164"/>
      <c r="D23" s="164"/>
      <c r="E23" s="164"/>
    </row>
    <row r="24" spans="1:7" ht="14.5" customHeight="1" x14ac:dyDescent="0.35">
      <c r="A24" s="96"/>
      <c r="B24" s="96"/>
      <c r="C24" s="96"/>
      <c r="D24" s="96"/>
    </row>
  </sheetData>
  <mergeCells count="3">
    <mergeCell ref="A23:E23"/>
    <mergeCell ref="A22:E22"/>
    <mergeCell ref="A21:G21"/>
  </mergeCells>
  <hyperlinks>
    <hyperlink ref="A2" location="Contents!A1" display="Back to contents" xr:uid="{40ACEAED-2AFE-43E5-8977-C3D30D128C12}"/>
  </hyperlink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6AAAC7-E718-4E42-A1A8-281C41702A9C}">
  <sheetPr codeName="Sheet11"/>
  <dimension ref="A1:S217"/>
  <sheetViews>
    <sheetView workbookViewId="0">
      <pane ySplit="1" topLeftCell="A194" activePane="bottomLeft" state="frozen"/>
      <selection activeCell="B1" sqref="B1"/>
      <selection pane="bottomLeft" activeCell="B30" sqref="B30"/>
    </sheetView>
  </sheetViews>
  <sheetFormatPr defaultRowHeight="14.5" x14ac:dyDescent="0.35"/>
  <cols>
    <col min="1" max="1" width="39.1796875" bestFit="1" customWidth="1"/>
    <col min="2" max="2" width="25.54296875" bestFit="1" customWidth="1"/>
    <col min="3" max="3" width="7.81640625" bestFit="1" customWidth="1"/>
    <col min="4" max="4" width="6" bestFit="1" customWidth="1"/>
    <col min="5" max="5" width="11.1796875" bestFit="1" customWidth="1"/>
    <col min="6" max="6" width="10.54296875" bestFit="1" customWidth="1"/>
  </cols>
  <sheetData>
    <row r="1" spans="1:19" x14ac:dyDescent="0.35">
      <c r="A1" t="s">
        <v>99</v>
      </c>
      <c r="B1" t="s">
        <v>100</v>
      </c>
      <c r="C1" t="s">
        <v>101</v>
      </c>
      <c r="D1" t="s">
        <v>26</v>
      </c>
      <c r="E1" t="s">
        <v>27</v>
      </c>
      <c r="F1" t="s">
        <v>102</v>
      </c>
      <c r="G1" t="s">
        <v>103</v>
      </c>
      <c r="H1" t="s">
        <v>104</v>
      </c>
      <c r="I1" t="s">
        <v>105</v>
      </c>
      <c r="J1" t="s">
        <v>106</v>
      </c>
      <c r="K1" t="s">
        <v>107</v>
      </c>
      <c r="L1" t="s">
        <v>73</v>
      </c>
      <c r="M1" t="s">
        <v>108</v>
      </c>
      <c r="N1" t="s">
        <v>109</v>
      </c>
      <c r="O1" t="s">
        <v>110</v>
      </c>
      <c r="P1" t="s">
        <v>111</v>
      </c>
      <c r="Q1" t="s">
        <v>112</v>
      </c>
      <c r="R1" t="s">
        <v>113</v>
      </c>
      <c r="S1" t="s">
        <v>114</v>
      </c>
    </row>
    <row r="2" spans="1:19" x14ac:dyDescent="0.35">
      <c r="A2" t="str">
        <f>C2&amp;B2&amp;D2&amp;E2</f>
        <v>2014/15ScotlandAll15-34</v>
      </c>
      <c r="B2" t="s">
        <v>32</v>
      </c>
      <c r="C2" s="105" t="s">
        <v>39</v>
      </c>
      <c r="D2" s="105" t="s">
        <v>31</v>
      </c>
      <c r="E2" s="105" t="s">
        <v>56</v>
      </c>
      <c r="F2" s="105">
        <v>17100</v>
      </c>
      <c r="G2" s="105">
        <v>16100</v>
      </c>
      <c r="H2" s="105">
        <v>18200</v>
      </c>
      <c r="I2" s="1">
        <v>1.24E-2</v>
      </c>
      <c r="J2" s="1">
        <v>1.17E-2</v>
      </c>
      <c r="K2" s="1">
        <v>1.32E-2</v>
      </c>
      <c r="L2">
        <v>11527</v>
      </c>
      <c r="M2" s="2">
        <v>0.67</v>
      </c>
      <c r="N2" s="2">
        <v>0.63</v>
      </c>
      <c r="O2" s="2">
        <v>0.72</v>
      </c>
      <c r="P2">
        <v>9178</v>
      </c>
      <c r="Q2" s="2">
        <v>0.54</v>
      </c>
      <c r="R2" s="2">
        <v>0.5</v>
      </c>
      <c r="S2" s="2">
        <v>0.56999999999999995</v>
      </c>
    </row>
    <row r="3" spans="1:19" x14ac:dyDescent="0.35">
      <c r="A3" t="str">
        <f t="shared" ref="A3:A66" si="0">C3&amp;B3&amp;D3&amp;E3</f>
        <v>2015/16ScotlandAll15-34</v>
      </c>
      <c r="B3" t="s">
        <v>32</v>
      </c>
      <c r="C3" s="105" t="s">
        <v>44</v>
      </c>
      <c r="D3" s="105" t="s">
        <v>31</v>
      </c>
      <c r="E3" s="105" t="s">
        <v>56</v>
      </c>
      <c r="F3" s="105">
        <v>15400</v>
      </c>
      <c r="G3" s="105">
        <v>14600</v>
      </c>
      <c r="H3" s="105">
        <v>16400</v>
      </c>
      <c r="I3" s="1">
        <v>1.11E-2</v>
      </c>
      <c r="J3" s="1">
        <v>1.0500000000000001E-2</v>
      </c>
      <c r="K3" s="1">
        <v>1.18E-2</v>
      </c>
      <c r="L3">
        <v>10361</v>
      </c>
      <c r="M3" s="2">
        <v>0.67</v>
      </c>
      <c r="N3" s="2">
        <v>0.63</v>
      </c>
      <c r="O3" s="2">
        <v>0.71</v>
      </c>
      <c r="P3">
        <v>8320</v>
      </c>
      <c r="Q3" s="2">
        <v>0.54</v>
      </c>
      <c r="R3" s="2">
        <v>0.51</v>
      </c>
      <c r="S3" s="2">
        <v>0.56999999999999995</v>
      </c>
    </row>
    <row r="4" spans="1:19" x14ac:dyDescent="0.35">
      <c r="A4" t="str">
        <f t="shared" si="0"/>
        <v>2016/17ScotlandAll15-34</v>
      </c>
      <c r="B4" t="s">
        <v>32</v>
      </c>
      <c r="C4" s="105" t="s">
        <v>46</v>
      </c>
      <c r="D4" s="105" t="s">
        <v>31</v>
      </c>
      <c r="E4" s="105" t="s">
        <v>56</v>
      </c>
      <c r="F4" s="105">
        <v>13600</v>
      </c>
      <c r="G4" s="105">
        <v>12800</v>
      </c>
      <c r="H4" s="105">
        <v>14400</v>
      </c>
      <c r="I4" s="1">
        <v>9.7999999999999997E-3</v>
      </c>
      <c r="J4" s="1">
        <v>9.1999999999999998E-3</v>
      </c>
      <c r="K4" s="1">
        <v>1.03E-2</v>
      </c>
      <c r="L4">
        <v>9152</v>
      </c>
      <c r="M4" s="2">
        <v>0.67</v>
      </c>
      <c r="N4" s="2">
        <v>0.64</v>
      </c>
      <c r="O4" s="2">
        <v>0.72</v>
      </c>
      <c r="P4">
        <v>7451</v>
      </c>
      <c r="Q4" s="2">
        <v>0.55000000000000004</v>
      </c>
      <c r="R4" s="2">
        <v>0.52</v>
      </c>
      <c r="S4" s="2">
        <v>0.57999999999999996</v>
      </c>
    </row>
    <row r="5" spans="1:19" x14ac:dyDescent="0.35">
      <c r="A5" t="str">
        <f t="shared" si="0"/>
        <v>2017/18ScotlandAll15-34</v>
      </c>
      <c r="B5" t="s">
        <v>32</v>
      </c>
      <c r="C5" s="105" t="s">
        <v>47</v>
      </c>
      <c r="D5" s="105" t="s">
        <v>31</v>
      </c>
      <c r="E5" s="105" t="s">
        <v>56</v>
      </c>
      <c r="F5" s="105">
        <v>12100</v>
      </c>
      <c r="G5" s="105">
        <v>11500</v>
      </c>
      <c r="H5" s="105">
        <v>12800</v>
      </c>
      <c r="I5" s="1">
        <v>8.8000000000000005E-3</v>
      </c>
      <c r="J5" s="1">
        <v>8.3000000000000001E-3</v>
      </c>
      <c r="K5" s="1">
        <v>9.2999999999999992E-3</v>
      </c>
      <c r="L5">
        <v>8165</v>
      </c>
      <c r="M5" s="2">
        <v>0.67</v>
      </c>
      <c r="N5" s="2">
        <v>0.64</v>
      </c>
      <c r="O5" s="2">
        <v>0.71</v>
      </c>
      <c r="P5">
        <v>6664</v>
      </c>
      <c r="Q5" s="2">
        <v>0.55000000000000004</v>
      </c>
      <c r="R5" s="2">
        <v>0.52</v>
      </c>
      <c r="S5" s="2">
        <v>0.57999999999999996</v>
      </c>
    </row>
    <row r="6" spans="1:19" x14ac:dyDescent="0.35">
      <c r="A6" t="str">
        <f t="shared" si="0"/>
        <v>2018/19ScotlandAll15-34</v>
      </c>
      <c r="B6" t="s">
        <v>32</v>
      </c>
      <c r="C6" s="105" t="s">
        <v>48</v>
      </c>
      <c r="D6" s="105" t="s">
        <v>31</v>
      </c>
      <c r="E6" s="105" t="s">
        <v>56</v>
      </c>
      <c r="F6" s="105">
        <v>11600</v>
      </c>
      <c r="G6" s="105">
        <v>11000</v>
      </c>
      <c r="H6" s="105">
        <v>12200</v>
      </c>
      <c r="I6" s="1">
        <v>8.3999999999999995E-3</v>
      </c>
      <c r="J6" s="1">
        <v>8.0000000000000002E-3</v>
      </c>
      <c r="K6" s="1">
        <v>8.8999999999999999E-3</v>
      </c>
      <c r="L6">
        <v>7364</v>
      </c>
      <c r="M6" s="2">
        <v>0.63</v>
      </c>
      <c r="N6" s="2">
        <v>0.6</v>
      </c>
      <c r="O6" s="2">
        <v>0.67</v>
      </c>
      <c r="P6">
        <v>5957</v>
      </c>
      <c r="Q6" s="2">
        <v>0.51</v>
      </c>
      <c r="R6" s="2">
        <v>0.49</v>
      </c>
      <c r="S6" s="2">
        <v>0.54</v>
      </c>
    </row>
    <row r="7" spans="1:19" x14ac:dyDescent="0.35">
      <c r="A7" t="str">
        <f t="shared" si="0"/>
        <v>2019/20ScotlandAll15-34</v>
      </c>
      <c r="B7" t="s">
        <v>32</v>
      </c>
      <c r="C7" s="105" t="s">
        <v>49</v>
      </c>
      <c r="D7" s="105" t="s">
        <v>31</v>
      </c>
      <c r="E7" s="105" t="s">
        <v>56</v>
      </c>
      <c r="F7" s="105">
        <v>12000</v>
      </c>
      <c r="G7" s="105">
        <v>11300</v>
      </c>
      <c r="H7" s="105">
        <v>12900</v>
      </c>
      <c r="I7" s="1">
        <v>8.6999999999999994E-3</v>
      </c>
      <c r="J7" s="1">
        <v>8.2000000000000007E-3</v>
      </c>
      <c r="K7" s="1">
        <v>9.2999999999999992E-3</v>
      </c>
      <c r="L7">
        <v>6828</v>
      </c>
      <c r="M7" s="2">
        <v>0.56999999999999995</v>
      </c>
      <c r="N7" s="2">
        <v>0.53</v>
      </c>
      <c r="O7" s="2">
        <v>0.6</v>
      </c>
      <c r="P7">
        <v>5504</v>
      </c>
      <c r="Q7" s="2">
        <v>0.46</v>
      </c>
      <c r="R7" s="2">
        <v>0.43</v>
      </c>
      <c r="S7" s="2">
        <v>0.49</v>
      </c>
    </row>
    <row r="8" spans="1:19" x14ac:dyDescent="0.35">
      <c r="A8" t="str">
        <f t="shared" si="0"/>
        <v>2020/21ScotlandAll15-34</v>
      </c>
      <c r="B8" t="s">
        <v>32</v>
      </c>
      <c r="C8" s="105" t="s">
        <v>124</v>
      </c>
      <c r="D8" s="105" t="s">
        <v>31</v>
      </c>
      <c r="E8" s="105" t="s">
        <v>56</v>
      </c>
      <c r="F8" s="105">
        <v>11800</v>
      </c>
      <c r="G8" s="105">
        <v>11100</v>
      </c>
      <c r="H8" s="105">
        <v>12700</v>
      </c>
      <c r="I8" s="1">
        <v>8.6E-3</v>
      </c>
      <c r="J8" s="1">
        <v>8.0999999999999996E-3</v>
      </c>
      <c r="K8" s="1">
        <v>9.1999999999999998E-3</v>
      </c>
      <c r="L8">
        <v>6478</v>
      </c>
      <c r="M8" s="2">
        <v>0.55000000000000004</v>
      </c>
      <c r="N8" s="2">
        <v>0.51</v>
      </c>
      <c r="O8" s="2">
        <v>0.57999999999999996</v>
      </c>
      <c r="P8">
        <v>5247</v>
      </c>
      <c r="Q8" s="2">
        <v>0.44</v>
      </c>
      <c r="R8" s="2">
        <v>0.41</v>
      </c>
      <c r="S8" s="2">
        <v>0.47</v>
      </c>
    </row>
    <row r="9" spans="1:19" x14ac:dyDescent="0.35">
      <c r="A9" t="str">
        <f t="shared" si="0"/>
        <v>2021/22ScotlandAll15-34</v>
      </c>
      <c r="B9" t="s">
        <v>32</v>
      </c>
      <c r="C9" s="105" t="s">
        <v>125</v>
      </c>
      <c r="D9" s="105" t="s">
        <v>31</v>
      </c>
      <c r="E9" s="105" t="s">
        <v>56</v>
      </c>
      <c r="F9" s="105">
        <v>10500</v>
      </c>
      <c r="G9" s="105">
        <v>9800</v>
      </c>
      <c r="H9" s="105">
        <v>11400</v>
      </c>
      <c r="I9" s="1">
        <v>7.7000000000000002E-3</v>
      </c>
      <c r="J9" s="1">
        <v>7.1000000000000004E-3</v>
      </c>
      <c r="K9" s="1">
        <v>8.3000000000000001E-3</v>
      </c>
      <c r="L9">
        <v>6011</v>
      </c>
      <c r="M9" s="2">
        <v>0.56999999999999995</v>
      </c>
      <c r="N9" s="2">
        <v>0.53</v>
      </c>
      <c r="O9" s="2">
        <v>0.61</v>
      </c>
      <c r="P9">
        <v>4849</v>
      </c>
      <c r="Q9" s="2">
        <v>0.46</v>
      </c>
      <c r="R9" s="2">
        <v>0.43</v>
      </c>
      <c r="S9" s="2">
        <v>0.49</v>
      </c>
    </row>
    <row r="10" spans="1:19" x14ac:dyDescent="0.35">
      <c r="A10" t="str">
        <f t="shared" si="0"/>
        <v>2022/23ScotlandAll15-34</v>
      </c>
      <c r="B10" t="s">
        <v>32</v>
      </c>
      <c r="C10" s="105" t="s">
        <v>126</v>
      </c>
      <c r="D10" s="105" t="s">
        <v>31</v>
      </c>
      <c r="E10" s="105" t="s">
        <v>56</v>
      </c>
      <c r="F10" s="105">
        <v>8900</v>
      </c>
      <c r="G10" s="105">
        <v>8200</v>
      </c>
      <c r="H10" s="105">
        <v>9600</v>
      </c>
      <c r="I10" s="1">
        <v>6.7000000000000002E-3</v>
      </c>
      <c r="J10" s="1">
        <v>6.1999999999999998E-3</v>
      </c>
      <c r="K10" s="1">
        <v>7.1999999999999998E-3</v>
      </c>
      <c r="L10">
        <v>5495</v>
      </c>
      <c r="M10" s="2">
        <v>0.62</v>
      </c>
      <c r="N10" s="2">
        <v>0.56999999999999995</v>
      </c>
      <c r="O10" s="2">
        <v>0.67</v>
      </c>
      <c r="P10">
        <v>4339</v>
      </c>
      <c r="Q10" s="2">
        <v>0.49</v>
      </c>
      <c r="R10" s="2">
        <v>0.45</v>
      </c>
      <c r="S10" s="2">
        <v>0.53</v>
      </c>
    </row>
    <row r="11" spans="1:19" x14ac:dyDescent="0.35">
      <c r="A11" t="str">
        <f t="shared" si="0"/>
        <v>2014/15ScotlandAll35-49</v>
      </c>
      <c r="B11" t="s">
        <v>32</v>
      </c>
      <c r="C11" s="105" t="s">
        <v>39</v>
      </c>
      <c r="D11" s="105" t="s">
        <v>31</v>
      </c>
      <c r="E11" s="105" t="s">
        <v>57</v>
      </c>
      <c r="F11" s="105">
        <v>27000</v>
      </c>
      <c r="G11" s="105">
        <v>25900</v>
      </c>
      <c r="H11" s="105">
        <v>28200</v>
      </c>
      <c r="I11" s="1">
        <v>2.5000000000000001E-2</v>
      </c>
      <c r="J11" s="1">
        <v>2.4E-2</v>
      </c>
      <c r="K11" s="1">
        <v>2.6100000000000002E-2</v>
      </c>
      <c r="L11">
        <v>20917</v>
      </c>
      <c r="M11" s="2">
        <v>0.77</v>
      </c>
      <c r="N11" s="2">
        <v>0.74</v>
      </c>
      <c r="O11" s="2">
        <v>0.81</v>
      </c>
      <c r="P11">
        <v>17053</v>
      </c>
      <c r="Q11" s="2">
        <v>0.63</v>
      </c>
      <c r="R11" s="2">
        <v>0.6</v>
      </c>
      <c r="S11" s="2">
        <v>0.66</v>
      </c>
    </row>
    <row r="12" spans="1:19" x14ac:dyDescent="0.35">
      <c r="A12" t="str">
        <f t="shared" si="0"/>
        <v>2015/16ScotlandAll35-49</v>
      </c>
      <c r="B12" t="s">
        <v>32</v>
      </c>
      <c r="C12" s="105" t="s">
        <v>44</v>
      </c>
      <c r="D12" s="105" t="s">
        <v>31</v>
      </c>
      <c r="E12" s="105" t="s">
        <v>57</v>
      </c>
      <c r="F12" s="105">
        <v>27000</v>
      </c>
      <c r="G12" s="105">
        <v>26100</v>
      </c>
      <c r="H12" s="105">
        <v>28000</v>
      </c>
      <c r="I12" s="1">
        <v>2.53E-2</v>
      </c>
      <c r="J12" s="1">
        <v>2.4500000000000001E-2</v>
      </c>
      <c r="K12" s="1">
        <v>2.63E-2</v>
      </c>
      <c r="L12">
        <v>21701</v>
      </c>
      <c r="M12" s="2">
        <v>0.8</v>
      </c>
      <c r="N12" s="2">
        <v>0.78</v>
      </c>
      <c r="O12" s="2">
        <v>0.83</v>
      </c>
      <c r="P12">
        <v>17908</v>
      </c>
      <c r="Q12" s="2">
        <v>0.66</v>
      </c>
      <c r="R12" s="2">
        <v>0.64</v>
      </c>
      <c r="S12" s="2">
        <v>0.69</v>
      </c>
    </row>
    <row r="13" spans="1:19" x14ac:dyDescent="0.35">
      <c r="A13" t="str">
        <f t="shared" si="0"/>
        <v>2016/17ScotlandAll35-49</v>
      </c>
      <c r="B13" t="s">
        <v>32</v>
      </c>
      <c r="C13" s="105" t="s">
        <v>46</v>
      </c>
      <c r="D13" s="105" t="s">
        <v>31</v>
      </c>
      <c r="E13" s="105" t="s">
        <v>57</v>
      </c>
      <c r="F13" s="105">
        <v>27300</v>
      </c>
      <c r="G13" s="105">
        <v>26400</v>
      </c>
      <c r="H13" s="105">
        <v>28200</v>
      </c>
      <c r="I13" s="1">
        <v>2.58E-2</v>
      </c>
      <c r="J13" s="1">
        <v>2.5000000000000001E-2</v>
      </c>
      <c r="K13" s="1">
        <v>2.6700000000000002E-2</v>
      </c>
      <c r="L13">
        <v>22385</v>
      </c>
      <c r="M13" s="2">
        <v>0.82</v>
      </c>
      <c r="N13" s="2">
        <v>0.79</v>
      </c>
      <c r="O13" s="2">
        <v>0.85</v>
      </c>
      <c r="P13">
        <v>18654</v>
      </c>
      <c r="Q13" s="2">
        <v>0.68</v>
      </c>
      <c r="R13" s="2">
        <v>0.66</v>
      </c>
      <c r="S13" s="2">
        <v>0.71</v>
      </c>
    </row>
    <row r="14" spans="1:19" x14ac:dyDescent="0.35">
      <c r="A14" t="str">
        <f t="shared" si="0"/>
        <v>2017/18ScotlandAll35-49</v>
      </c>
      <c r="B14" t="s">
        <v>32</v>
      </c>
      <c r="C14" s="105" t="s">
        <v>47</v>
      </c>
      <c r="D14" s="105" t="s">
        <v>31</v>
      </c>
      <c r="E14" s="105" t="s">
        <v>57</v>
      </c>
      <c r="F14" s="105">
        <v>27000</v>
      </c>
      <c r="G14" s="105">
        <v>26300</v>
      </c>
      <c r="H14" s="105">
        <v>27800</v>
      </c>
      <c r="I14" s="1">
        <v>2.58E-2</v>
      </c>
      <c r="J14" s="1">
        <v>2.5100000000000001E-2</v>
      </c>
      <c r="K14" s="1">
        <v>2.6499999999999999E-2</v>
      </c>
      <c r="L14">
        <v>22746</v>
      </c>
      <c r="M14" s="2">
        <v>0.84</v>
      </c>
      <c r="N14" s="2">
        <v>0.82</v>
      </c>
      <c r="O14" s="2">
        <v>0.86</v>
      </c>
      <c r="P14">
        <v>19073</v>
      </c>
      <c r="Q14" s="2">
        <v>0.71</v>
      </c>
      <c r="R14" s="2">
        <v>0.69</v>
      </c>
      <c r="S14" s="2">
        <v>0.73</v>
      </c>
    </row>
    <row r="15" spans="1:19" x14ac:dyDescent="0.35">
      <c r="A15" t="str">
        <f t="shared" si="0"/>
        <v>2018/19ScotlandAll35-49</v>
      </c>
      <c r="B15" t="s">
        <v>32</v>
      </c>
      <c r="C15" s="105" t="s">
        <v>48</v>
      </c>
      <c r="D15" s="105" t="s">
        <v>31</v>
      </c>
      <c r="E15" s="105" t="s">
        <v>57</v>
      </c>
      <c r="F15" s="105">
        <v>27000</v>
      </c>
      <c r="G15" s="105">
        <v>26300</v>
      </c>
      <c r="H15" s="105">
        <v>27700</v>
      </c>
      <c r="I15" s="1">
        <v>2.5899999999999999E-2</v>
      </c>
      <c r="J15" s="1">
        <v>2.53E-2</v>
      </c>
      <c r="K15" s="1">
        <v>2.6599999999999999E-2</v>
      </c>
      <c r="L15">
        <v>22574</v>
      </c>
      <c r="M15" s="2">
        <v>0.84</v>
      </c>
      <c r="N15" s="2">
        <v>0.81</v>
      </c>
      <c r="O15" s="2">
        <v>0.86</v>
      </c>
      <c r="P15">
        <v>18895</v>
      </c>
      <c r="Q15" s="2">
        <v>0.7</v>
      </c>
      <c r="R15" s="2">
        <v>0.68</v>
      </c>
      <c r="S15" s="2">
        <v>0.72</v>
      </c>
    </row>
    <row r="16" spans="1:19" x14ac:dyDescent="0.35">
      <c r="A16" t="str">
        <f t="shared" si="0"/>
        <v>2019/20ScotlandAll35-49</v>
      </c>
      <c r="B16" t="s">
        <v>32</v>
      </c>
      <c r="C16" s="105" t="s">
        <v>49</v>
      </c>
      <c r="D16" s="105" t="s">
        <v>31</v>
      </c>
      <c r="E16" s="105" t="s">
        <v>57</v>
      </c>
      <c r="F16" s="105">
        <v>27700</v>
      </c>
      <c r="G16" s="105">
        <v>26900</v>
      </c>
      <c r="H16" s="105">
        <v>28500</v>
      </c>
      <c r="I16" s="1">
        <v>2.6800000000000001E-2</v>
      </c>
      <c r="J16" s="1">
        <v>2.5999999999999999E-2</v>
      </c>
      <c r="K16" s="1">
        <v>2.76E-2</v>
      </c>
      <c r="L16">
        <v>22244</v>
      </c>
      <c r="M16" s="2">
        <v>0.8</v>
      </c>
      <c r="N16" s="2">
        <v>0.78</v>
      </c>
      <c r="O16" s="2">
        <v>0.83</v>
      </c>
      <c r="P16">
        <v>18526</v>
      </c>
      <c r="Q16" s="2">
        <v>0.67</v>
      </c>
      <c r="R16" s="2">
        <v>0.65</v>
      </c>
      <c r="S16" s="2">
        <v>0.69</v>
      </c>
    </row>
    <row r="17" spans="1:19" x14ac:dyDescent="0.35">
      <c r="A17" t="str">
        <f t="shared" si="0"/>
        <v>2020/21ScotlandAll35-49</v>
      </c>
      <c r="B17" t="s">
        <v>32</v>
      </c>
      <c r="C17" s="105" t="s">
        <v>124</v>
      </c>
      <c r="D17" s="105" t="s">
        <v>31</v>
      </c>
      <c r="E17" s="105" t="s">
        <v>57</v>
      </c>
      <c r="F17" s="105">
        <v>27500</v>
      </c>
      <c r="G17" s="105">
        <v>26700</v>
      </c>
      <c r="H17" s="105">
        <v>28300</v>
      </c>
      <c r="I17" s="1">
        <v>2.6700000000000002E-2</v>
      </c>
      <c r="J17" s="1">
        <v>2.5899999999999999E-2</v>
      </c>
      <c r="K17" s="1">
        <v>2.75E-2</v>
      </c>
      <c r="L17">
        <v>21923</v>
      </c>
      <c r="M17" s="2">
        <v>0.8</v>
      </c>
      <c r="N17" s="2">
        <v>0.77</v>
      </c>
      <c r="O17" s="2">
        <v>0.82</v>
      </c>
      <c r="P17">
        <v>18303</v>
      </c>
      <c r="Q17" s="2">
        <v>0.67</v>
      </c>
      <c r="R17" s="2">
        <v>0.65</v>
      </c>
      <c r="S17" s="2">
        <v>0.69</v>
      </c>
    </row>
    <row r="18" spans="1:19" x14ac:dyDescent="0.35">
      <c r="A18" t="str">
        <f t="shared" si="0"/>
        <v>2021/22ScotlandAll35-49</v>
      </c>
      <c r="B18" t="s">
        <v>32</v>
      </c>
      <c r="C18" s="105" t="s">
        <v>125</v>
      </c>
      <c r="D18" s="105" t="s">
        <v>31</v>
      </c>
      <c r="E18" s="105" t="s">
        <v>57</v>
      </c>
      <c r="F18" s="105">
        <v>26100</v>
      </c>
      <c r="G18" s="105">
        <v>25300</v>
      </c>
      <c r="H18" s="105">
        <v>27000</v>
      </c>
      <c r="I18" s="1">
        <v>2.53E-2</v>
      </c>
      <c r="J18" s="1">
        <v>2.4500000000000001E-2</v>
      </c>
      <c r="K18" s="1">
        <v>2.6200000000000001E-2</v>
      </c>
      <c r="L18">
        <v>21262</v>
      </c>
      <c r="M18" s="2">
        <v>0.81</v>
      </c>
      <c r="N18" s="2">
        <v>0.79</v>
      </c>
      <c r="O18" s="2">
        <v>0.84</v>
      </c>
      <c r="P18">
        <v>18093</v>
      </c>
      <c r="Q18" s="2">
        <v>0.69</v>
      </c>
      <c r="R18" s="2">
        <v>0.67</v>
      </c>
      <c r="S18" s="2">
        <v>0.72</v>
      </c>
    </row>
    <row r="19" spans="1:19" x14ac:dyDescent="0.35">
      <c r="A19" t="str">
        <f t="shared" si="0"/>
        <v>2022/23ScotlandAll35-49</v>
      </c>
      <c r="B19" t="s">
        <v>32</v>
      </c>
      <c r="C19" s="105" t="s">
        <v>126</v>
      </c>
      <c r="D19" s="105" t="s">
        <v>31</v>
      </c>
      <c r="E19" s="105" t="s">
        <v>57</v>
      </c>
      <c r="F19" s="105">
        <v>24200</v>
      </c>
      <c r="G19" s="105">
        <v>23500</v>
      </c>
      <c r="H19" s="105">
        <v>25000</v>
      </c>
      <c r="I19" s="1">
        <v>2.3900000000000001E-2</v>
      </c>
      <c r="J19" s="1">
        <v>2.3199999999999998E-2</v>
      </c>
      <c r="K19" s="1">
        <v>2.4799999999999999E-2</v>
      </c>
      <c r="L19">
        <v>20503</v>
      </c>
      <c r="M19" s="2">
        <v>0.85</v>
      </c>
      <c r="N19" s="2">
        <v>0.82</v>
      </c>
      <c r="O19" s="2">
        <v>0.87</v>
      </c>
      <c r="P19">
        <v>17291</v>
      </c>
      <c r="Q19" s="2">
        <v>0.71</v>
      </c>
      <c r="R19" s="2">
        <v>0.69</v>
      </c>
      <c r="S19" s="2">
        <v>0.74</v>
      </c>
    </row>
    <row r="20" spans="1:19" x14ac:dyDescent="0.35">
      <c r="A20" t="str">
        <f t="shared" si="0"/>
        <v>2014/15ScotlandAll50-64</v>
      </c>
      <c r="B20" t="s">
        <v>32</v>
      </c>
      <c r="C20" s="105" t="s">
        <v>39</v>
      </c>
      <c r="D20" s="105" t="s">
        <v>31</v>
      </c>
      <c r="E20" s="105" t="s">
        <v>58</v>
      </c>
      <c r="F20" s="105">
        <v>4600</v>
      </c>
      <c r="G20" s="105">
        <v>4000</v>
      </c>
      <c r="H20" s="105">
        <v>5200</v>
      </c>
      <c r="I20" s="1">
        <v>4.3E-3</v>
      </c>
      <c r="J20" s="1">
        <v>3.8E-3</v>
      </c>
      <c r="K20" s="1">
        <v>4.8999999999999998E-3</v>
      </c>
      <c r="L20">
        <v>2758</v>
      </c>
      <c r="M20" s="2">
        <v>0.6</v>
      </c>
      <c r="N20" s="2">
        <v>0.53</v>
      </c>
      <c r="O20" s="2">
        <v>0.69</v>
      </c>
      <c r="P20">
        <v>2129</v>
      </c>
      <c r="Q20" s="2">
        <v>0.46</v>
      </c>
      <c r="R20" s="2">
        <v>0.41</v>
      </c>
      <c r="S20" s="2">
        <v>0.53</v>
      </c>
    </row>
    <row r="21" spans="1:19" x14ac:dyDescent="0.35">
      <c r="A21" t="str">
        <f t="shared" si="0"/>
        <v>2015/16ScotlandAll50-64</v>
      </c>
      <c r="B21" t="s">
        <v>32</v>
      </c>
      <c r="C21" s="105" t="s">
        <v>44</v>
      </c>
      <c r="D21" s="105" t="s">
        <v>31</v>
      </c>
      <c r="E21" s="105" t="s">
        <v>58</v>
      </c>
      <c r="F21" s="105">
        <v>5000</v>
      </c>
      <c r="G21" s="105">
        <v>4500</v>
      </c>
      <c r="H21" s="105">
        <v>5500</v>
      </c>
      <c r="I21" s="1">
        <v>4.5999999999999999E-3</v>
      </c>
      <c r="J21" s="1">
        <v>4.1000000000000003E-3</v>
      </c>
      <c r="K21" s="1">
        <v>5.1000000000000004E-3</v>
      </c>
      <c r="L21">
        <v>3269</v>
      </c>
      <c r="M21" s="2">
        <v>0.65</v>
      </c>
      <c r="N21" s="2">
        <v>0.59</v>
      </c>
      <c r="O21" s="2">
        <v>0.73</v>
      </c>
      <c r="P21">
        <v>2590</v>
      </c>
      <c r="Q21" s="2">
        <v>0.52</v>
      </c>
      <c r="R21" s="2">
        <v>0.47</v>
      </c>
      <c r="S21" s="2">
        <v>0.57999999999999996</v>
      </c>
    </row>
    <row r="22" spans="1:19" x14ac:dyDescent="0.35">
      <c r="A22" t="str">
        <f t="shared" si="0"/>
        <v>2016/17ScotlandAll50-64</v>
      </c>
      <c r="B22" t="s">
        <v>32</v>
      </c>
      <c r="C22" s="105" t="s">
        <v>46</v>
      </c>
      <c r="D22" s="105" t="s">
        <v>31</v>
      </c>
      <c r="E22" s="105" t="s">
        <v>58</v>
      </c>
      <c r="F22" s="105">
        <v>5700</v>
      </c>
      <c r="G22" s="105">
        <v>5200</v>
      </c>
      <c r="H22" s="105">
        <v>6300</v>
      </c>
      <c r="I22" s="1">
        <v>5.1999999999999998E-3</v>
      </c>
      <c r="J22" s="1">
        <v>4.7999999999999996E-3</v>
      </c>
      <c r="K22" s="1">
        <v>5.7000000000000002E-3</v>
      </c>
      <c r="L22">
        <v>3870</v>
      </c>
      <c r="M22" s="2">
        <v>0.68</v>
      </c>
      <c r="N22" s="2">
        <v>0.61</v>
      </c>
      <c r="O22" s="2">
        <v>0.74</v>
      </c>
      <c r="P22">
        <v>3115</v>
      </c>
      <c r="Q22" s="2">
        <v>0.55000000000000004</v>
      </c>
      <c r="R22" s="2">
        <v>0.49</v>
      </c>
      <c r="S22" s="2">
        <v>0.6</v>
      </c>
    </row>
    <row r="23" spans="1:19" x14ac:dyDescent="0.35">
      <c r="A23" t="str">
        <f t="shared" si="0"/>
        <v>2017/18ScotlandAll50-64</v>
      </c>
      <c r="B23" t="s">
        <v>32</v>
      </c>
      <c r="C23" s="105" t="s">
        <v>47</v>
      </c>
      <c r="D23" s="105" t="s">
        <v>31</v>
      </c>
      <c r="E23" s="105" t="s">
        <v>58</v>
      </c>
      <c r="F23" s="105">
        <v>5600</v>
      </c>
      <c r="G23" s="105">
        <v>5300</v>
      </c>
      <c r="H23" s="105">
        <v>6000</v>
      </c>
      <c r="I23" s="1">
        <v>5.1000000000000004E-3</v>
      </c>
      <c r="J23" s="1">
        <v>4.7000000000000002E-3</v>
      </c>
      <c r="K23" s="1">
        <v>5.4000000000000003E-3</v>
      </c>
      <c r="L23">
        <v>4446</v>
      </c>
      <c r="M23" s="2">
        <v>0.79</v>
      </c>
      <c r="N23" s="2">
        <v>0.74</v>
      </c>
      <c r="O23" s="2">
        <v>0.84</v>
      </c>
      <c r="P23">
        <v>3644</v>
      </c>
      <c r="Q23" s="2">
        <v>0.65</v>
      </c>
      <c r="R23" s="2">
        <v>0.61</v>
      </c>
      <c r="S23" s="2">
        <v>0.69</v>
      </c>
    </row>
    <row r="24" spans="1:19" x14ac:dyDescent="0.35">
      <c r="A24" t="str">
        <f t="shared" si="0"/>
        <v>2018/19ScotlandAll50-64</v>
      </c>
      <c r="B24" t="s">
        <v>32</v>
      </c>
      <c r="C24" s="105" t="s">
        <v>48</v>
      </c>
      <c r="D24" s="105" t="s">
        <v>31</v>
      </c>
      <c r="E24" s="105" t="s">
        <v>58</v>
      </c>
      <c r="F24" s="105">
        <v>6700</v>
      </c>
      <c r="G24" s="105">
        <v>6300</v>
      </c>
      <c r="H24" s="105">
        <v>7100</v>
      </c>
      <c r="I24" s="1">
        <v>5.8999999999999999E-3</v>
      </c>
      <c r="J24" s="1">
        <v>5.5999999999999999E-3</v>
      </c>
      <c r="K24" s="1">
        <v>6.3E-3</v>
      </c>
      <c r="L24">
        <v>5107</v>
      </c>
      <c r="M24" s="2">
        <v>0.76</v>
      </c>
      <c r="N24" s="2">
        <v>0.72</v>
      </c>
      <c r="O24" s="2">
        <v>0.81</v>
      </c>
      <c r="P24">
        <v>4220</v>
      </c>
      <c r="Q24" s="2">
        <v>0.63</v>
      </c>
      <c r="R24" s="2">
        <v>0.59</v>
      </c>
      <c r="S24" s="2">
        <v>0.67</v>
      </c>
    </row>
    <row r="25" spans="1:19" x14ac:dyDescent="0.35">
      <c r="A25" t="str">
        <f t="shared" si="0"/>
        <v>2019/20ScotlandAll50-64</v>
      </c>
      <c r="B25" t="s">
        <v>32</v>
      </c>
      <c r="C25" s="105" t="s">
        <v>49</v>
      </c>
      <c r="D25" s="105" t="s">
        <v>31</v>
      </c>
      <c r="E25" s="105" t="s">
        <v>58</v>
      </c>
      <c r="F25" s="105">
        <v>7400</v>
      </c>
      <c r="G25" s="105">
        <v>7000</v>
      </c>
      <c r="H25" s="105">
        <v>7900</v>
      </c>
      <c r="I25" s="1">
        <v>6.4999999999999997E-3</v>
      </c>
      <c r="J25" s="1">
        <v>6.1999999999999998E-3</v>
      </c>
      <c r="K25" s="1">
        <v>6.8999999999999999E-3</v>
      </c>
      <c r="L25">
        <v>5865</v>
      </c>
      <c r="M25" s="2">
        <v>0.79</v>
      </c>
      <c r="N25" s="2">
        <v>0.74</v>
      </c>
      <c r="O25" s="2">
        <v>0.84</v>
      </c>
      <c r="P25">
        <v>4835</v>
      </c>
      <c r="Q25" s="2">
        <v>0.65</v>
      </c>
      <c r="R25" s="2">
        <v>0.61</v>
      </c>
      <c r="S25" s="2">
        <v>0.69</v>
      </c>
    </row>
    <row r="26" spans="1:19" x14ac:dyDescent="0.35">
      <c r="A26" t="str">
        <f t="shared" si="0"/>
        <v>2020/21ScotlandAll50-64</v>
      </c>
      <c r="B26" t="s">
        <v>32</v>
      </c>
      <c r="C26" s="105" t="s">
        <v>124</v>
      </c>
      <c r="D26" s="105" t="s">
        <v>31</v>
      </c>
      <c r="E26" s="105" t="s">
        <v>58</v>
      </c>
      <c r="F26" s="105">
        <v>8800</v>
      </c>
      <c r="G26" s="105">
        <v>8300</v>
      </c>
      <c r="H26" s="105">
        <v>9400</v>
      </c>
      <c r="I26" s="1">
        <v>7.7000000000000002E-3</v>
      </c>
      <c r="J26" s="1">
        <v>7.3000000000000001E-3</v>
      </c>
      <c r="K26" s="1">
        <v>8.2000000000000007E-3</v>
      </c>
      <c r="L26">
        <v>6598</v>
      </c>
      <c r="M26" s="2">
        <v>0.75</v>
      </c>
      <c r="N26" s="2">
        <v>0.7</v>
      </c>
      <c r="O26" s="2">
        <v>0.79</v>
      </c>
      <c r="P26">
        <v>5501</v>
      </c>
      <c r="Q26" s="2">
        <v>0.63</v>
      </c>
      <c r="R26" s="2">
        <v>0.59</v>
      </c>
      <c r="S26" s="2">
        <v>0.66</v>
      </c>
    </row>
    <row r="27" spans="1:19" x14ac:dyDescent="0.35">
      <c r="A27" t="str">
        <f t="shared" si="0"/>
        <v>2021/22ScotlandAll50-64</v>
      </c>
      <c r="B27" t="s">
        <v>32</v>
      </c>
      <c r="C27" s="105" t="s">
        <v>125</v>
      </c>
      <c r="D27" s="105" t="s">
        <v>31</v>
      </c>
      <c r="E27" s="105" t="s">
        <v>58</v>
      </c>
      <c r="F27" s="105">
        <v>9500</v>
      </c>
      <c r="G27" s="105">
        <v>9000</v>
      </c>
      <c r="H27" s="105">
        <v>10100</v>
      </c>
      <c r="I27" s="1">
        <v>8.2000000000000007E-3</v>
      </c>
      <c r="J27" s="1">
        <v>7.7999999999999996E-3</v>
      </c>
      <c r="K27" s="1">
        <v>8.8000000000000005E-3</v>
      </c>
      <c r="L27">
        <v>7341</v>
      </c>
      <c r="M27" s="2">
        <v>0.77</v>
      </c>
      <c r="N27" s="2">
        <v>0.73</v>
      </c>
      <c r="O27" s="2">
        <v>0.82</v>
      </c>
      <c r="P27">
        <v>6270</v>
      </c>
      <c r="Q27" s="2">
        <v>0.66</v>
      </c>
      <c r="R27" s="2">
        <v>0.62</v>
      </c>
      <c r="S27" s="2">
        <v>0.7</v>
      </c>
    </row>
    <row r="28" spans="1:19" x14ac:dyDescent="0.35">
      <c r="A28" t="str">
        <f t="shared" si="0"/>
        <v>2022/23ScotlandAll50-64</v>
      </c>
      <c r="B28" t="s">
        <v>32</v>
      </c>
      <c r="C28" s="105" t="s">
        <v>126</v>
      </c>
      <c r="D28" s="105" t="s">
        <v>31</v>
      </c>
      <c r="E28" s="105" t="s">
        <v>58</v>
      </c>
      <c r="F28" s="105">
        <v>10300</v>
      </c>
      <c r="G28" s="105">
        <v>9700</v>
      </c>
      <c r="H28" s="105">
        <v>11000</v>
      </c>
      <c r="I28" s="1">
        <v>8.8000000000000005E-3</v>
      </c>
      <c r="J28" s="1">
        <v>8.3000000000000001E-3</v>
      </c>
      <c r="K28" s="1">
        <v>9.4000000000000004E-3</v>
      </c>
      <c r="L28">
        <v>8121</v>
      </c>
      <c r="M28" s="2">
        <v>0.79</v>
      </c>
      <c r="N28" s="2">
        <v>0.74</v>
      </c>
      <c r="O28" s="2">
        <v>0.84</v>
      </c>
      <c r="P28">
        <v>6946</v>
      </c>
      <c r="Q28" s="2">
        <v>0.67</v>
      </c>
      <c r="R28" s="2">
        <v>0.63</v>
      </c>
      <c r="S28" s="2">
        <v>0.72</v>
      </c>
    </row>
    <row r="29" spans="1:19" x14ac:dyDescent="0.35">
      <c r="A29" t="str">
        <f t="shared" si="0"/>
        <v>2014/15NHS Greater Glasgow &amp; ClydeAll15-34</v>
      </c>
      <c r="B29" t="s">
        <v>38</v>
      </c>
      <c r="C29" s="105" t="s">
        <v>39</v>
      </c>
      <c r="D29" s="105" t="s">
        <v>31</v>
      </c>
      <c r="E29" s="105" t="s">
        <v>56</v>
      </c>
      <c r="F29" s="105">
        <v>4000</v>
      </c>
      <c r="G29" s="105">
        <v>3700</v>
      </c>
      <c r="H29" s="105">
        <v>4300</v>
      </c>
      <c r="I29" s="1">
        <v>1.23E-2</v>
      </c>
      <c r="J29" s="1">
        <v>1.15E-2</v>
      </c>
      <c r="K29" s="1">
        <v>1.3299999999999999E-2</v>
      </c>
      <c r="L29">
        <v>2684</v>
      </c>
      <c r="M29" s="2">
        <v>0.67</v>
      </c>
      <c r="N29" s="2">
        <v>0.62</v>
      </c>
      <c r="O29" s="2">
        <v>0.73</v>
      </c>
      <c r="P29">
        <v>2116</v>
      </c>
      <c r="Q29" s="2">
        <v>0.53</v>
      </c>
      <c r="R29" s="2">
        <v>0.49</v>
      </c>
      <c r="S29" s="2">
        <v>0.56999999999999995</v>
      </c>
    </row>
    <row r="30" spans="1:19" x14ac:dyDescent="0.35">
      <c r="A30" t="str">
        <f t="shared" si="0"/>
        <v>2015/16NHS Greater Glasgow &amp; ClydeAll15-34</v>
      </c>
      <c r="B30" t="s">
        <v>38</v>
      </c>
      <c r="C30" s="105" t="s">
        <v>44</v>
      </c>
      <c r="D30" s="105" t="s">
        <v>31</v>
      </c>
      <c r="E30" s="105" t="s">
        <v>56</v>
      </c>
      <c r="F30" s="105">
        <v>3500</v>
      </c>
      <c r="G30" s="105">
        <v>3200</v>
      </c>
      <c r="H30" s="105">
        <v>3700</v>
      </c>
      <c r="I30" s="1">
        <v>1.0500000000000001E-2</v>
      </c>
      <c r="J30" s="1">
        <v>9.7000000000000003E-3</v>
      </c>
      <c r="K30" s="2">
        <v>1.14E-2</v>
      </c>
      <c r="L30">
        <v>2240</v>
      </c>
      <c r="M30" s="2">
        <v>0.64</v>
      </c>
      <c r="N30" s="2">
        <v>0.61</v>
      </c>
      <c r="O30" s="2">
        <v>0.7</v>
      </c>
      <c r="P30">
        <v>1790</v>
      </c>
      <c r="Q30" s="2">
        <v>0.51</v>
      </c>
      <c r="R30" s="2">
        <v>0.48</v>
      </c>
      <c r="S30" s="2">
        <v>0.56000000000000005</v>
      </c>
    </row>
    <row r="31" spans="1:19" x14ac:dyDescent="0.35">
      <c r="A31" t="str">
        <f t="shared" si="0"/>
        <v>2016/17NHS Greater Glasgow &amp; ClydeAll15-34</v>
      </c>
      <c r="B31" t="s">
        <v>38</v>
      </c>
      <c r="C31" s="105" t="s">
        <v>46</v>
      </c>
      <c r="D31" s="105" t="s">
        <v>31</v>
      </c>
      <c r="E31" s="105" t="s">
        <v>56</v>
      </c>
      <c r="F31" s="105">
        <v>2900</v>
      </c>
      <c r="G31" s="105">
        <v>2700</v>
      </c>
      <c r="H31" s="105">
        <v>3200</v>
      </c>
      <c r="I31" s="1">
        <v>8.8000000000000005E-3</v>
      </c>
      <c r="J31" s="1">
        <v>8.0999999999999996E-3</v>
      </c>
      <c r="K31" s="1">
        <v>9.4999999999999998E-3</v>
      </c>
      <c r="L31">
        <v>1866</v>
      </c>
      <c r="M31" s="2">
        <v>0.64</v>
      </c>
      <c r="N31" s="2">
        <v>0.57999999999999996</v>
      </c>
      <c r="O31" s="2">
        <v>0.69</v>
      </c>
      <c r="P31">
        <v>1511</v>
      </c>
      <c r="Q31" s="2">
        <v>0.52</v>
      </c>
      <c r="R31" s="2">
        <v>0.47</v>
      </c>
      <c r="S31" s="2">
        <v>0.56000000000000005</v>
      </c>
    </row>
    <row r="32" spans="1:19" x14ac:dyDescent="0.35">
      <c r="A32" t="str">
        <f t="shared" si="0"/>
        <v>2017/18NHS Greater Glasgow &amp; ClydeAll15-34</v>
      </c>
      <c r="B32" t="s">
        <v>38</v>
      </c>
      <c r="C32" s="105" t="s">
        <v>47</v>
      </c>
      <c r="D32" s="105" t="s">
        <v>31</v>
      </c>
      <c r="E32" s="105" t="s">
        <v>56</v>
      </c>
      <c r="F32" s="105">
        <v>2600</v>
      </c>
      <c r="G32" s="105">
        <v>2400</v>
      </c>
      <c r="H32" s="105">
        <v>2800</v>
      </c>
      <c r="I32" s="1">
        <v>7.7000000000000002E-3</v>
      </c>
      <c r="J32" s="1">
        <v>7.1000000000000004E-3</v>
      </c>
      <c r="K32" s="1">
        <v>8.3000000000000001E-3</v>
      </c>
      <c r="L32">
        <v>1610</v>
      </c>
      <c r="M32" s="2">
        <v>0.62</v>
      </c>
      <c r="N32" s="2">
        <v>0.57999999999999996</v>
      </c>
      <c r="O32" s="2">
        <v>0.67</v>
      </c>
      <c r="P32">
        <v>1298</v>
      </c>
      <c r="Q32" s="2">
        <v>0.5</v>
      </c>
      <c r="R32" s="2">
        <v>0.46</v>
      </c>
      <c r="S32" s="2">
        <v>0.54</v>
      </c>
    </row>
    <row r="33" spans="1:19" x14ac:dyDescent="0.35">
      <c r="A33" t="str">
        <f t="shared" si="0"/>
        <v>2018/19NHS Greater Glasgow &amp; ClydeAll15-34</v>
      </c>
      <c r="B33" t="s">
        <v>38</v>
      </c>
      <c r="C33" s="105" t="s">
        <v>48</v>
      </c>
      <c r="D33" s="105" t="s">
        <v>31</v>
      </c>
      <c r="E33" s="105" t="s">
        <v>56</v>
      </c>
      <c r="F33" s="105">
        <v>2500</v>
      </c>
      <c r="G33" s="105">
        <v>2300</v>
      </c>
      <c r="H33" s="105">
        <v>2700</v>
      </c>
      <c r="I33" s="1">
        <v>7.4000000000000003E-3</v>
      </c>
      <c r="J33" s="1">
        <v>6.8999999999999999E-3</v>
      </c>
      <c r="K33" s="1">
        <v>8.0999999999999996E-3</v>
      </c>
      <c r="L33">
        <v>1467</v>
      </c>
      <c r="M33" s="2">
        <v>0.59</v>
      </c>
      <c r="N33" s="2">
        <v>0.54</v>
      </c>
      <c r="O33" s="2">
        <v>0.64</v>
      </c>
      <c r="P33">
        <v>1183</v>
      </c>
      <c r="Q33" s="2">
        <v>0.47</v>
      </c>
      <c r="R33" s="2">
        <v>0.44</v>
      </c>
      <c r="S33" s="2">
        <v>0.51</v>
      </c>
    </row>
    <row r="34" spans="1:19" x14ac:dyDescent="0.35">
      <c r="A34" t="str">
        <f t="shared" si="0"/>
        <v>2019/20NHS Greater Glasgow &amp; ClydeAll15-34</v>
      </c>
      <c r="B34" t="s">
        <v>38</v>
      </c>
      <c r="C34" s="105" t="s">
        <v>49</v>
      </c>
      <c r="D34" s="105" t="s">
        <v>31</v>
      </c>
      <c r="E34" s="105" t="s">
        <v>56</v>
      </c>
      <c r="F34" s="105">
        <v>2600</v>
      </c>
      <c r="G34" s="105">
        <v>2400</v>
      </c>
      <c r="H34" s="105">
        <v>2900</v>
      </c>
      <c r="I34" s="1">
        <v>7.7999999999999996E-3</v>
      </c>
      <c r="J34" s="1">
        <v>7.1000000000000004E-3</v>
      </c>
      <c r="K34" s="1">
        <v>8.6E-3</v>
      </c>
      <c r="L34">
        <v>1350</v>
      </c>
      <c r="M34" s="2">
        <v>0.52</v>
      </c>
      <c r="N34" s="2">
        <v>0.47</v>
      </c>
      <c r="O34" s="2">
        <v>0.56000000000000005</v>
      </c>
      <c r="P34">
        <v>1104</v>
      </c>
      <c r="Q34" s="2">
        <v>0.42</v>
      </c>
      <c r="R34" s="2">
        <v>0.38</v>
      </c>
      <c r="S34" s="2">
        <v>0.46</v>
      </c>
    </row>
    <row r="35" spans="1:19" x14ac:dyDescent="0.35">
      <c r="A35" t="str">
        <f t="shared" si="0"/>
        <v>2020/21NHS Greater Glasgow &amp; ClydeAll15-34</v>
      </c>
      <c r="B35" t="s">
        <v>38</v>
      </c>
      <c r="C35" s="105" t="s">
        <v>124</v>
      </c>
      <c r="D35" s="105" t="s">
        <v>31</v>
      </c>
      <c r="E35" s="105" t="s">
        <v>56</v>
      </c>
      <c r="F35" s="105">
        <v>2700</v>
      </c>
      <c r="G35" s="105">
        <v>2400</v>
      </c>
      <c r="H35" s="105">
        <v>2900</v>
      </c>
      <c r="I35" s="1">
        <v>7.7999999999999996E-3</v>
      </c>
      <c r="J35" s="1">
        <v>7.1000000000000004E-3</v>
      </c>
      <c r="K35" s="1">
        <v>8.6E-3</v>
      </c>
      <c r="L35">
        <v>1323</v>
      </c>
      <c r="M35" s="2">
        <v>0.49</v>
      </c>
      <c r="N35" s="2">
        <v>0.46</v>
      </c>
      <c r="O35" s="2">
        <v>0.55000000000000004</v>
      </c>
      <c r="P35">
        <v>1077</v>
      </c>
      <c r="Q35" s="2">
        <v>0.4</v>
      </c>
      <c r="R35" s="2">
        <v>0.37</v>
      </c>
      <c r="S35" s="2">
        <v>0.45</v>
      </c>
    </row>
    <row r="36" spans="1:19" x14ac:dyDescent="0.35">
      <c r="A36" t="str">
        <f t="shared" si="0"/>
        <v>2021/22NHS Greater Glasgow &amp; ClydeAll15-34</v>
      </c>
      <c r="B36" t="s">
        <v>38</v>
      </c>
      <c r="C36" s="105" t="s">
        <v>125</v>
      </c>
      <c r="D36" s="105" t="s">
        <v>31</v>
      </c>
      <c r="E36" s="105" t="s">
        <v>56</v>
      </c>
      <c r="F36" s="105">
        <v>2400</v>
      </c>
      <c r="G36" s="105">
        <v>2100</v>
      </c>
      <c r="H36" s="105">
        <v>2600</v>
      </c>
      <c r="I36" s="1">
        <v>7.0000000000000001E-3</v>
      </c>
      <c r="J36" s="1">
        <v>6.4000000000000003E-3</v>
      </c>
      <c r="K36" s="1">
        <v>7.7999999999999996E-3</v>
      </c>
      <c r="L36">
        <v>1245</v>
      </c>
      <c r="M36" s="2">
        <v>0.52</v>
      </c>
      <c r="N36" s="2">
        <v>0.48</v>
      </c>
      <c r="O36" s="2">
        <v>0.59</v>
      </c>
      <c r="P36">
        <v>1012</v>
      </c>
      <c r="Q36" s="2">
        <v>0.42</v>
      </c>
      <c r="R36" s="2">
        <v>0.39</v>
      </c>
      <c r="S36" s="2">
        <v>0.48</v>
      </c>
    </row>
    <row r="37" spans="1:19" x14ac:dyDescent="0.35">
      <c r="A37" t="str">
        <f t="shared" si="0"/>
        <v>2022/23NHS Greater Glasgow &amp; ClydeAll15-34</v>
      </c>
      <c r="B37" t="s">
        <v>38</v>
      </c>
      <c r="C37" s="105" t="s">
        <v>126</v>
      </c>
      <c r="D37" s="105" t="s">
        <v>31</v>
      </c>
      <c r="E37" s="105" t="s">
        <v>56</v>
      </c>
      <c r="F37" s="105">
        <v>2000</v>
      </c>
      <c r="G37" s="105">
        <v>1800</v>
      </c>
      <c r="H37" s="105">
        <v>2200</v>
      </c>
      <c r="I37" s="1">
        <v>6.1000000000000004E-3</v>
      </c>
      <c r="J37" s="1">
        <v>5.4999999999999997E-3</v>
      </c>
      <c r="K37" s="1">
        <v>6.7000000000000002E-3</v>
      </c>
      <c r="L37">
        <v>1168</v>
      </c>
      <c r="M37" s="2">
        <v>0.57999999999999996</v>
      </c>
      <c r="N37" s="2">
        <v>0.53</v>
      </c>
      <c r="O37" s="2">
        <v>0.65</v>
      </c>
      <c r="P37">
        <v>927</v>
      </c>
      <c r="Q37" s="2">
        <v>0.46</v>
      </c>
      <c r="R37" s="2">
        <v>0.42</v>
      </c>
      <c r="S37" s="2">
        <v>0.52</v>
      </c>
    </row>
    <row r="38" spans="1:19" x14ac:dyDescent="0.35">
      <c r="A38" t="str">
        <f t="shared" si="0"/>
        <v>2014/15NHS Greater Glasgow &amp; ClydeAll35-49</v>
      </c>
      <c r="B38" t="s">
        <v>38</v>
      </c>
      <c r="C38" s="105" t="s">
        <v>39</v>
      </c>
      <c r="D38" s="105" t="s">
        <v>31</v>
      </c>
      <c r="E38" s="105" t="s">
        <v>57</v>
      </c>
      <c r="F38" s="105">
        <v>9400</v>
      </c>
      <c r="G38" s="105">
        <v>9000</v>
      </c>
      <c r="H38" s="105">
        <v>9800</v>
      </c>
      <c r="I38" s="1">
        <v>4.0800000000000003E-2</v>
      </c>
      <c r="J38" s="1">
        <v>3.9300000000000002E-2</v>
      </c>
      <c r="K38" s="1">
        <v>4.2599999999999999E-2</v>
      </c>
      <c r="L38">
        <v>7747</v>
      </c>
      <c r="M38" s="2">
        <v>0.82</v>
      </c>
      <c r="N38" s="2">
        <v>0.79</v>
      </c>
      <c r="O38" s="2">
        <v>0.86</v>
      </c>
      <c r="P38">
        <v>6448</v>
      </c>
      <c r="Q38" s="2">
        <v>0.69</v>
      </c>
      <c r="R38" s="2">
        <v>0.66</v>
      </c>
      <c r="S38" s="2">
        <v>0.72</v>
      </c>
    </row>
    <row r="39" spans="1:19" x14ac:dyDescent="0.35">
      <c r="A39" t="str">
        <f t="shared" si="0"/>
        <v>2015/16NHS Greater Glasgow &amp; ClydeAll35-49</v>
      </c>
      <c r="B39" t="s">
        <v>38</v>
      </c>
      <c r="C39" s="105" t="s">
        <v>44</v>
      </c>
      <c r="D39" s="105" t="s">
        <v>31</v>
      </c>
      <c r="E39" s="105" t="s">
        <v>57</v>
      </c>
      <c r="F39" s="105">
        <v>9200</v>
      </c>
      <c r="G39" s="105">
        <v>8900</v>
      </c>
      <c r="H39" s="105">
        <v>9600</v>
      </c>
      <c r="I39" s="1">
        <v>4.0500000000000001E-2</v>
      </c>
      <c r="J39" s="1">
        <v>3.9100000000000003E-2</v>
      </c>
      <c r="K39" s="1">
        <v>4.2000000000000003E-2</v>
      </c>
      <c r="L39">
        <v>7784</v>
      </c>
      <c r="M39" s="2">
        <v>0.85</v>
      </c>
      <c r="N39" s="2">
        <v>0.81</v>
      </c>
      <c r="O39" s="2">
        <v>0.87</v>
      </c>
      <c r="P39">
        <v>6541</v>
      </c>
      <c r="Q39" s="2">
        <v>0.71</v>
      </c>
      <c r="R39" s="2">
        <v>0.68</v>
      </c>
      <c r="S39" s="2">
        <v>0.73</v>
      </c>
    </row>
    <row r="40" spans="1:19" x14ac:dyDescent="0.35">
      <c r="A40" t="str">
        <f t="shared" si="0"/>
        <v>2016/17NHS Greater Glasgow &amp; ClydeAll35-49</v>
      </c>
      <c r="B40" t="s">
        <v>38</v>
      </c>
      <c r="C40" s="105" t="s">
        <v>46</v>
      </c>
      <c r="D40" s="105" t="s">
        <v>31</v>
      </c>
      <c r="E40" s="105" t="s">
        <v>57</v>
      </c>
      <c r="F40" s="105">
        <v>9100</v>
      </c>
      <c r="G40" s="105">
        <v>8800</v>
      </c>
      <c r="H40" s="105">
        <v>9400</v>
      </c>
      <c r="I40" s="1">
        <v>0.04</v>
      </c>
      <c r="J40" s="1">
        <v>3.8699999999999998E-2</v>
      </c>
      <c r="K40" s="1">
        <v>4.1399999999999999E-2</v>
      </c>
      <c r="L40">
        <v>7743</v>
      </c>
      <c r="M40" s="2">
        <v>0.85</v>
      </c>
      <c r="N40" s="2">
        <v>0.82</v>
      </c>
      <c r="O40" s="2">
        <v>0.88</v>
      </c>
      <c r="P40">
        <v>6480</v>
      </c>
      <c r="Q40" s="2">
        <v>0.71</v>
      </c>
      <c r="R40" s="2">
        <v>0.69</v>
      </c>
      <c r="S40" s="2">
        <v>0.74</v>
      </c>
    </row>
    <row r="41" spans="1:19" x14ac:dyDescent="0.35">
      <c r="A41" t="str">
        <f t="shared" si="0"/>
        <v>2017/18NHS Greater Glasgow &amp; ClydeAll35-49</v>
      </c>
      <c r="B41" t="s">
        <v>38</v>
      </c>
      <c r="C41" s="105" t="s">
        <v>47</v>
      </c>
      <c r="D41" s="105" t="s">
        <v>31</v>
      </c>
      <c r="E41" s="105" t="s">
        <v>57</v>
      </c>
      <c r="F41" s="105">
        <v>8700</v>
      </c>
      <c r="G41" s="105">
        <v>8400</v>
      </c>
      <c r="H41" s="105">
        <v>9000</v>
      </c>
      <c r="I41" s="1">
        <v>3.85E-2</v>
      </c>
      <c r="J41" s="1">
        <v>3.7400000000000003E-2</v>
      </c>
      <c r="K41" s="1">
        <v>3.9800000000000002E-2</v>
      </c>
      <c r="L41">
        <v>7537</v>
      </c>
      <c r="M41" s="2">
        <v>0.87</v>
      </c>
      <c r="N41" s="2">
        <v>0.84</v>
      </c>
      <c r="O41" s="2">
        <v>0.9</v>
      </c>
      <c r="P41">
        <v>6382</v>
      </c>
      <c r="Q41" s="2">
        <v>0.73</v>
      </c>
      <c r="R41" s="2">
        <v>0.71</v>
      </c>
      <c r="S41" s="2">
        <v>0.76</v>
      </c>
    </row>
    <row r="42" spans="1:19" x14ac:dyDescent="0.35">
      <c r="A42" t="str">
        <f t="shared" si="0"/>
        <v>2018/19NHS Greater Glasgow &amp; ClydeAll35-49</v>
      </c>
      <c r="B42" t="s">
        <v>38</v>
      </c>
      <c r="C42" s="105" t="s">
        <v>48</v>
      </c>
      <c r="D42" s="105" t="s">
        <v>31</v>
      </c>
      <c r="E42" s="105" t="s">
        <v>57</v>
      </c>
      <c r="F42" s="105">
        <v>8400</v>
      </c>
      <c r="G42" s="105">
        <v>8100</v>
      </c>
      <c r="H42" s="105">
        <v>8600</v>
      </c>
      <c r="I42" s="1">
        <v>3.7199999999999997E-2</v>
      </c>
      <c r="J42" s="1">
        <v>3.5999999999999997E-2</v>
      </c>
      <c r="K42" s="1">
        <v>3.8399999999999997E-2</v>
      </c>
      <c r="L42">
        <v>7162</v>
      </c>
      <c r="M42" s="2">
        <v>0.85</v>
      </c>
      <c r="N42" s="2">
        <v>0.83</v>
      </c>
      <c r="O42" s="2">
        <v>0.88</v>
      </c>
      <c r="P42">
        <v>6066</v>
      </c>
      <c r="Q42" s="2">
        <v>0.72</v>
      </c>
      <c r="R42" s="2">
        <v>0.71</v>
      </c>
      <c r="S42" s="2">
        <v>0.75</v>
      </c>
    </row>
    <row r="43" spans="1:19" x14ac:dyDescent="0.35">
      <c r="A43" t="str">
        <f t="shared" si="0"/>
        <v>2019/20NHS Greater Glasgow &amp; ClydeAll35-49</v>
      </c>
      <c r="B43" t="s">
        <v>38</v>
      </c>
      <c r="C43" s="105" t="s">
        <v>49</v>
      </c>
      <c r="D43" s="105" t="s">
        <v>31</v>
      </c>
      <c r="E43" s="105" t="s">
        <v>57</v>
      </c>
      <c r="F43" s="105">
        <v>8400</v>
      </c>
      <c r="G43" s="105">
        <v>8100</v>
      </c>
      <c r="H43" s="105">
        <v>8700</v>
      </c>
      <c r="I43" s="1">
        <v>3.7199999999999997E-2</v>
      </c>
      <c r="J43" s="1">
        <v>3.5900000000000001E-2</v>
      </c>
      <c r="K43" s="1">
        <v>3.8600000000000002E-2</v>
      </c>
      <c r="L43">
        <v>6866</v>
      </c>
      <c r="M43" s="2">
        <v>0.82</v>
      </c>
      <c r="N43" s="2">
        <v>0.79</v>
      </c>
      <c r="O43" s="2">
        <v>0.85</v>
      </c>
      <c r="P43">
        <v>5858</v>
      </c>
      <c r="Q43" s="2">
        <v>0.7</v>
      </c>
      <c r="R43" s="2">
        <v>0.67</v>
      </c>
      <c r="S43" s="2">
        <v>0.72</v>
      </c>
    </row>
    <row r="44" spans="1:19" x14ac:dyDescent="0.35">
      <c r="A44" t="str">
        <f t="shared" si="0"/>
        <v>2020/21NHS Greater Glasgow &amp; ClydeAll35-49</v>
      </c>
      <c r="B44" t="s">
        <v>38</v>
      </c>
      <c r="C44" s="105" t="s">
        <v>124</v>
      </c>
      <c r="D44" s="105" t="s">
        <v>31</v>
      </c>
      <c r="E44" s="105" t="s">
        <v>57</v>
      </c>
      <c r="F44" s="105">
        <v>8000</v>
      </c>
      <c r="G44" s="105">
        <v>7700</v>
      </c>
      <c r="H44" s="105">
        <v>8300</v>
      </c>
      <c r="I44" s="1">
        <v>3.5499999999999997E-2</v>
      </c>
      <c r="J44" s="1">
        <v>3.4200000000000001E-2</v>
      </c>
      <c r="K44" s="1">
        <v>3.6900000000000002E-2</v>
      </c>
      <c r="L44">
        <v>6458</v>
      </c>
      <c r="M44" s="2">
        <v>0.81</v>
      </c>
      <c r="N44" s="2">
        <v>0.78</v>
      </c>
      <c r="O44" s="2">
        <v>0.84</v>
      </c>
      <c r="P44">
        <v>5522</v>
      </c>
      <c r="Q44" s="2">
        <v>0.69</v>
      </c>
      <c r="R44" s="2">
        <v>0.67</v>
      </c>
      <c r="S44" s="2">
        <v>0.72</v>
      </c>
    </row>
    <row r="45" spans="1:19" x14ac:dyDescent="0.35">
      <c r="A45" t="str">
        <f t="shared" si="0"/>
        <v>2021/22NHS Greater Glasgow &amp; ClydeAll35-49</v>
      </c>
      <c r="B45" t="s">
        <v>38</v>
      </c>
      <c r="C45" s="105" t="s">
        <v>125</v>
      </c>
      <c r="D45" s="105" t="s">
        <v>31</v>
      </c>
      <c r="E45" s="105" t="s">
        <v>57</v>
      </c>
      <c r="F45" s="105">
        <v>7400</v>
      </c>
      <c r="G45" s="105">
        <v>7100</v>
      </c>
      <c r="H45" s="105">
        <v>7700</v>
      </c>
      <c r="I45" s="1">
        <v>3.27E-2</v>
      </c>
      <c r="J45" s="1">
        <v>3.1399999999999997E-2</v>
      </c>
      <c r="K45" s="1">
        <v>3.4099999999999998E-2</v>
      </c>
      <c r="L45">
        <v>6062</v>
      </c>
      <c r="M45" s="2">
        <v>0.82</v>
      </c>
      <c r="N45" s="2">
        <v>0.79</v>
      </c>
      <c r="O45" s="2">
        <v>0.85</v>
      </c>
      <c r="P45">
        <v>5271</v>
      </c>
      <c r="Q45" s="2">
        <v>0.71</v>
      </c>
      <c r="R45" s="2">
        <v>0.68</v>
      </c>
      <c r="S45" s="2">
        <v>0.74</v>
      </c>
    </row>
    <row r="46" spans="1:19" x14ac:dyDescent="0.35">
      <c r="A46" t="str">
        <f t="shared" si="0"/>
        <v>2022/23NHS Greater Glasgow &amp; ClydeAll35-49</v>
      </c>
      <c r="B46" t="s">
        <v>38</v>
      </c>
      <c r="C46" s="105" t="s">
        <v>126</v>
      </c>
      <c r="D46" s="105" t="s">
        <v>31</v>
      </c>
      <c r="E46" s="105" t="s">
        <v>57</v>
      </c>
      <c r="F46" s="105">
        <v>6700</v>
      </c>
      <c r="G46" s="105">
        <v>6500</v>
      </c>
      <c r="H46" s="105">
        <v>7000</v>
      </c>
      <c r="I46" s="1">
        <v>3.0300000000000001E-2</v>
      </c>
      <c r="J46" s="1">
        <v>2.9100000000000001E-2</v>
      </c>
      <c r="K46" s="1">
        <v>3.15E-2</v>
      </c>
      <c r="L46">
        <v>5696</v>
      </c>
      <c r="M46" s="2">
        <v>0.85</v>
      </c>
      <c r="N46" s="2">
        <v>0.81</v>
      </c>
      <c r="O46" s="2">
        <v>0.88</v>
      </c>
      <c r="P46">
        <v>4946</v>
      </c>
      <c r="Q46" s="2">
        <v>0.74</v>
      </c>
      <c r="R46" s="2">
        <v>0.71</v>
      </c>
      <c r="S46" s="2">
        <v>0.76</v>
      </c>
    </row>
    <row r="47" spans="1:19" x14ac:dyDescent="0.35">
      <c r="A47" t="str">
        <f t="shared" si="0"/>
        <v>2014/15NHS Greater Glasgow &amp; ClydeAll50-64</v>
      </c>
      <c r="B47" t="s">
        <v>38</v>
      </c>
      <c r="C47" s="105" t="s">
        <v>39</v>
      </c>
      <c r="D47" s="105" t="s">
        <v>31</v>
      </c>
      <c r="E47" s="105" t="s">
        <v>58</v>
      </c>
      <c r="F47" s="105">
        <v>1700</v>
      </c>
      <c r="G47" s="105">
        <v>1500</v>
      </c>
      <c r="H47" s="105">
        <v>1900</v>
      </c>
      <c r="I47" s="1">
        <v>7.7999999999999996E-3</v>
      </c>
      <c r="J47" s="1">
        <v>7.0000000000000001E-3</v>
      </c>
      <c r="K47" s="1">
        <v>8.8000000000000005E-3</v>
      </c>
      <c r="L47">
        <v>1143</v>
      </c>
      <c r="M47" s="2">
        <v>0.67</v>
      </c>
      <c r="N47" s="2">
        <v>0.6</v>
      </c>
      <c r="O47" s="2">
        <v>0.76</v>
      </c>
      <c r="P47">
        <v>908</v>
      </c>
      <c r="Q47" s="2">
        <v>0.53</v>
      </c>
      <c r="R47" s="2">
        <v>0.48</v>
      </c>
      <c r="S47" s="2">
        <v>0.61</v>
      </c>
    </row>
    <row r="48" spans="1:19" x14ac:dyDescent="0.35">
      <c r="A48" t="str">
        <f t="shared" si="0"/>
        <v>2015/16NHS Greater Glasgow &amp; ClydeAll50-64</v>
      </c>
      <c r="B48" t="s">
        <v>38</v>
      </c>
      <c r="C48" s="105" t="s">
        <v>44</v>
      </c>
      <c r="D48" s="105" t="s">
        <v>31</v>
      </c>
      <c r="E48" s="105" t="s">
        <v>58</v>
      </c>
      <c r="F48" s="105">
        <v>1900</v>
      </c>
      <c r="G48" s="105">
        <v>1700</v>
      </c>
      <c r="H48" s="105">
        <v>2100</v>
      </c>
      <c r="I48" s="1">
        <v>8.5000000000000006E-3</v>
      </c>
      <c r="J48" s="1">
        <v>7.7000000000000002E-3</v>
      </c>
      <c r="K48" s="1">
        <v>9.4000000000000004E-3</v>
      </c>
      <c r="L48">
        <v>1364</v>
      </c>
      <c r="M48" s="2">
        <v>0.72</v>
      </c>
      <c r="N48" s="2">
        <v>0.65</v>
      </c>
      <c r="O48" s="2">
        <v>0.8</v>
      </c>
      <c r="P48">
        <v>1111</v>
      </c>
      <c r="Q48" s="2">
        <v>0.57999999999999996</v>
      </c>
      <c r="R48" s="2">
        <v>0.53</v>
      </c>
      <c r="S48" s="2">
        <v>0.65</v>
      </c>
    </row>
    <row r="49" spans="1:19" x14ac:dyDescent="0.35">
      <c r="A49" t="str">
        <f t="shared" si="0"/>
        <v>2016/17NHS Greater Glasgow &amp; ClydeAll50-64</v>
      </c>
      <c r="B49" t="s">
        <v>38</v>
      </c>
      <c r="C49" s="105" t="s">
        <v>46</v>
      </c>
      <c r="D49" s="105" t="s">
        <v>31</v>
      </c>
      <c r="E49" s="105" t="s">
        <v>58</v>
      </c>
      <c r="F49" s="105">
        <v>2200</v>
      </c>
      <c r="G49" s="105">
        <v>2000</v>
      </c>
      <c r="H49" s="105">
        <v>2400</v>
      </c>
      <c r="I49" s="1">
        <v>9.7999999999999997E-3</v>
      </c>
      <c r="J49" s="1">
        <v>8.8999999999999999E-3</v>
      </c>
      <c r="K49" s="1">
        <v>1.0699999999999999E-2</v>
      </c>
      <c r="L49">
        <v>1637</v>
      </c>
      <c r="M49" s="2">
        <v>0.74</v>
      </c>
      <c r="N49" s="2">
        <v>0.68</v>
      </c>
      <c r="O49" s="2">
        <v>0.82</v>
      </c>
      <c r="P49">
        <v>1352</v>
      </c>
      <c r="Q49" s="2">
        <v>0.61</v>
      </c>
      <c r="R49" s="2">
        <v>0.56000000000000005</v>
      </c>
      <c r="S49" s="2">
        <v>0.68</v>
      </c>
    </row>
    <row r="50" spans="1:19" x14ac:dyDescent="0.35">
      <c r="A50" t="str">
        <f t="shared" si="0"/>
        <v>2017/18NHS Greater Glasgow &amp; ClydeAll50-64</v>
      </c>
      <c r="B50" t="s">
        <v>38</v>
      </c>
      <c r="C50" s="105" t="s">
        <v>47</v>
      </c>
      <c r="D50" s="105" t="s">
        <v>31</v>
      </c>
      <c r="E50" s="105" t="s">
        <v>58</v>
      </c>
      <c r="F50" s="105">
        <v>2300</v>
      </c>
      <c r="G50" s="105">
        <v>2100</v>
      </c>
      <c r="H50" s="105">
        <v>2400</v>
      </c>
      <c r="I50" s="1">
        <v>9.7999999999999997E-3</v>
      </c>
      <c r="J50" s="1">
        <v>9.1999999999999998E-3</v>
      </c>
      <c r="K50" s="1">
        <v>1.0500000000000001E-2</v>
      </c>
      <c r="L50">
        <v>1893</v>
      </c>
      <c r="M50" s="2">
        <v>0.82</v>
      </c>
      <c r="N50" s="2">
        <v>0.79</v>
      </c>
      <c r="O50" s="2">
        <v>0.9</v>
      </c>
      <c r="P50">
        <v>1584</v>
      </c>
      <c r="Q50" s="2">
        <v>0.69</v>
      </c>
      <c r="R50" s="2">
        <v>0.66</v>
      </c>
      <c r="S50" s="2">
        <v>0.75</v>
      </c>
    </row>
    <row r="51" spans="1:19" x14ac:dyDescent="0.35">
      <c r="A51" t="str">
        <f t="shared" si="0"/>
        <v>2018/19NHS Greater Glasgow &amp; ClydeAll50-64</v>
      </c>
      <c r="B51" t="s">
        <v>38</v>
      </c>
      <c r="C51" s="105" t="s">
        <v>48</v>
      </c>
      <c r="D51" s="105" t="s">
        <v>31</v>
      </c>
      <c r="E51" s="105" t="s">
        <v>58</v>
      </c>
      <c r="F51" s="105">
        <v>2700</v>
      </c>
      <c r="G51" s="105">
        <v>2500</v>
      </c>
      <c r="H51" s="105">
        <v>2800</v>
      </c>
      <c r="I51" s="1">
        <v>1.14E-2</v>
      </c>
      <c r="J51" s="1">
        <v>1.0699999999999999E-2</v>
      </c>
      <c r="K51" s="1">
        <v>1.21E-2</v>
      </c>
      <c r="L51">
        <v>2167</v>
      </c>
      <c r="M51" s="2">
        <v>0.8</v>
      </c>
      <c r="N51" s="2">
        <v>0.77</v>
      </c>
      <c r="O51" s="2">
        <v>0.87</v>
      </c>
      <c r="P51">
        <v>1834</v>
      </c>
      <c r="Q51" s="2">
        <v>0.68</v>
      </c>
      <c r="R51" s="2">
        <v>0.66</v>
      </c>
      <c r="S51" s="2">
        <v>0.73</v>
      </c>
    </row>
    <row r="52" spans="1:19" x14ac:dyDescent="0.35">
      <c r="A52" t="str">
        <f t="shared" si="0"/>
        <v>2019/20NHS Greater Glasgow &amp; ClydeAll50-64</v>
      </c>
      <c r="B52" t="s">
        <v>38</v>
      </c>
      <c r="C52" s="105" t="s">
        <v>49</v>
      </c>
      <c r="D52" s="105" t="s">
        <v>31</v>
      </c>
      <c r="E52" s="105" t="s">
        <v>58</v>
      </c>
      <c r="F52" s="105">
        <v>2900</v>
      </c>
      <c r="G52" s="105">
        <v>2800</v>
      </c>
      <c r="H52" s="105">
        <v>3100</v>
      </c>
      <c r="I52" s="1">
        <v>1.24E-2</v>
      </c>
      <c r="J52" s="1">
        <v>1.17E-2</v>
      </c>
      <c r="K52" s="1">
        <v>1.3100000000000001E-2</v>
      </c>
      <c r="L52">
        <v>2424</v>
      </c>
      <c r="M52" s="2">
        <v>0.84</v>
      </c>
      <c r="N52" s="2">
        <v>0.78</v>
      </c>
      <c r="O52" s="2">
        <v>0.87</v>
      </c>
      <c r="P52">
        <v>2049</v>
      </c>
      <c r="Q52" s="2">
        <v>0.71</v>
      </c>
      <c r="R52" s="2">
        <v>0.66</v>
      </c>
      <c r="S52" s="2">
        <v>0.73</v>
      </c>
    </row>
    <row r="53" spans="1:19" x14ac:dyDescent="0.35">
      <c r="A53" t="str">
        <f t="shared" si="0"/>
        <v>2020/21NHS Greater Glasgow &amp; ClydeAll50-64</v>
      </c>
      <c r="B53" t="s">
        <v>38</v>
      </c>
      <c r="C53" s="105" t="s">
        <v>124</v>
      </c>
      <c r="D53" s="105" t="s">
        <v>31</v>
      </c>
      <c r="E53" s="105" t="s">
        <v>58</v>
      </c>
      <c r="F53" s="105">
        <v>3400</v>
      </c>
      <c r="G53" s="105">
        <v>3200</v>
      </c>
      <c r="H53" s="105">
        <v>3600</v>
      </c>
      <c r="I53" s="1">
        <v>1.4200000000000001E-2</v>
      </c>
      <c r="J53" s="1">
        <v>1.34E-2</v>
      </c>
      <c r="K53" s="1">
        <v>1.5100000000000001E-2</v>
      </c>
      <c r="L53">
        <v>2675</v>
      </c>
      <c r="M53" s="2">
        <v>0.79</v>
      </c>
      <c r="N53" s="2">
        <v>0.74</v>
      </c>
      <c r="O53" s="2">
        <v>0.84</v>
      </c>
      <c r="P53">
        <v>2293</v>
      </c>
      <c r="Q53" s="2">
        <v>0.67</v>
      </c>
      <c r="R53" s="2">
        <v>0.64</v>
      </c>
      <c r="S53" s="2">
        <v>0.72</v>
      </c>
    </row>
    <row r="54" spans="1:19" x14ac:dyDescent="0.35">
      <c r="A54" t="str">
        <f t="shared" si="0"/>
        <v>2021/22NHS Greater Glasgow &amp; ClydeAll50-64</v>
      </c>
      <c r="B54" t="s">
        <v>38</v>
      </c>
      <c r="C54" s="105" t="s">
        <v>125</v>
      </c>
      <c r="D54" s="105" t="s">
        <v>31</v>
      </c>
      <c r="E54" s="105" t="s">
        <v>58</v>
      </c>
      <c r="F54" s="105">
        <v>3600</v>
      </c>
      <c r="G54" s="105">
        <v>3400</v>
      </c>
      <c r="H54" s="105">
        <v>3800</v>
      </c>
      <c r="I54" s="1">
        <v>1.52E-2</v>
      </c>
      <c r="J54" s="1">
        <v>1.43E-2</v>
      </c>
      <c r="K54" s="1">
        <v>1.6199999999999999E-2</v>
      </c>
      <c r="L54">
        <v>2925</v>
      </c>
      <c r="M54" s="2">
        <v>0.81</v>
      </c>
      <c r="N54" s="2">
        <v>0.77</v>
      </c>
      <c r="O54" s="2">
        <v>0.86</v>
      </c>
      <c r="P54">
        <v>2536</v>
      </c>
      <c r="Q54" s="2">
        <v>0.7</v>
      </c>
      <c r="R54" s="2">
        <v>0.67</v>
      </c>
      <c r="S54" s="2">
        <v>0.75</v>
      </c>
    </row>
    <row r="55" spans="1:19" x14ac:dyDescent="0.35">
      <c r="A55" t="str">
        <f t="shared" si="0"/>
        <v>2022/23NHS Greater Glasgow &amp; ClydeAll50-64</v>
      </c>
      <c r="B55" t="s">
        <v>38</v>
      </c>
      <c r="C55" s="105" t="s">
        <v>126</v>
      </c>
      <c r="D55" s="105" t="s">
        <v>31</v>
      </c>
      <c r="E55" s="105" t="s">
        <v>58</v>
      </c>
      <c r="F55" s="105">
        <v>3800</v>
      </c>
      <c r="G55" s="105">
        <v>3600</v>
      </c>
      <c r="H55" s="105">
        <v>4100</v>
      </c>
      <c r="I55" s="1">
        <v>1.5900000000000001E-2</v>
      </c>
      <c r="J55" s="1">
        <v>1.4999999999999999E-2</v>
      </c>
      <c r="K55" s="1">
        <v>1.7000000000000001E-2</v>
      </c>
      <c r="L55">
        <v>3149</v>
      </c>
      <c r="M55" s="2">
        <v>0.83</v>
      </c>
      <c r="N55" s="2">
        <v>0.77</v>
      </c>
      <c r="O55" s="2">
        <v>0.87</v>
      </c>
      <c r="P55">
        <v>2746</v>
      </c>
      <c r="Q55" s="2">
        <v>0.72</v>
      </c>
      <c r="R55" s="2">
        <v>0.67</v>
      </c>
      <c r="S55" s="2">
        <v>0.76</v>
      </c>
    </row>
    <row r="56" spans="1:19" x14ac:dyDescent="0.35">
      <c r="A56" t="str">
        <f t="shared" si="0"/>
        <v>2014/15NHS LothianAll15-34</v>
      </c>
      <c r="B56" t="s">
        <v>43</v>
      </c>
      <c r="C56" s="105" t="s">
        <v>39</v>
      </c>
      <c r="D56" s="105" t="s">
        <v>31</v>
      </c>
      <c r="E56" s="105" t="s">
        <v>56</v>
      </c>
      <c r="F56" s="105">
        <v>2800</v>
      </c>
      <c r="G56" s="105">
        <v>2600</v>
      </c>
      <c r="H56" s="105">
        <v>3000</v>
      </c>
      <c r="I56" s="1">
        <v>1.11E-2</v>
      </c>
      <c r="J56" s="1">
        <v>1.04E-2</v>
      </c>
      <c r="K56" s="1">
        <v>1.2E-2</v>
      </c>
      <c r="L56">
        <v>2003</v>
      </c>
      <c r="M56" s="2">
        <v>0.72</v>
      </c>
      <c r="N56" s="2">
        <v>0.67</v>
      </c>
      <c r="O56" s="2">
        <v>0.77</v>
      </c>
      <c r="P56">
        <v>1651</v>
      </c>
      <c r="Q56" s="2">
        <v>0.59</v>
      </c>
      <c r="R56" s="2">
        <v>0.55000000000000004</v>
      </c>
      <c r="S56" s="2">
        <v>0.64</v>
      </c>
    </row>
    <row r="57" spans="1:19" x14ac:dyDescent="0.35">
      <c r="A57" t="str">
        <f t="shared" si="0"/>
        <v>2015/16NHS LothianAll15-34</v>
      </c>
      <c r="B57" t="s">
        <v>43</v>
      </c>
      <c r="C57" s="105" t="s">
        <v>44</v>
      </c>
      <c r="D57" s="105" t="s">
        <v>31</v>
      </c>
      <c r="E57" s="105" t="s">
        <v>56</v>
      </c>
      <c r="F57" s="105">
        <v>2500</v>
      </c>
      <c r="G57" s="105">
        <v>2400</v>
      </c>
      <c r="H57" s="105">
        <v>2700</v>
      </c>
      <c r="I57" s="1">
        <v>1.01E-2</v>
      </c>
      <c r="J57" s="1">
        <v>9.4000000000000004E-3</v>
      </c>
      <c r="K57" s="1">
        <v>1.0800000000000001E-2</v>
      </c>
      <c r="L57">
        <v>1829</v>
      </c>
      <c r="M57" s="2">
        <v>0.73</v>
      </c>
      <c r="N57" s="2">
        <v>0.68</v>
      </c>
      <c r="O57" s="2">
        <v>0.76</v>
      </c>
      <c r="P57">
        <v>1477</v>
      </c>
      <c r="Q57" s="2">
        <v>0.59</v>
      </c>
      <c r="R57" s="2">
        <v>0.55000000000000004</v>
      </c>
      <c r="S57" s="2">
        <v>0.62</v>
      </c>
    </row>
    <row r="58" spans="1:19" x14ac:dyDescent="0.35">
      <c r="A58" t="str">
        <f t="shared" si="0"/>
        <v>2016/17NHS LothianAll15-34</v>
      </c>
      <c r="B58" t="s">
        <v>43</v>
      </c>
      <c r="C58" s="105" t="s">
        <v>46</v>
      </c>
      <c r="D58" s="105" t="s">
        <v>31</v>
      </c>
      <c r="E58" s="105" t="s">
        <v>56</v>
      </c>
      <c r="F58" s="105">
        <v>2200</v>
      </c>
      <c r="G58" s="105">
        <v>2100</v>
      </c>
      <c r="H58" s="105">
        <v>2400</v>
      </c>
      <c r="I58" s="1">
        <v>8.8000000000000005E-3</v>
      </c>
      <c r="J58" s="1">
        <v>8.2000000000000007E-3</v>
      </c>
      <c r="K58" s="1">
        <v>9.4000000000000004E-3</v>
      </c>
      <c r="L58">
        <v>1622</v>
      </c>
      <c r="M58" s="2">
        <v>0.74</v>
      </c>
      <c r="N58" s="2">
        <v>0.68</v>
      </c>
      <c r="O58" s="2">
        <v>0.77</v>
      </c>
      <c r="P58">
        <v>1316</v>
      </c>
      <c r="Q58" s="2">
        <v>0.6</v>
      </c>
      <c r="R58" s="2">
        <v>0.55000000000000004</v>
      </c>
      <c r="S58" s="2">
        <v>0.63</v>
      </c>
    </row>
    <row r="59" spans="1:19" x14ac:dyDescent="0.35">
      <c r="A59" t="str">
        <f t="shared" si="0"/>
        <v>2017/18NHS LothianAll15-34</v>
      </c>
      <c r="B59" t="s">
        <v>43</v>
      </c>
      <c r="C59" s="105" t="s">
        <v>47</v>
      </c>
      <c r="D59" s="105" t="s">
        <v>31</v>
      </c>
      <c r="E59" s="105" t="s">
        <v>56</v>
      </c>
      <c r="F59" s="105">
        <v>2000</v>
      </c>
      <c r="G59" s="105">
        <v>1800</v>
      </c>
      <c r="H59" s="105">
        <v>2100</v>
      </c>
      <c r="I59" s="1">
        <v>7.7000000000000002E-3</v>
      </c>
      <c r="J59" s="1">
        <v>7.1999999999999998E-3</v>
      </c>
      <c r="K59" s="1">
        <v>8.2000000000000007E-3</v>
      </c>
      <c r="L59">
        <v>1414</v>
      </c>
      <c r="M59" s="2">
        <v>0.71</v>
      </c>
      <c r="N59" s="2">
        <v>0.67</v>
      </c>
      <c r="O59" s="2">
        <v>0.79</v>
      </c>
      <c r="P59">
        <v>1132</v>
      </c>
      <c r="Q59" s="2">
        <v>0.56999999999999995</v>
      </c>
      <c r="R59" s="2">
        <v>0.54</v>
      </c>
      <c r="S59" s="2">
        <v>0.63</v>
      </c>
    </row>
    <row r="60" spans="1:19" x14ac:dyDescent="0.35">
      <c r="A60" t="str">
        <f t="shared" si="0"/>
        <v>2018/19NHS LothianAll15-34</v>
      </c>
      <c r="B60" t="s">
        <v>43</v>
      </c>
      <c r="C60" s="105" t="s">
        <v>48</v>
      </c>
      <c r="D60" s="105" t="s">
        <v>31</v>
      </c>
      <c r="E60" s="105" t="s">
        <v>56</v>
      </c>
      <c r="F60" s="105">
        <v>1900</v>
      </c>
      <c r="G60" s="105">
        <v>1700</v>
      </c>
      <c r="H60" s="105">
        <v>2000</v>
      </c>
      <c r="I60" s="1">
        <v>7.1999999999999998E-3</v>
      </c>
      <c r="J60" s="1">
        <v>6.6E-3</v>
      </c>
      <c r="K60" s="1">
        <v>7.7000000000000002E-3</v>
      </c>
      <c r="L60">
        <v>1251</v>
      </c>
      <c r="M60" s="2">
        <v>0.66</v>
      </c>
      <c r="N60" s="2">
        <v>0.63</v>
      </c>
      <c r="O60" s="2">
        <v>0.74</v>
      </c>
      <c r="P60">
        <v>1013</v>
      </c>
      <c r="Q60" s="2">
        <v>0.53</v>
      </c>
      <c r="R60" s="2">
        <v>0.51</v>
      </c>
      <c r="S60" s="2">
        <v>0.6</v>
      </c>
    </row>
    <row r="61" spans="1:19" x14ac:dyDescent="0.35">
      <c r="A61" t="str">
        <f t="shared" si="0"/>
        <v>2019/20NHS LothianAll15-34</v>
      </c>
      <c r="B61" t="s">
        <v>43</v>
      </c>
      <c r="C61" s="105" t="s">
        <v>49</v>
      </c>
      <c r="D61" s="105" t="s">
        <v>31</v>
      </c>
      <c r="E61" s="105" t="s">
        <v>56</v>
      </c>
      <c r="F61" s="105">
        <v>1900</v>
      </c>
      <c r="G61" s="105">
        <v>1700</v>
      </c>
      <c r="H61" s="105">
        <v>2100</v>
      </c>
      <c r="I61" s="1">
        <v>7.1999999999999998E-3</v>
      </c>
      <c r="J61" s="1">
        <v>6.6E-3</v>
      </c>
      <c r="K61" s="1">
        <v>7.9000000000000008E-3</v>
      </c>
      <c r="L61">
        <v>1140</v>
      </c>
      <c r="M61" s="2">
        <v>0.6</v>
      </c>
      <c r="N61" s="2">
        <v>0.54</v>
      </c>
      <c r="O61" s="2">
        <v>0.67</v>
      </c>
      <c r="P61">
        <v>957</v>
      </c>
      <c r="Q61" s="2">
        <v>0.5</v>
      </c>
      <c r="R61" s="2">
        <v>0.46</v>
      </c>
      <c r="S61" s="2">
        <v>0.56000000000000005</v>
      </c>
    </row>
    <row r="62" spans="1:19" x14ac:dyDescent="0.35">
      <c r="A62" t="str">
        <f t="shared" si="0"/>
        <v>2020/21NHS LothianAll15-34</v>
      </c>
      <c r="B62" t="s">
        <v>43</v>
      </c>
      <c r="C62" s="105" t="s">
        <v>124</v>
      </c>
      <c r="D62" s="105" t="s">
        <v>31</v>
      </c>
      <c r="E62" s="105" t="s">
        <v>56</v>
      </c>
      <c r="F62" s="105">
        <v>1800</v>
      </c>
      <c r="G62" s="105">
        <v>1700</v>
      </c>
      <c r="H62" s="105">
        <v>2000</v>
      </c>
      <c r="I62" s="1">
        <v>7.0000000000000001E-3</v>
      </c>
      <c r="J62" s="1">
        <v>6.4000000000000003E-3</v>
      </c>
      <c r="K62" s="1">
        <v>7.7000000000000002E-3</v>
      </c>
      <c r="L62">
        <v>1046</v>
      </c>
      <c r="M62" s="2">
        <v>0.57999999999999996</v>
      </c>
      <c r="N62" s="2">
        <v>0.52</v>
      </c>
      <c r="O62" s="2">
        <v>0.62</v>
      </c>
      <c r="P62">
        <v>884</v>
      </c>
      <c r="Q62" s="2">
        <v>0.49</v>
      </c>
      <c r="R62" s="2">
        <v>0.44</v>
      </c>
      <c r="S62" s="2">
        <v>0.52</v>
      </c>
    </row>
    <row r="63" spans="1:19" x14ac:dyDescent="0.35">
      <c r="A63" t="str">
        <f t="shared" si="0"/>
        <v>2021/22NHS LothianAll15-34</v>
      </c>
      <c r="B63" t="s">
        <v>43</v>
      </c>
      <c r="C63" s="105" t="s">
        <v>125</v>
      </c>
      <c r="D63" s="105" t="s">
        <v>31</v>
      </c>
      <c r="E63" s="105" t="s">
        <v>56</v>
      </c>
      <c r="F63" s="105">
        <v>1600</v>
      </c>
      <c r="G63" s="105">
        <v>1400</v>
      </c>
      <c r="H63" s="105">
        <v>1800</v>
      </c>
      <c r="I63" s="1">
        <v>6.1999999999999998E-3</v>
      </c>
      <c r="J63" s="1">
        <v>5.5999999999999999E-3</v>
      </c>
      <c r="K63" s="1">
        <v>6.7999999999999996E-3</v>
      </c>
      <c r="L63">
        <v>940</v>
      </c>
      <c r="M63" s="2">
        <v>0.59</v>
      </c>
      <c r="N63" s="2">
        <v>0.52</v>
      </c>
      <c r="O63" s="2">
        <v>0.67</v>
      </c>
      <c r="P63">
        <v>753</v>
      </c>
      <c r="Q63" s="2">
        <v>0.47</v>
      </c>
      <c r="R63" s="2">
        <v>0.42</v>
      </c>
      <c r="S63" s="2">
        <v>0.54</v>
      </c>
    </row>
    <row r="64" spans="1:19" x14ac:dyDescent="0.35">
      <c r="A64" t="str">
        <f t="shared" si="0"/>
        <v>2022/23NHS LothianAll15-34</v>
      </c>
      <c r="B64" t="s">
        <v>43</v>
      </c>
      <c r="C64" s="105" t="s">
        <v>126</v>
      </c>
      <c r="D64" s="105" t="s">
        <v>31</v>
      </c>
      <c r="E64" s="105" t="s">
        <v>56</v>
      </c>
      <c r="F64" s="105">
        <v>1300</v>
      </c>
      <c r="G64" s="105">
        <v>1200</v>
      </c>
      <c r="H64" s="105">
        <v>1400</v>
      </c>
      <c r="I64" s="1">
        <v>5.1000000000000004E-3</v>
      </c>
      <c r="J64" s="1">
        <v>4.5999999999999999E-3</v>
      </c>
      <c r="K64" s="1">
        <v>5.5999999999999999E-3</v>
      </c>
      <c r="L64">
        <v>806</v>
      </c>
      <c r="M64" s="2">
        <v>0.62</v>
      </c>
      <c r="N64" s="2">
        <v>0.57999999999999996</v>
      </c>
      <c r="O64" s="2">
        <v>0.67</v>
      </c>
      <c r="P64">
        <v>616</v>
      </c>
      <c r="Q64" s="2">
        <v>0.47</v>
      </c>
      <c r="R64" s="2">
        <v>0.44</v>
      </c>
      <c r="S64" s="2">
        <v>0.51</v>
      </c>
    </row>
    <row r="65" spans="1:19" x14ac:dyDescent="0.35">
      <c r="A65" t="str">
        <f t="shared" si="0"/>
        <v>2014/15NHS LothianAll35-49</v>
      </c>
      <c r="B65" t="s">
        <v>43</v>
      </c>
      <c r="C65" s="105" t="s">
        <v>39</v>
      </c>
      <c r="D65" s="105" t="s">
        <v>31</v>
      </c>
      <c r="E65" s="105" t="s">
        <v>57</v>
      </c>
      <c r="F65" s="105">
        <v>4000</v>
      </c>
      <c r="G65" s="105">
        <v>3800</v>
      </c>
      <c r="H65" s="105">
        <v>4300</v>
      </c>
      <c r="I65" s="1">
        <v>2.23E-2</v>
      </c>
      <c r="J65" s="1">
        <v>2.1000000000000001E-2</v>
      </c>
      <c r="K65" s="1">
        <v>2.3800000000000002E-2</v>
      </c>
      <c r="L65">
        <v>3028</v>
      </c>
      <c r="M65" s="2">
        <v>0.76</v>
      </c>
      <c r="N65" s="2">
        <v>0.7</v>
      </c>
      <c r="O65" s="2">
        <v>0.8</v>
      </c>
      <c r="P65">
        <v>2549</v>
      </c>
      <c r="Q65" s="2">
        <v>0.64</v>
      </c>
      <c r="R65" s="2">
        <v>0.59</v>
      </c>
      <c r="S65" s="2">
        <v>0.67</v>
      </c>
    </row>
    <row r="66" spans="1:19" x14ac:dyDescent="0.35">
      <c r="A66" t="str">
        <f t="shared" si="0"/>
        <v>2015/16NHS LothianAll35-49</v>
      </c>
      <c r="B66" t="s">
        <v>43</v>
      </c>
      <c r="C66" s="105" t="s">
        <v>44</v>
      </c>
      <c r="D66" s="105" t="s">
        <v>31</v>
      </c>
      <c r="E66" s="105" t="s">
        <v>57</v>
      </c>
      <c r="F66" s="105">
        <v>4000</v>
      </c>
      <c r="G66" s="105">
        <v>3800</v>
      </c>
      <c r="H66" s="105">
        <v>4300</v>
      </c>
      <c r="I66" s="1">
        <v>2.2599999999999999E-2</v>
      </c>
      <c r="J66" s="1">
        <v>2.1399999999999999E-2</v>
      </c>
      <c r="K66" s="1">
        <v>2.3800000000000002E-2</v>
      </c>
      <c r="L66">
        <v>3186</v>
      </c>
      <c r="M66" s="2">
        <v>0.8</v>
      </c>
      <c r="N66" s="2">
        <v>0.74</v>
      </c>
      <c r="O66" s="2">
        <v>0.84</v>
      </c>
      <c r="P66">
        <v>2643</v>
      </c>
      <c r="Q66" s="2">
        <v>0.66</v>
      </c>
      <c r="R66" s="2">
        <v>0.61</v>
      </c>
      <c r="S66" s="2">
        <v>0.7</v>
      </c>
    </row>
    <row r="67" spans="1:19" x14ac:dyDescent="0.35">
      <c r="A67" t="str">
        <f t="shared" ref="A67:A130" si="1">C67&amp;B67&amp;D67&amp;E67</f>
        <v>2016/17NHS LothianAll35-49</v>
      </c>
      <c r="B67" t="s">
        <v>43</v>
      </c>
      <c r="C67" s="105" t="s">
        <v>46</v>
      </c>
      <c r="D67" s="105" t="s">
        <v>31</v>
      </c>
      <c r="E67" s="105" t="s">
        <v>57</v>
      </c>
      <c r="F67" s="105">
        <v>4100</v>
      </c>
      <c r="G67" s="105">
        <v>3900</v>
      </c>
      <c r="H67" s="105">
        <v>4300</v>
      </c>
      <c r="I67" s="1">
        <v>2.2800000000000001E-2</v>
      </c>
      <c r="J67" s="1">
        <v>2.1700000000000001E-2</v>
      </c>
      <c r="K67" s="1">
        <v>2.41E-2</v>
      </c>
      <c r="L67">
        <v>3315</v>
      </c>
      <c r="M67" s="2">
        <v>0.81</v>
      </c>
      <c r="N67" s="2">
        <v>0.77</v>
      </c>
      <c r="O67" s="2">
        <v>0.85</v>
      </c>
      <c r="P67">
        <v>2762</v>
      </c>
      <c r="Q67" s="2">
        <v>0.67</v>
      </c>
      <c r="R67" s="2">
        <v>0.64</v>
      </c>
      <c r="S67" s="2">
        <v>0.71</v>
      </c>
    </row>
    <row r="68" spans="1:19" x14ac:dyDescent="0.35">
      <c r="A68" t="str">
        <f t="shared" si="1"/>
        <v>2017/18NHS LothianAll35-49</v>
      </c>
      <c r="B68" t="s">
        <v>43</v>
      </c>
      <c r="C68" s="105" t="s">
        <v>47</v>
      </c>
      <c r="D68" s="105" t="s">
        <v>31</v>
      </c>
      <c r="E68" s="105" t="s">
        <v>57</v>
      </c>
      <c r="F68" s="105">
        <v>4200</v>
      </c>
      <c r="G68" s="105">
        <v>4000</v>
      </c>
      <c r="H68" s="105">
        <v>4400</v>
      </c>
      <c r="I68" s="1">
        <v>2.3300000000000001E-2</v>
      </c>
      <c r="J68" s="1">
        <v>2.23E-2</v>
      </c>
      <c r="K68" s="1">
        <v>2.4299999999999999E-2</v>
      </c>
      <c r="L68">
        <v>3501</v>
      </c>
      <c r="M68" s="2">
        <v>0.83</v>
      </c>
      <c r="N68" s="2">
        <v>0.8</v>
      </c>
      <c r="O68" s="2">
        <v>0.88</v>
      </c>
      <c r="P68">
        <v>2928</v>
      </c>
      <c r="Q68" s="2">
        <v>0.7</v>
      </c>
      <c r="R68" s="2">
        <v>0.67</v>
      </c>
      <c r="S68" s="2">
        <v>0.73</v>
      </c>
    </row>
    <row r="69" spans="1:19" x14ac:dyDescent="0.35">
      <c r="A69" t="str">
        <f t="shared" si="1"/>
        <v>2018/19NHS LothianAll35-49</v>
      </c>
      <c r="B69" t="s">
        <v>43</v>
      </c>
      <c r="C69" s="105" t="s">
        <v>48</v>
      </c>
      <c r="D69" s="105" t="s">
        <v>31</v>
      </c>
      <c r="E69" s="105" t="s">
        <v>57</v>
      </c>
      <c r="F69" s="105">
        <v>4300</v>
      </c>
      <c r="G69" s="105">
        <v>4100</v>
      </c>
      <c r="H69" s="105">
        <v>4500</v>
      </c>
      <c r="I69" s="1">
        <v>2.35E-2</v>
      </c>
      <c r="J69" s="1">
        <v>2.2499999999999999E-2</v>
      </c>
      <c r="K69" s="1">
        <v>2.4500000000000001E-2</v>
      </c>
      <c r="L69">
        <v>3539</v>
      </c>
      <c r="M69" s="2">
        <v>0.82</v>
      </c>
      <c r="N69" s="2">
        <v>0.79</v>
      </c>
      <c r="O69" s="2">
        <v>0.86</v>
      </c>
      <c r="P69">
        <v>2967</v>
      </c>
      <c r="Q69" s="2">
        <v>0.69</v>
      </c>
      <c r="R69" s="2">
        <v>0.66</v>
      </c>
      <c r="S69" s="2">
        <v>0.72</v>
      </c>
    </row>
    <row r="70" spans="1:19" x14ac:dyDescent="0.35">
      <c r="A70" t="str">
        <f t="shared" si="1"/>
        <v>2019/20NHS LothianAll35-49</v>
      </c>
      <c r="B70" t="s">
        <v>43</v>
      </c>
      <c r="C70" s="105" t="s">
        <v>49</v>
      </c>
      <c r="D70" s="105" t="s">
        <v>31</v>
      </c>
      <c r="E70" s="105" t="s">
        <v>57</v>
      </c>
      <c r="F70" s="105">
        <v>4400</v>
      </c>
      <c r="G70" s="105">
        <v>4200</v>
      </c>
      <c r="H70" s="105">
        <v>4700</v>
      </c>
      <c r="I70" s="1">
        <v>2.4199999999999999E-2</v>
      </c>
      <c r="J70" s="1">
        <v>2.3099999999999999E-2</v>
      </c>
      <c r="K70" s="1">
        <v>2.5399999999999999E-2</v>
      </c>
      <c r="L70">
        <v>3529</v>
      </c>
      <c r="M70" s="2">
        <v>0.8</v>
      </c>
      <c r="N70" s="2">
        <v>0.75</v>
      </c>
      <c r="O70" s="2">
        <v>0.84</v>
      </c>
      <c r="P70">
        <v>3038</v>
      </c>
      <c r="Q70" s="2">
        <v>0.69</v>
      </c>
      <c r="R70" s="2">
        <v>0.65</v>
      </c>
      <c r="S70" s="2">
        <v>0.72</v>
      </c>
    </row>
    <row r="71" spans="1:19" x14ac:dyDescent="0.35">
      <c r="A71" t="str">
        <f t="shared" si="1"/>
        <v>2020/21NHS LothianAll35-49</v>
      </c>
      <c r="B71" t="s">
        <v>43</v>
      </c>
      <c r="C71" s="105" t="s">
        <v>124</v>
      </c>
      <c r="D71" s="105" t="s">
        <v>31</v>
      </c>
      <c r="E71" s="105" t="s">
        <v>57</v>
      </c>
      <c r="F71" s="105">
        <v>4400</v>
      </c>
      <c r="G71" s="105">
        <v>4200</v>
      </c>
      <c r="H71" s="105">
        <v>4700</v>
      </c>
      <c r="I71" s="1">
        <v>2.4E-2</v>
      </c>
      <c r="J71" s="1">
        <v>2.2800000000000001E-2</v>
      </c>
      <c r="K71" s="1">
        <v>2.52E-2</v>
      </c>
      <c r="L71">
        <v>3497</v>
      </c>
      <c r="M71" s="2">
        <v>0.79</v>
      </c>
      <c r="N71" s="2">
        <v>0.74</v>
      </c>
      <c r="O71" s="2">
        <v>0.83</v>
      </c>
      <c r="P71">
        <v>3026</v>
      </c>
      <c r="Q71" s="2">
        <v>0.69</v>
      </c>
      <c r="R71" s="2">
        <v>0.64</v>
      </c>
      <c r="S71" s="2">
        <v>0.72</v>
      </c>
    </row>
    <row r="72" spans="1:19" x14ac:dyDescent="0.35">
      <c r="A72" t="str">
        <f t="shared" si="1"/>
        <v>2021/22NHS LothianAll35-49</v>
      </c>
      <c r="B72" t="s">
        <v>43</v>
      </c>
      <c r="C72" s="105" t="s">
        <v>125</v>
      </c>
      <c r="D72" s="105" t="s">
        <v>31</v>
      </c>
      <c r="E72" s="105" t="s">
        <v>57</v>
      </c>
      <c r="F72" s="105">
        <v>4200</v>
      </c>
      <c r="G72" s="105">
        <v>4000</v>
      </c>
      <c r="H72" s="105">
        <v>4400</v>
      </c>
      <c r="I72" s="1">
        <v>2.2499999999999999E-2</v>
      </c>
      <c r="J72" s="1">
        <v>2.1399999999999999E-2</v>
      </c>
      <c r="K72" s="1">
        <v>2.3699999999999999E-2</v>
      </c>
      <c r="L72">
        <v>3392</v>
      </c>
      <c r="M72" s="2">
        <v>0.81</v>
      </c>
      <c r="N72" s="2">
        <v>0.77</v>
      </c>
      <c r="O72" s="2">
        <v>0.85</v>
      </c>
      <c r="P72">
        <v>2898</v>
      </c>
      <c r="Q72" s="2">
        <v>0.69</v>
      </c>
      <c r="R72" s="2">
        <v>0.66</v>
      </c>
      <c r="S72" s="2">
        <v>0.72</v>
      </c>
    </row>
    <row r="73" spans="1:19" x14ac:dyDescent="0.35">
      <c r="A73" t="str">
        <f t="shared" si="1"/>
        <v>2022/23NHS LothianAll35-49</v>
      </c>
      <c r="B73" t="s">
        <v>43</v>
      </c>
      <c r="C73" s="105" t="s">
        <v>126</v>
      </c>
      <c r="D73" s="105" t="s">
        <v>31</v>
      </c>
      <c r="E73" s="105" t="s">
        <v>57</v>
      </c>
      <c r="F73" s="105">
        <v>3900</v>
      </c>
      <c r="G73" s="105">
        <v>3700</v>
      </c>
      <c r="H73" s="105">
        <v>4100</v>
      </c>
      <c r="I73" s="1">
        <v>2.1700000000000001E-2</v>
      </c>
      <c r="J73" s="1">
        <v>2.07E-2</v>
      </c>
      <c r="K73" s="1">
        <v>2.2800000000000001E-2</v>
      </c>
      <c r="L73">
        <v>3281</v>
      </c>
      <c r="M73" s="2">
        <v>0.84</v>
      </c>
      <c r="N73" s="2">
        <v>0.8</v>
      </c>
      <c r="O73" s="2">
        <v>0.89</v>
      </c>
      <c r="P73">
        <v>2743</v>
      </c>
      <c r="Q73" s="2">
        <v>0.7</v>
      </c>
      <c r="R73" s="2">
        <v>0.67</v>
      </c>
      <c r="S73" s="2">
        <v>0.74</v>
      </c>
    </row>
    <row r="74" spans="1:19" x14ac:dyDescent="0.35">
      <c r="A74" t="str">
        <f t="shared" si="1"/>
        <v>2014/15NHS LothianAll50-64</v>
      </c>
      <c r="B74" t="s">
        <v>43</v>
      </c>
      <c r="C74" s="105" t="s">
        <v>39</v>
      </c>
      <c r="D74" s="105" t="s">
        <v>31</v>
      </c>
      <c r="E74" s="105" t="s">
        <v>58</v>
      </c>
      <c r="F74" s="105">
        <v>810</v>
      </c>
      <c r="G74" s="105">
        <v>680</v>
      </c>
      <c r="H74" s="105">
        <v>960</v>
      </c>
      <c r="I74">
        <v>5.1000000000000004E-3</v>
      </c>
      <c r="J74">
        <v>4.3E-3</v>
      </c>
      <c r="K74">
        <v>6.1000000000000004E-3</v>
      </c>
      <c r="L74">
        <v>426</v>
      </c>
      <c r="M74">
        <v>0.53</v>
      </c>
      <c r="N74">
        <v>0.44</v>
      </c>
      <c r="O74">
        <v>0.63</v>
      </c>
      <c r="P74">
        <v>342</v>
      </c>
      <c r="Q74">
        <v>0.42</v>
      </c>
      <c r="R74">
        <v>0.36</v>
      </c>
      <c r="S74">
        <v>0.5</v>
      </c>
    </row>
    <row r="75" spans="1:19" x14ac:dyDescent="0.35">
      <c r="A75" t="str">
        <f t="shared" si="1"/>
        <v>2015/16NHS LothianAll50-64</v>
      </c>
      <c r="B75" t="s">
        <v>43</v>
      </c>
      <c r="C75" s="105" t="s">
        <v>44</v>
      </c>
      <c r="D75" s="105" t="s">
        <v>31</v>
      </c>
      <c r="E75" s="105" t="s">
        <v>58</v>
      </c>
      <c r="F75" s="105">
        <v>870</v>
      </c>
      <c r="G75" s="105">
        <v>750</v>
      </c>
      <c r="H75" s="105">
        <v>1000</v>
      </c>
      <c r="I75">
        <v>5.4000000000000003E-3</v>
      </c>
      <c r="J75">
        <v>4.7000000000000002E-3</v>
      </c>
      <c r="K75">
        <v>6.4000000000000003E-3</v>
      </c>
      <c r="L75">
        <v>511</v>
      </c>
      <c r="M75">
        <v>0.59</v>
      </c>
      <c r="N75">
        <v>0.51</v>
      </c>
      <c r="O75">
        <v>0.68</v>
      </c>
      <c r="P75">
        <v>417</v>
      </c>
      <c r="Q75">
        <v>0.48</v>
      </c>
      <c r="R75">
        <v>0.42</v>
      </c>
      <c r="S75">
        <v>0.56000000000000005</v>
      </c>
    </row>
    <row r="76" spans="1:19" x14ac:dyDescent="0.35">
      <c r="A76" t="str">
        <f t="shared" si="1"/>
        <v>2016/17NHS LothianAll50-64</v>
      </c>
      <c r="B76" t="s">
        <v>43</v>
      </c>
      <c r="C76" s="105" t="s">
        <v>46</v>
      </c>
      <c r="D76" s="105" t="s">
        <v>31</v>
      </c>
      <c r="E76" s="105" t="s">
        <v>58</v>
      </c>
      <c r="F76" s="105">
        <v>990</v>
      </c>
      <c r="G76" s="105">
        <v>870</v>
      </c>
      <c r="H76" s="105">
        <v>1100</v>
      </c>
      <c r="I76">
        <v>6.1000000000000004E-3</v>
      </c>
      <c r="J76">
        <v>5.3E-3</v>
      </c>
      <c r="K76">
        <v>7.1000000000000004E-3</v>
      </c>
      <c r="L76">
        <v>605</v>
      </c>
      <c r="M76">
        <v>0.61</v>
      </c>
      <c r="N76">
        <v>0.55000000000000004</v>
      </c>
      <c r="O76">
        <v>0.7</v>
      </c>
      <c r="P76">
        <v>491</v>
      </c>
      <c r="Q76">
        <v>0.5</v>
      </c>
      <c r="R76">
        <v>0.45</v>
      </c>
      <c r="S76">
        <v>0.56000000000000005</v>
      </c>
    </row>
    <row r="77" spans="1:19" x14ac:dyDescent="0.35">
      <c r="A77" t="str">
        <f t="shared" si="1"/>
        <v>2017/18NHS LothianAll50-64</v>
      </c>
      <c r="B77" t="s">
        <v>43</v>
      </c>
      <c r="C77" s="105" t="s">
        <v>47</v>
      </c>
      <c r="D77" s="105" t="s">
        <v>31</v>
      </c>
      <c r="E77" s="105" t="s">
        <v>58</v>
      </c>
      <c r="F77" s="105">
        <v>940</v>
      </c>
      <c r="G77" s="105">
        <v>840</v>
      </c>
      <c r="H77" s="105">
        <v>1000</v>
      </c>
      <c r="I77">
        <v>5.7000000000000002E-3</v>
      </c>
      <c r="J77">
        <v>5.1000000000000004E-3</v>
      </c>
      <c r="K77">
        <v>6.3E-3</v>
      </c>
      <c r="L77">
        <v>681</v>
      </c>
      <c r="M77">
        <v>0.72</v>
      </c>
      <c r="N77">
        <v>0.68</v>
      </c>
      <c r="O77">
        <v>0.81</v>
      </c>
      <c r="P77">
        <v>552</v>
      </c>
      <c r="Q77">
        <v>0.59</v>
      </c>
      <c r="R77">
        <v>0.55000000000000004</v>
      </c>
      <c r="S77">
        <v>0.66</v>
      </c>
    </row>
    <row r="78" spans="1:19" x14ac:dyDescent="0.35">
      <c r="A78" t="str">
        <f t="shared" si="1"/>
        <v>2018/19NHS LothianAll50-64</v>
      </c>
      <c r="B78" t="s">
        <v>43</v>
      </c>
      <c r="C78" s="105" t="s">
        <v>48</v>
      </c>
      <c r="D78" s="105" t="s">
        <v>31</v>
      </c>
      <c r="E78" s="105" t="s">
        <v>58</v>
      </c>
      <c r="F78" s="105">
        <v>1100</v>
      </c>
      <c r="G78" s="105">
        <v>1000</v>
      </c>
      <c r="H78" s="105">
        <v>1300</v>
      </c>
      <c r="I78">
        <v>6.7000000000000002E-3</v>
      </c>
      <c r="J78">
        <v>6.1000000000000004E-3</v>
      </c>
      <c r="K78">
        <v>7.4999999999999997E-3</v>
      </c>
      <c r="L78">
        <v>794</v>
      </c>
      <c r="M78">
        <v>0.72</v>
      </c>
      <c r="N78">
        <v>0.61</v>
      </c>
      <c r="O78">
        <v>0.79</v>
      </c>
      <c r="P78">
        <v>642</v>
      </c>
      <c r="Q78">
        <v>0.57999999999999996</v>
      </c>
      <c r="R78">
        <v>0.49</v>
      </c>
      <c r="S78">
        <v>0.64</v>
      </c>
    </row>
    <row r="79" spans="1:19" x14ac:dyDescent="0.35">
      <c r="A79" t="str">
        <f t="shared" si="1"/>
        <v>2019/20NHS LothianAll50-64</v>
      </c>
      <c r="B79" t="s">
        <v>43</v>
      </c>
      <c r="C79" s="105" t="s">
        <v>49</v>
      </c>
      <c r="D79" s="105" t="s">
        <v>31</v>
      </c>
      <c r="E79" s="105" t="s">
        <v>58</v>
      </c>
      <c r="F79" s="105">
        <v>1300</v>
      </c>
      <c r="G79" s="105">
        <v>1200</v>
      </c>
      <c r="H79" s="105">
        <v>1400</v>
      </c>
      <c r="I79">
        <v>7.4999999999999997E-3</v>
      </c>
      <c r="J79">
        <v>6.7999999999999996E-3</v>
      </c>
      <c r="K79">
        <v>8.2000000000000007E-3</v>
      </c>
      <c r="L79">
        <v>933</v>
      </c>
      <c r="M79">
        <v>0.72</v>
      </c>
      <c r="N79">
        <v>0.67</v>
      </c>
      <c r="O79">
        <v>0.78</v>
      </c>
      <c r="P79">
        <v>757</v>
      </c>
      <c r="Q79">
        <v>0.57999999999999996</v>
      </c>
      <c r="R79">
        <v>0.54</v>
      </c>
      <c r="S79">
        <v>0.63</v>
      </c>
    </row>
    <row r="80" spans="1:19" x14ac:dyDescent="0.35">
      <c r="A80" t="str">
        <f t="shared" si="1"/>
        <v>2020/21NHS LothianAll50-64</v>
      </c>
      <c r="B80" t="s">
        <v>43</v>
      </c>
      <c r="C80" s="105" t="s">
        <v>124</v>
      </c>
      <c r="D80" s="105" t="s">
        <v>31</v>
      </c>
      <c r="E80" s="105" t="s">
        <v>58</v>
      </c>
      <c r="F80" s="105">
        <v>1500</v>
      </c>
      <c r="G80" s="105">
        <v>1400</v>
      </c>
      <c r="H80" s="105">
        <v>1700</v>
      </c>
      <c r="I80">
        <v>8.8000000000000005E-3</v>
      </c>
      <c r="J80">
        <v>8.0000000000000002E-3</v>
      </c>
      <c r="K80">
        <v>9.7000000000000003E-3</v>
      </c>
      <c r="L80">
        <v>1035</v>
      </c>
      <c r="M80">
        <v>0.69</v>
      </c>
      <c r="N80">
        <v>0.61</v>
      </c>
      <c r="O80">
        <v>0.74</v>
      </c>
      <c r="P80">
        <v>857</v>
      </c>
      <c r="Q80">
        <v>0.56999999999999995</v>
      </c>
      <c r="R80">
        <v>0.5</v>
      </c>
      <c r="S80">
        <v>0.61</v>
      </c>
    </row>
    <row r="81" spans="1:19" x14ac:dyDescent="0.35">
      <c r="A81" t="str">
        <f t="shared" si="1"/>
        <v>2021/22NHS LothianAll50-64</v>
      </c>
      <c r="B81" t="s">
        <v>43</v>
      </c>
      <c r="C81" s="105" t="s">
        <v>125</v>
      </c>
      <c r="D81" s="105" t="s">
        <v>31</v>
      </c>
      <c r="E81" s="105" t="s">
        <v>58</v>
      </c>
      <c r="F81" s="105">
        <v>1600</v>
      </c>
      <c r="G81" s="105">
        <v>1500</v>
      </c>
      <c r="H81" s="105">
        <v>1800</v>
      </c>
      <c r="I81">
        <v>9.2999999999999992E-3</v>
      </c>
      <c r="J81">
        <v>8.5000000000000006E-3</v>
      </c>
      <c r="K81">
        <v>1.04E-2</v>
      </c>
      <c r="L81">
        <v>1150</v>
      </c>
      <c r="M81">
        <v>0.72</v>
      </c>
      <c r="N81">
        <v>0.64</v>
      </c>
      <c r="O81">
        <v>0.77</v>
      </c>
      <c r="P81">
        <v>971</v>
      </c>
      <c r="Q81">
        <v>0.61</v>
      </c>
      <c r="R81">
        <v>0.54</v>
      </c>
      <c r="S81">
        <v>0.65</v>
      </c>
    </row>
    <row r="82" spans="1:19" x14ac:dyDescent="0.35">
      <c r="A82" t="str">
        <f t="shared" si="1"/>
        <v>2022/23NHS LothianAll50-64</v>
      </c>
      <c r="B82" t="s">
        <v>43</v>
      </c>
      <c r="C82" s="105" t="s">
        <v>126</v>
      </c>
      <c r="D82" s="105" t="s">
        <v>31</v>
      </c>
      <c r="E82" s="105" t="s">
        <v>58</v>
      </c>
      <c r="F82" s="105">
        <v>1800</v>
      </c>
      <c r="G82" s="105">
        <v>1600</v>
      </c>
      <c r="H82" s="105">
        <v>2000</v>
      </c>
      <c r="I82">
        <v>0.01</v>
      </c>
      <c r="J82">
        <v>9.1000000000000004E-3</v>
      </c>
      <c r="K82">
        <v>1.11E-2</v>
      </c>
      <c r="L82">
        <v>1295</v>
      </c>
      <c r="M82">
        <v>0.72</v>
      </c>
      <c r="N82">
        <v>0.65</v>
      </c>
      <c r="O82">
        <v>0.81</v>
      </c>
      <c r="P82">
        <v>1107</v>
      </c>
      <c r="Q82">
        <v>0.62</v>
      </c>
      <c r="R82">
        <v>0.55000000000000004</v>
      </c>
      <c r="S82">
        <v>0.69</v>
      </c>
    </row>
    <row r="83" spans="1:19" x14ac:dyDescent="0.35">
      <c r="A83" t="str">
        <f t="shared" si="1"/>
        <v>2014/15NHS LanarkshireAll15-34</v>
      </c>
      <c r="B83" t="s">
        <v>127</v>
      </c>
      <c r="C83" s="105" t="s">
        <v>39</v>
      </c>
      <c r="D83" s="105" t="s">
        <v>31</v>
      </c>
      <c r="E83" s="105" t="s">
        <v>56</v>
      </c>
      <c r="F83" s="105">
        <v>2100</v>
      </c>
      <c r="G83" s="105">
        <v>1900</v>
      </c>
      <c r="H83" s="105">
        <v>2300</v>
      </c>
      <c r="I83">
        <v>1.3100000000000001E-2</v>
      </c>
      <c r="J83">
        <v>1.18E-2</v>
      </c>
      <c r="K83">
        <v>1.47E-2</v>
      </c>
      <c r="L83">
        <v>1135</v>
      </c>
      <c r="M83">
        <v>0.54</v>
      </c>
      <c r="N83">
        <v>0.49</v>
      </c>
      <c r="O83">
        <v>0.6</v>
      </c>
      <c r="P83">
        <v>956</v>
      </c>
      <c r="Q83">
        <v>0.46</v>
      </c>
      <c r="R83">
        <v>0.42</v>
      </c>
      <c r="S83">
        <v>0.5</v>
      </c>
    </row>
    <row r="84" spans="1:19" x14ac:dyDescent="0.35">
      <c r="A84" t="str">
        <f t="shared" si="1"/>
        <v>2015/16NHS LanarkshireAll15-34</v>
      </c>
      <c r="B84" t="s">
        <v>127</v>
      </c>
      <c r="C84" s="105" t="s">
        <v>44</v>
      </c>
      <c r="D84" s="105" t="s">
        <v>31</v>
      </c>
      <c r="E84" s="105" t="s">
        <v>56</v>
      </c>
      <c r="F84" s="105">
        <v>1900</v>
      </c>
      <c r="G84" s="105">
        <v>1700</v>
      </c>
      <c r="H84" s="105">
        <v>2100</v>
      </c>
      <c r="I84">
        <v>1.1900000000000001E-2</v>
      </c>
      <c r="J84">
        <v>1.0699999999999999E-2</v>
      </c>
      <c r="K84">
        <v>1.3299999999999999E-2</v>
      </c>
      <c r="L84">
        <v>1023</v>
      </c>
      <c r="M84">
        <v>0.54</v>
      </c>
      <c r="N84">
        <v>0.49</v>
      </c>
      <c r="O84">
        <v>0.6</v>
      </c>
      <c r="P84">
        <v>828</v>
      </c>
      <c r="Q84">
        <v>0.44</v>
      </c>
      <c r="R84">
        <v>0.39</v>
      </c>
      <c r="S84">
        <v>0.49</v>
      </c>
    </row>
    <row r="85" spans="1:19" x14ac:dyDescent="0.35">
      <c r="A85" t="str">
        <f t="shared" si="1"/>
        <v>2016/17NHS LanarkshireAll15-34</v>
      </c>
      <c r="B85" t="s">
        <v>127</v>
      </c>
      <c r="C85" s="105" t="s">
        <v>46</v>
      </c>
      <c r="D85" s="105" t="s">
        <v>31</v>
      </c>
      <c r="E85" s="105" t="s">
        <v>56</v>
      </c>
      <c r="F85" s="105">
        <v>1700</v>
      </c>
      <c r="G85" s="105">
        <v>1500</v>
      </c>
      <c r="H85" s="105">
        <v>1800</v>
      </c>
      <c r="I85">
        <v>1.06E-2</v>
      </c>
      <c r="J85">
        <v>9.4999999999999998E-3</v>
      </c>
      <c r="K85">
        <v>1.18E-2</v>
      </c>
      <c r="L85">
        <v>922</v>
      </c>
      <c r="M85">
        <v>0.54</v>
      </c>
      <c r="N85">
        <v>0.51</v>
      </c>
      <c r="O85">
        <v>0.61</v>
      </c>
      <c r="P85">
        <v>770</v>
      </c>
      <c r="Q85">
        <v>0.45</v>
      </c>
      <c r="R85">
        <v>0.43</v>
      </c>
      <c r="S85">
        <v>0.51</v>
      </c>
    </row>
    <row r="86" spans="1:19" x14ac:dyDescent="0.35">
      <c r="A86" t="str">
        <f t="shared" si="1"/>
        <v>2017/18NHS LanarkshireAll15-34</v>
      </c>
      <c r="B86" t="s">
        <v>127</v>
      </c>
      <c r="C86" s="105" t="s">
        <v>47</v>
      </c>
      <c r="D86" s="105" t="s">
        <v>31</v>
      </c>
      <c r="E86" s="105" t="s">
        <v>56</v>
      </c>
      <c r="F86" s="105">
        <v>1500</v>
      </c>
      <c r="G86" s="105">
        <v>1400</v>
      </c>
      <c r="H86" s="105">
        <v>1700</v>
      </c>
      <c r="I86">
        <v>9.7000000000000003E-3</v>
      </c>
      <c r="J86">
        <v>8.8000000000000005E-3</v>
      </c>
      <c r="K86">
        <v>1.0699999999999999E-2</v>
      </c>
      <c r="L86">
        <v>845</v>
      </c>
      <c r="M86">
        <v>0.56000000000000005</v>
      </c>
      <c r="N86">
        <v>0.5</v>
      </c>
      <c r="O86">
        <v>0.6</v>
      </c>
      <c r="P86">
        <v>685</v>
      </c>
      <c r="Q86">
        <v>0.46</v>
      </c>
      <c r="R86">
        <v>0.4</v>
      </c>
      <c r="S86">
        <v>0.49</v>
      </c>
    </row>
    <row r="87" spans="1:19" x14ac:dyDescent="0.35">
      <c r="A87" t="str">
        <f t="shared" si="1"/>
        <v>2018/19NHS LanarkshireAll15-34</v>
      </c>
      <c r="B87" t="s">
        <v>127</v>
      </c>
      <c r="C87" s="105" t="s">
        <v>48</v>
      </c>
      <c r="D87" s="105" t="s">
        <v>31</v>
      </c>
      <c r="E87" s="105" t="s">
        <v>56</v>
      </c>
      <c r="F87" s="105">
        <v>1500</v>
      </c>
      <c r="G87" s="105">
        <v>1300</v>
      </c>
      <c r="H87" s="105">
        <v>1600</v>
      </c>
      <c r="I87">
        <v>9.5999999999999992E-3</v>
      </c>
      <c r="J87">
        <v>8.6E-3</v>
      </c>
      <c r="K87">
        <v>1.06E-2</v>
      </c>
      <c r="L87">
        <v>781</v>
      </c>
      <c r="M87">
        <v>0.52</v>
      </c>
      <c r="N87">
        <v>0.49</v>
      </c>
      <c r="O87">
        <v>0.6</v>
      </c>
      <c r="P87">
        <v>614</v>
      </c>
      <c r="Q87">
        <v>0.41</v>
      </c>
      <c r="R87">
        <v>0.38</v>
      </c>
      <c r="S87">
        <v>0.47</v>
      </c>
    </row>
    <row r="88" spans="1:19" x14ac:dyDescent="0.35">
      <c r="A88" t="str">
        <f t="shared" si="1"/>
        <v>2019/20NHS LanarkshireAll15-34</v>
      </c>
      <c r="B88" t="s">
        <v>127</v>
      </c>
      <c r="C88" s="105" t="s">
        <v>49</v>
      </c>
      <c r="D88" s="105" t="s">
        <v>31</v>
      </c>
      <c r="E88" s="105" t="s">
        <v>56</v>
      </c>
      <c r="F88" s="105">
        <v>1600</v>
      </c>
      <c r="G88" s="105">
        <v>1400</v>
      </c>
      <c r="H88" s="105">
        <v>1800</v>
      </c>
      <c r="I88">
        <v>1.03E-2</v>
      </c>
      <c r="J88">
        <v>9.1999999999999998E-3</v>
      </c>
      <c r="K88">
        <v>1.1599999999999999E-2</v>
      </c>
      <c r="L88">
        <v>731</v>
      </c>
      <c r="M88">
        <v>0.46</v>
      </c>
      <c r="N88">
        <v>0.41</v>
      </c>
      <c r="O88">
        <v>0.52</v>
      </c>
      <c r="P88">
        <v>534</v>
      </c>
      <c r="Q88">
        <v>0.33</v>
      </c>
      <c r="R88">
        <v>0.3</v>
      </c>
      <c r="S88">
        <v>0.38</v>
      </c>
    </row>
    <row r="89" spans="1:19" x14ac:dyDescent="0.35">
      <c r="A89" t="str">
        <f t="shared" si="1"/>
        <v>2020/21NHS LanarkshireAll15-34</v>
      </c>
      <c r="B89" t="s">
        <v>127</v>
      </c>
      <c r="C89" s="105" t="s">
        <v>124</v>
      </c>
      <c r="D89" s="105" t="s">
        <v>31</v>
      </c>
      <c r="E89" s="105" t="s">
        <v>56</v>
      </c>
      <c r="F89" s="105">
        <v>1600</v>
      </c>
      <c r="G89" s="105">
        <v>1400</v>
      </c>
      <c r="H89" s="105">
        <v>1800</v>
      </c>
      <c r="I89">
        <v>1.03E-2</v>
      </c>
      <c r="J89">
        <v>9.1999999999999998E-3</v>
      </c>
      <c r="K89">
        <v>1.1599999999999999E-2</v>
      </c>
      <c r="L89">
        <v>700</v>
      </c>
      <c r="M89">
        <v>0.44</v>
      </c>
      <c r="N89">
        <v>0.39</v>
      </c>
      <c r="O89">
        <v>0.5</v>
      </c>
      <c r="P89">
        <v>506</v>
      </c>
      <c r="Q89">
        <v>0.32</v>
      </c>
      <c r="R89">
        <v>0.28000000000000003</v>
      </c>
      <c r="S89">
        <v>0.36</v>
      </c>
    </row>
    <row r="90" spans="1:19" x14ac:dyDescent="0.35">
      <c r="A90" t="str">
        <f t="shared" si="1"/>
        <v>2021/22NHS LanarkshireAll15-34</v>
      </c>
      <c r="B90" t="s">
        <v>127</v>
      </c>
      <c r="C90" s="105" t="s">
        <v>125</v>
      </c>
      <c r="D90" s="105" t="s">
        <v>31</v>
      </c>
      <c r="E90" s="105" t="s">
        <v>56</v>
      </c>
      <c r="F90" s="105">
        <v>1400</v>
      </c>
      <c r="G90" s="105">
        <v>1300</v>
      </c>
      <c r="H90" s="105">
        <v>1600</v>
      </c>
      <c r="I90">
        <v>9.1999999999999998E-3</v>
      </c>
      <c r="J90">
        <v>8.2000000000000007E-3</v>
      </c>
      <c r="K90">
        <v>1.0500000000000001E-2</v>
      </c>
      <c r="L90">
        <v>676</v>
      </c>
      <c r="M90">
        <v>0.48</v>
      </c>
      <c r="N90">
        <v>0.42</v>
      </c>
      <c r="O90">
        <v>0.52</v>
      </c>
      <c r="P90">
        <v>529</v>
      </c>
      <c r="Q90">
        <v>0.38</v>
      </c>
      <c r="R90">
        <v>0.33</v>
      </c>
      <c r="S90">
        <v>0.41</v>
      </c>
    </row>
    <row r="91" spans="1:19" x14ac:dyDescent="0.35">
      <c r="A91" t="str">
        <f t="shared" si="1"/>
        <v>2022/23NHS LanarkshireAll15-34</v>
      </c>
      <c r="B91" t="s">
        <v>127</v>
      </c>
      <c r="C91" s="105" t="s">
        <v>126</v>
      </c>
      <c r="D91" s="105" t="s">
        <v>31</v>
      </c>
      <c r="E91" s="105" t="s">
        <v>56</v>
      </c>
      <c r="F91" s="105">
        <v>1200</v>
      </c>
      <c r="G91" s="105">
        <v>1100</v>
      </c>
      <c r="H91" s="105">
        <v>1400</v>
      </c>
      <c r="I91">
        <v>7.7999999999999996E-3</v>
      </c>
      <c r="J91">
        <v>6.8999999999999999E-3</v>
      </c>
      <c r="K91">
        <v>8.8999999999999999E-3</v>
      </c>
      <c r="L91">
        <v>633</v>
      </c>
      <c r="M91">
        <v>0.53</v>
      </c>
      <c r="N91">
        <v>0.45</v>
      </c>
      <c r="O91">
        <v>0.57999999999999996</v>
      </c>
      <c r="P91">
        <v>485</v>
      </c>
      <c r="Q91">
        <v>0.4</v>
      </c>
      <c r="R91">
        <v>0.35</v>
      </c>
      <c r="S91">
        <v>0.44</v>
      </c>
    </row>
    <row r="92" spans="1:19" x14ac:dyDescent="0.35">
      <c r="A92" t="str">
        <f t="shared" si="1"/>
        <v>2014/15NHS LanarkshireAll35-49</v>
      </c>
      <c r="B92" t="s">
        <v>127</v>
      </c>
      <c r="C92" s="105" t="s">
        <v>39</v>
      </c>
      <c r="D92" s="105" t="s">
        <v>31</v>
      </c>
      <c r="E92" s="105" t="s">
        <v>57</v>
      </c>
      <c r="F92" s="105">
        <v>2900</v>
      </c>
      <c r="G92" s="105">
        <v>2800</v>
      </c>
      <c r="H92" s="105">
        <v>3200</v>
      </c>
      <c r="I92">
        <v>2.1399999999999999E-2</v>
      </c>
      <c r="J92">
        <v>0.02</v>
      </c>
      <c r="K92">
        <v>2.3E-2</v>
      </c>
      <c r="L92">
        <v>2165</v>
      </c>
      <c r="M92">
        <v>0.75</v>
      </c>
      <c r="N92">
        <v>0.68</v>
      </c>
      <c r="O92">
        <v>0.77</v>
      </c>
      <c r="P92">
        <v>1744</v>
      </c>
      <c r="Q92">
        <v>0.6</v>
      </c>
      <c r="R92">
        <v>0.55000000000000004</v>
      </c>
      <c r="S92">
        <v>0.62</v>
      </c>
    </row>
    <row r="93" spans="1:19" x14ac:dyDescent="0.35">
      <c r="A93" t="str">
        <f t="shared" si="1"/>
        <v>2015/16NHS LanarkshireAll35-49</v>
      </c>
      <c r="B93" t="s">
        <v>127</v>
      </c>
      <c r="C93" s="105" t="s">
        <v>44</v>
      </c>
      <c r="D93" s="105" t="s">
        <v>31</v>
      </c>
      <c r="E93" s="105" t="s">
        <v>57</v>
      </c>
      <c r="F93" s="105">
        <v>2900</v>
      </c>
      <c r="G93" s="105">
        <v>2700</v>
      </c>
      <c r="H93" s="105">
        <v>3100</v>
      </c>
      <c r="I93">
        <v>2.1399999999999999E-2</v>
      </c>
      <c r="J93">
        <v>2.01E-2</v>
      </c>
      <c r="K93">
        <v>2.29E-2</v>
      </c>
      <c r="L93">
        <v>2238</v>
      </c>
      <c r="M93">
        <v>0.77</v>
      </c>
      <c r="N93">
        <v>0.72</v>
      </c>
      <c r="O93">
        <v>0.83</v>
      </c>
      <c r="P93">
        <v>1846</v>
      </c>
      <c r="Q93">
        <v>0.64</v>
      </c>
      <c r="R93">
        <v>0.6</v>
      </c>
      <c r="S93">
        <v>0.68</v>
      </c>
    </row>
    <row r="94" spans="1:19" x14ac:dyDescent="0.35">
      <c r="A94" t="str">
        <f t="shared" si="1"/>
        <v>2016/17NHS LanarkshireAll35-49</v>
      </c>
      <c r="B94" t="s">
        <v>127</v>
      </c>
      <c r="C94" s="105" t="s">
        <v>46</v>
      </c>
      <c r="D94" s="105" t="s">
        <v>31</v>
      </c>
      <c r="E94" s="105" t="s">
        <v>57</v>
      </c>
      <c r="F94" s="105">
        <v>2900</v>
      </c>
      <c r="G94" s="105">
        <v>2700</v>
      </c>
      <c r="H94" s="105">
        <v>3100</v>
      </c>
      <c r="I94">
        <v>2.1499999999999998E-2</v>
      </c>
      <c r="J94">
        <v>2.0299999999999999E-2</v>
      </c>
      <c r="K94">
        <v>2.2800000000000001E-2</v>
      </c>
      <c r="L94">
        <v>2283</v>
      </c>
      <c r="M94">
        <v>0.79</v>
      </c>
      <c r="N94">
        <v>0.74</v>
      </c>
      <c r="O94">
        <v>0.85</v>
      </c>
      <c r="P94">
        <v>1859</v>
      </c>
      <c r="Q94">
        <v>0.64</v>
      </c>
      <c r="R94">
        <v>0.6</v>
      </c>
      <c r="S94">
        <v>0.69</v>
      </c>
    </row>
    <row r="95" spans="1:19" x14ac:dyDescent="0.35">
      <c r="A95" t="str">
        <f t="shared" si="1"/>
        <v>2017/18NHS LanarkshireAll35-49</v>
      </c>
      <c r="B95" t="s">
        <v>127</v>
      </c>
      <c r="C95" s="105" t="s">
        <v>47</v>
      </c>
      <c r="D95" s="105" t="s">
        <v>31</v>
      </c>
      <c r="E95" s="105" t="s">
        <v>57</v>
      </c>
      <c r="F95" s="105">
        <v>2900</v>
      </c>
      <c r="G95" s="105">
        <v>2700</v>
      </c>
      <c r="H95" s="105">
        <v>3000</v>
      </c>
      <c r="I95">
        <v>2.1600000000000001E-2</v>
      </c>
      <c r="J95">
        <v>2.0500000000000001E-2</v>
      </c>
      <c r="K95">
        <v>2.2800000000000001E-2</v>
      </c>
      <c r="L95">
        <v>2339</v>
      </c>
      <c r="M95">
        <v>0.81</v>
      </c>
      <c r="N95">
        <v>0.78</v>
      </c>
      <c r="O95">
        <v>0.87</v>
      </c>
      <c r="P95">
        <v>1884</v>
      </c>
      <c r="Q95">
        <v>0.65</v>
      </c>
      <c r="R95">
        <v>0.63</v>
      </c>
      <c r="S95">
        <v>0.7</v>
      </c>
    </row>
    <row r="96" spans="1:19" x14ac:dyDescent="0.35">
      <c r="A96" t="str">
        <f t="shared" si="1"/>
        <v>2018/19NHS LanarkshireAll35-49</v>
      </c>
      <c r="B96" t="s">
        <v>127</v>
      </c>
      <c r="C96" s="105" t="s">
        <v>48</v>
      </c>
      <c r="D96" s="105" t="s">
        <v>31</v>
      </c>
      <c r="E96" s="105" t="s">
        <v>57</v>
      </c>
      <c r="F96" s="105">
        <v>2900</v>
      </c>
      <c r="G96" s="105">
        <v>2800</v>
      </c>
      <c r="H96" s="105">
        <v>3100</v>
      </c>
      <c r="I96">
        <v>2.2100000000000002E-2</v>
      </c>
      <c r="J96">
        <v>2.1000000000000001E-2</v>
      </c>
      <c r="K96">
        <v>2.3300000000000001E-2</v>
      </c>
      <c r="L96">
        <v>2362</v>
      </c>
      <c r="M96">
        <v>0.81</v>
      </c>
      <c r="N96">
        <v>0.76</v>
      </c>
      <c r="O96">
        <v>0.84</v>
      </c>
      <c r="P96">
        <v>1929</v>
      </c>
      <c r="Q96">
        <v>0.67</v>
      </c>
      <c r="R96">
        <v>0.62</v>
      </c>
      <c r="S96">
        <v>0.69</v>
      </c>
    </row>
    <row r="97" spans="1:19" x14ac:dyDescent="0.35">
      <c r="A97" t="str">
        <f t="shared" si="1"/>
        <v>2019/20NHS LanarkshireAll35-49</v>
      </c>
      <c r="B97" t="s">
        <v>127</v>
      </c>
      <c r="C97" s="105" t="s">
        <v>49</v>
      </c>
      <c r="D97" s="105" t="s">
        <v>31</v>
      </c>
      <c r="E97" s="105" t="s">
        <v>57</v>
      </c>
      <c r="F97" s="105">
        <v>3000</v>
      </c>
      <c r="G97" s="105">
        <v>2800</v>
      </c>
      <c r="H97" s="105">
        <v>3200</v>
      </c>
      <c r="I97">
        <v>2.3E-2</v>
      </c>
      <c r="J97">
        <v>2.18E-2</v>
      </c>
      <c r="K97">
        <v>2.4400000000000002E-2</v>
      </c>
      <c r="L97">
        <v>2323</v>
      </c>
      <c r="M97">
        <v>0.77</v>
      </c>
      <c r="N97">
        <v>0.73</v>
      </c>
      <c r="O97">
        <v>0.83</v>
      </c>
      <c r="P97">
        <v>1759</v>
      </c>
      <c r="Q97">
        <v>0.59</v>
      </c>
      <c r="R97">
        <v>0.55000000000000004</v>
      </c>
      <c r="S97">
        <v>0.63</v>
      </c>
    </row>
    <row r="98" spans="1:19" x14ac:dyDescent="0.35">
      <c r="A98" t="str">
        <f t="shared" si="1"/>
        <v>2020/21NHS LanarkshireAll35-49</v>
      </c>
      <c r="B98" t="s">
        <v>127</v>
      </c>
      <c r="C98" s="105" t="s">
        <v>124</v>
      </c>
      <c r="D98" s="105" t="s">
        <v>31</v>
      </c>
      <c r="E98" s="105" t="s">
        <v>57</v>
      </c>
      <c r="F98" s="105">
        <v>3000</v>
      </c>
      <c r="G98" s="105">
        <v>2800</v>
      </c>
      <c r="H98" s="105">
        <v>3200</v>
      </c>
      <c r="I98">
        <v>2.3099999999999999E-2</v>
      </c>
      <c r="J98">
        <v>2.18E-2</v>
      </c>
      <c r="K98">
        <v>2.4500000000000001E-2</v>
      </c>
      <c r="L98">
        <v>2284</v>
      </c>
      <c r="M98">
        <v>0.76</v>
      </c>
      <c r="N98">
        <v>0.71</v>
      </c>
      <c r="O98">
        <v>0.82</v>
      </c>
      <c r="P98">
        <v>1680</v>
      </c>
      <c r="Q98">
        <v>0.56000000000000005</v>
      </c>
      <c r="R98">
        <v>0.53</v>
      </c>
      <c r="S98">
        <v>0.6</v>
      </c>
    </row>
    <row r="99" spans="1:19" x14ac:dyDescent="0.35">
      <c r="A99" t="str">
        <f t="shared" si="1"/>
        <v>2021/22NHS LanarkshireAll35-49</v>
      </c>
      <c r="B99" t="s">
        <v>127</v>
      </c>
      <c r="C99" s="105" t="s">
        <v>125</v>
      </c>
      <c r="D99" s="105" t="s">
        <v>31</v>
      </c>
      <c r="E99" s="105" t="s">
        <v>57</v>
      </c>
      <c r="F99" s="105">
        <v>2800</v>
      </c>
      <c r="G99" s="105">
        <v>2600</v>
      </c>
      <c r="H99" s="105">
        <v>3000</v>
      </c>
      <c r="I99">
        <v>2.18E-2</v>
      </c>
      <c r="J99">
        <v>2.06E-2</v>
      </c>
      <c r="K99">
        <v>2.3199999999999998E-2</v>
      </c>
      <c r="L99">
        <v>2200</v>
      </c>
      <c r="M99">
        <v>0.79</v>
      </c>
      <c r="N99">
        <v>0.73</v>
      </c>
      <c r="O99">
        <v>0.85</v>
      </c>
      <c r="P99">
        <v>1780</v>
      </c>
      <c r="Q99">
        <v>0.64</v>
      </c>
      <c r="R99">
        <v>0.59</v>
      </c>
      <c r="S99">
        <v>0.68</v>
      </c>
    </row>
    <row r="100" spans="1:19" x14ac:dyDescent="0.35">
      <c r="A100" t="str">
        <f t="shared" si="1"/>
        <v>2022/23NHS LanarkshireAll35-49</v>
      </c>
      <c r="B100" t="s">
        <v>127</v>
      </c>
      <c r="C100" s="105" t="s">
        <v>126</v>
      </c>
      <c r="D100" s="105" t="s">
        <v>31</v>
      </c>
      <c r="E100" s="105" t="s">
        <v>57</v>
      </c>
      <c r="F100" s="105">
        <v>2600</v>
      </c>
      <c r="G100" s="105">
        <v>2400</v>
      </c>
      <c r="H100" s="105">
        <v>2700</v>
      </c>
      <c r="I100">
        <v>2.0199999999999999E-2</v>
      </c>
      <c r="J100">
        <v>1.9099999999999999E-2</v>
      </c>
      <c r="K100">
        <v>2.1399999999999999E-2</v>
      </c>
      <c r="L100">
        <v>2115</v>
      </c>
      <c r="M100">
        <v>0.81</v>
      </c>
      <c r="N100">
        <v>0.78</v>
      </c>
      <c r="O100">
        <v>0.88</v>
      </c>
      <c r="P100">
        <v>1707</v>
      </c>
      <c r="Q100">
        <v>0.66</v>
      </c>
      <c r="R100">
        <v>0.63</v>
      </c>
      <c r="S100">
        <v>0.71</v>
      </c>
    </row>
    <row r="101" spans="1:19" x14ac:dyDescent="0.35">
      <c r="A101" t="str">
        <f t="shared" si="1"/>
        <v>2014/15NHS LanarkshireAll50-64</v>
      </c>
      <c r="B101" t="s">
        <v>127</v>
      </c>
      <c r="C101" s="105" t="s">
        <v>39</v>
      </c>
      <c r="D101" s="105" t="s">
        <v>31</v>
      </c>
      <c r="E101" s="105" t="s">
        <v>58</v>
      </c>
      <c r="F101" s="105">
        <v>460</v>
      </c>
      <c r="G101" s="105">
        <v>380</v>
      </c>
      <c r="H101" s="105">
        <v>560</v>
      </c>
      <c r="I101">
        <v>3.3999999999999998E-3</v>
      </c>
      <c r="J101">
        <v>2.8E-3</v>
      </c>
      <c r="K101">
        <v>4.1999999999999997E-3</v>
      </c>
      <c r="L101">
        <v>258</v>
      </c>
      <c r="M101">
        <v>0.56000000000000005</v>
      </c>
      <c r="N101">
        <v>0.46</v>
      </c>
      <c r="O101">
        <v>0.68</v>
      </c>
      <c r="P101">
        <v>191</v>
      </c>
      <c r="Q101">
        <v>0.42</v>
      </c>
      <c r="R101">
        <v>0.34</v>
      </c>
      <c r="S101">
        <v>0.5</v>
      </c>
    </row>
    <row r="102" spans="1:19" x14ac:dyDescent="0.35">
      <c r="A102" t="str">
        <f t="shared" si="1"/>
        <v>2015/16NHS LanarkshireAll50-64</v>
      </c>
      <c r="B102" t="s">
        <v>127</v>
      </c>
      <c r="C102" s="105" t="s">
        <v>44</v>
      </c>
      <c r="D102" s="105" t="s">
        <v>31</v>
      </c>
      <c r="E102" s="105" t="s">
        <v>58</v>
      </c>
      <c r="F102" s="105">
        <v>500</v>
      </c>
      <c r="G102" s="105">
        <v>420</v>
      </c>
      <c r="H102" s="105">
        <v>590</v>
      </c>
      <c r="I102">
        <v>3.5999999999999999E-3</v>
      </c>
      <c r="J102">
        <v>3.0999999999999999E-3</v>
      </c>
      <c r="K102">
        <v>4.3E-3</v>
      </c>
      <c r="L102">
        <v>308</v>
      </c>
      <c r="M102">
        <v>0.62</v>
      </c>
      <c r="N102">
        <v>0.52</v>
      </c>
      <c r="O102">
        <v>0.73</v>
      </c>
      <c r="P102">
        <v>233</v>
      </c>
      <c r="Q102">
        <v>0.47</v>
      </c>
      <c r="R102">
        <v>0.39</v>
      </c>
      <c r="S102">
        <v>0.55000000000000004</v>
      </c>
    </row>
    <row r="103" spans="1:19" x14ac:dyDescent="0.35">
      <c r="A103" t="str">
        <f t="shared" si="1"/>
        <v>2016/17NHS LanarkshireAll50-64</v>
      </c>
      <c r="B103" t="s">
        <v>127</v>
      </c>
      <c r="C103" s="105" t="s">
        <v>46</v>
      </c>
      <c r="D103" s="105" t="s">
        <v>31</v>
      </c>
      <c r="E103" s="105" t="s">
        <v>58</v>
      </c>
      <c r="F103" s="105">
        <v>580</v>
      </c>
      <c r="G103" s="105">
        <v>500</v>
      </c>
      <c r="H103" s="105">
        <v>670</v>
      </c>
      <c r="I103">
        <v>4.1999999999999997E-3</v>
      </c>
      <c r="J103">
        <v>3.5999999999999999E-3</v>
      </c>
      <c r="K103">
        <v>4.8999999999999998E-3</v>
      </c>
      <c r="L103">
        <v>375</v>
      </c>
      <c r="M103">
        <v>0.65</v>
      </c>
      <c r="N103">
        <v>0.56000000000000005</v>
      </c>
      <c r="O103">
        <v>0.75</v>
      </c>
      <c r="P103">
        <v>295</v>
      </c>
      <c r="Q103">
        <v>0.51</v>
      </c>
      <c r="R103">
        <v>0.44</v>
      </c>
      <c r="S103">
        <v>0.59</v>
      </c>
    </row>
    <row r="104" spans="1:19" x14ac:dyDescent="0.35">
      <c r="A104" t="str">
        <f t="shared" si="1"/>
        <v>2017/18NHS LanarkshireAll50-64</v>
      </c>
      <c r="B104" t="s">
        <v>127</v>
      </c>
      <c r="C104" s="105" t="s">
        <v>47</v>
      </c>
      <c r="D104" s="105" t="s">
        <v>31</v>
      </c>
      <c r="E104" s="105" t="s">
        <v>58</v>
      </c>
      <c r="F104" s="105">
        <v>570</v>
      </c>
      <c r="G104" s="105">
        <v>510</v>
      </c>
      <c r="H104" s="105">
        <v>640</v>
      </c>
      <c r="I104">
        <v>4.0000000000000001E-3</v>
      </c>
      <c r="J104">
        <v>3.5999999999999999E-3</v>
      </c>
      <c r="K104">
        <v>4.4999999999999997E-3</v>
      </c>
      <c r="L104">
        <v>433</v>
      </c>
      <c r="M104">
        <v>0.76</v>
      </c>
      <c r="N104">
        <v>0.68</v>
      </c>
      <c r="O104">
        <v>0.85</v>
      </c>
      <c r="P104">
        <v>341</v>
      </c>
      <c r="Q104">
        <v>0.6</v>
      </c>
      <c r="R104">
        <v>0.53</v>
      </c>
      <c r="S104">
        <v>0.67</v>
      </c>
    </row>
    <row r="105" spans="1:19" x14ac:dyDescent="0.35">
      <c r="A105" t="str">
        <f t="shared" si="1"/>
        <v>2018/19NHS LanarkshireAll50-64</v>
      </c>
      <c r="B105" t="s">
        <v>127</v>
      </c>
      <c r="C105" s="105" t="s">
        <v>48</v>
      </c>
      <c r="D105" s="105" t="s">
        <v>31</v>
      </c>
      <c r="E105" s="105" t="s">
        <v>58</v>
      </c>
      <c r="F105" s="105">
        <v>670</v>
      </c>
      <c r="G105" s="105">
        <v>600</v>
      </c>
      <c r="H105" s="105">
        <v>750</v>
      </c>
      <c r="I105">
        <v>4.7000000000000002E-3</v>
      </c>
      <c r="J105">
        <v>4.1999999999999997E-3</v>
      </c>
      <c r="K105">
        <v>5.1999999999999998E-3</v>
      </c>
      <c r="L105">
        <v>491</v>
      </c>
      <c r="M105">
        <v>0.73</v>
      </c>
      <c r="N105">
        <v>0.65</v>
      </c>
      <c r="O105">
        <v>0.82</v>
      </c>
      <c r="P105">
        <v>399</v>
      </c>
      <c r="Q105">
        <v>0.6</v>
      </c>
      <c r="R105">
        <v>0.53</v>
      </c>
      <c r="S105">
        <v>0.67</v>
      </c>
    </row>
    <row r="106" spans="1:19" x14ac:dyDescent="0.35">
      <c r="A106" t="str">
        <f t="shared" si="1"/>
        <v>2019/20NHS LanarkshireAll50-64</v>
      </c>
      <c r="B106" t="s">
        <v>127</v>
      </c>
      <c r="C106" s="105" t="s">
        <v>49</v>
      </c>
      <c r="D106" s="105" t="s">
        <v>31</v>
      </c>
      <c r="E106" s="105" t="s">
        <v>58</v>
      </c>
      <c r="F106" s="105">
        <v>740</v>
      </c>
      <c r="G106" s="105">
        <v>660</v>
      </c>
      <c r="H106" s="105">
        <v>820</v>
      </c>
      <c r="I106">
        <v>5.1000000000000004E-3</v>
      </c>
      <c r="J106">
        <v>4.5999999999999999E-3</v>
      </c>
      <c r="K106">
        <v>5.7000000000000002E-3</v>
      </c>
      <c r="L106">
        <v>561</v>
      </c>
      <c r="M106">
        <v>0.76</v>
      </c>
      <c r="N106">
        <v>0.68</v>
      </c>
      <c r="O106">
        <v>0.85</v>
      </c>
      <c r="P106">
        <v>436</v>
      </c>
      <c r="Q106">
        <v>0.59</v>
      </c>
      <c r="R106">
        <v>0.53</v>
      </c>
      <c r="S106">
        <v>0.66</v>
      </c>
    </row>
    <row r="107" spans="1:19" x14ac:dyDescent="0.35">
      <c r="A107" t="str">
        <f t="shared" si="1"/>
        <v>2020/21NHS LanarkshireAll50-64</v>
      </c>
      <c r="B107" t="s">
        <v>127</v>
      </c>
      <c r="C107" s="105" t="s">
        <v>124</v>
      </c>
      <c r="D107" s="105" t="s">
        <v>31</v>
      </c>
      <c r="E107" s="105" t="s">
        <v>58</v>
      </c>
      <c r="F107" s="105">
        <v>860</v>
      </c>
      <c r="G107" s="105">
        <v>770</v>
      </c>
      <c r="H107" s="105">
        <v>970</v>
      </c>
      <c r="I107">
        <v>5.8999999999999999E-3</v>
      </c>
      <c r="J107">
        <v>5.3E-3</v>
      </c>
      <c r="K107">
        <v>6.6E-3</v>
      </c>
      <c r="L107">
        <v>613</v>
      </c>
      <c r="M107">
        <v>0.71</v>
      </c>
      <c r="N107">
        <v>0.63</v>
      </c>
      <c r="O107">
        <v>0.8</v>
      </c>
      <c r="P107">
        <v>458</v>
      </c>
      <c r="Q107">
        <v>0.53</v>
      </c>
      <c r="R107">
        <v>0.47</v>
      </c>
      <c r="S107">
        <v>0.59</v>
      </c>
    </row>
    <row r="108" spans="1:19" x14ac:dyDescent="0.35">
      <c r="A108" t="str">
        <f t="shared" si="1"/>
        <v>2021/22NHS LanarkshireAll50-64</v>
      </c>
      <c r="B108" t="s">
        <v>127</v>
      </c>
      <c r="C108" s="105" t="s">
        <v>125</v>
      </c>
      <c r="D108" s="105" t="s">
        <v>31</v>
      </c>
      <c r="E108" s="105" t="s">
        <v>58</v>
      </c>
      <c r="F108" s="105">
        <v>930</v>
      </c>
      <c r="G108" s="105">
        <v>830</v>
      </c>
      <c r="H108" s="105">
        <v>1000</v>
      </c>
      <c r="I108">
        <v>6.3E-3</v>
      </c>
      <c r="J108">
        <v>5.7000000000000002E-3</v>
      </c>
      <c r="K108">
        <v>7.1000000000000004E-3</v>
      </c>
      <c r="L108">
        <v>682</v>
      </c>
      <c r="M108">
        <v>0.73</v>
      </c>
      <c r="N108">
        <v>0.68</v>
      </c>
      <c r="O108">
        <v>0.82</v>
      </c>
      <c r="P108">
        <v>566</v>
      </c>
      <c r="Q108">
        <v>0.61</v>
      </c>
      <c r="R108">
        <v>0.56999999999999995</v>
      </c>
      <c r="S108">
        <v>0.68</v>
      </c>
    </row>
    <row r="109" spans="1:19" x14ac:dyDescent="0.35">
      <c r="A109" t="str">
        <f t="shared" si="1"/>
        <v>2022/23NHS LanarkshireAll50-64</v>
      </c>
      <c r="B109" t="s">
        <v>127</v>
      </c>
      <c r="C109" s="105" t="s">
        <v>126</v>
      </c>
      <c r="D109" s="105" t="s">
        <v>31</v>
      </c>
      <c r="E109" s="105" t="s">
        <v>58</v>
      </c>
      <c r="F109" s="105">
        <v>1000</v>
      </c>
      <c r="G109" s="105">
        <v>910</v>
      </c>
      <c r="H109" s="105">
        <v>1100</v>
      </c>
      <c r="I109">
        <v>6.7000000000000002E-3</v>
      </c>
      <c r="J109">
        <v>6.0000000000000001E-3</v>
      </c>
      <c r="K109">
        <v>7.4999999999999997E-3</v>
      </c>
      <c r="L109">
        <v>759</v>
      </c>
      <c r="M109">
        <v>0.76</v>
      </c>
      <c r="N109">
        <v>0.69</v>
      </c>
      <c r="O109">
        <v>0.83</v>
      </c>
      <c r="P109">
        <v>635</v>
      </c>
      <c r="Q109">
        <v>0.64</v>
      </c>
      <c r="R109">
        <v>0.57999999999999996</v>
      </c>
      <c r="S109">
        <v>0.7</v>
      </c>
    </row>
    <row r="110" spans="1:19" x14ac:dyDescent="0.35">
      <c r="A110" t="str">
        <f t="shared" si="1"/>
        <v>2014/15NHS GrampianAll15-34</v>
      </c>
      <c r="B110" t="s">
        <v>128</v>
      </c>
      <c r="C110" s="105" t="s">
        <v>39</v>
      </c>
      <c r="D110" s="105" t="s">
        <v>31</v>
      </c>
      <c r="E110" s="105" t="s">
        <v>56</v>
      </c>
      <c r="F110" s="105">
        <v>1700</v>
      </c>
      <c r="G110" s="105">
        <v>1600</v>
      </c>
      <c r="H110" s="105">
        <v>1800</v>
      </c>
      <c r="I110">
        <v>1.06E-2</v>
      </c>
      <c r="J110">
        <v>9.7999999999999997E-3</v>
      </c>
      <c r="K110">
        <v>1.14E-2</v>
      </c>
      <c r="L110">
        <v>1315</v>
      </c>
      <c r="M110">
        <v>0.77</v>
      </c>
      <c r="N110">
        <v>0.73</v>
      </c>
      <c r="O110">
        <v>0.82</v>
      </c>
      <c r="P110">
        <v>983</v>
      </c>
      <c r="Q110">
        <v>0.57999999999999996</v>
      </c>
      <c r="R110">
        <v>0.55000000000000004</v>
      </c>
      <c r="S110">
        <v>0.61</v>
      </c>
    </row>
    <row r="111" spans="1:19" x14ac:dyDescent="0.35">
      <c r="A111" t="str">
        <f t="shared" si="1"/>
        <v>2015/16NHS GrampianAll15-34</v>
      </c>
      <c r="B111" t="s">
        <v>128</v>
      </c>
      <c r="C111" s="105" t="s">
        <v>44</v>
      </c>
      <c r="D111" s="105" t="s">
        <v>31</v>
      </c>
      <c r="E111" s="105" t="s">
        <v>56</v>
      </c>
      <c r="F111" s="105">
        <v>1500</v>
      </c>
      <c r="G111" s="105">
        <v>1400</v>
      </c>
      <c r="H111" s="105">
        <v>1600</v>
      </c>
      <c r="I111">
        <v>9.2999999999999992E-3</v>
      </c>
      <c r="J111">
        <v>8.6E-3</v>
      </c>
      <c r="K111">
        <v>0.01</v>
      </c>
      <c r="L111">
        <v>1145</v>
      </c>
      <c r="M111">
        <v>0.76</v>
      </c>
      <c r="N111">
        <v>0.72</v>
      </c>
      <c r="O111">
        <v>0.82</v>
      </c>
      <c r="P111">
        <v>864</v>
      </c>
      <c r="Q111">
        <v>0.57999999999999996</v>
      </c>
      <c r="R111">
        <v>0.54</v>
      </c>
      <c r="S111">
        <v>0.62</v>
      </c>
    </row>
    <row r="112" spans="1:19" x14ac:dyDescent="0.35">
      <c r="A112" t="str">
        <f t="shared" si="1"/>
        <v>2016/17NHS GrampianAll15-34</v>
      </c>
      <c r="B112" t="s">
        <v>128</v>
      </c>
      <c r="C112" s="105" t="s">
        <v>46</v>
      </c>
      <c r="D112" s="105" t="s">
        <v>31</v>
      </c>
      <c r="E112" s="105" t="s">
        <v>56</v>
      </c>
      <c r="F112" s="105">
        <v>1400</v>
      </c>
      <c r="G112" s="105">
        <v>1300</v>
      </c>
      <c r="H112" s="105">
        <v>1500</v>
      </c>
      <c r="I112">
        <v>8.6999999999999994E-3</v>
      </c>
      <c r="J112">
        <v>8.0999999999999996E-3</v>
      </c>
      <c r="K112">
        <v>9.2999999999999992E-3</v>
      </c>
      <c r="L112">
        <v>1082</v>
      </c>
      <c r="M112">
        <v>0.77</v>
      </c>
      <c r="N112">
        <v>0.72</v>
      </c>
      <c r="O112">
        <v>0.83</v>
      </c>
      <c r="P112">
        <v>901</v>
      </c>
      <c r="Q112">
        <v>0.64</v>
      </c>
      <c r="R112">
        <v>0.6</v>
      </c>
      <c r="S112">
        <v>0.69</v>
      </c>
    </row>
    <row r="113" spans="1:19" x14ac:dyDescent="0.35">
      <c r="A113" t="str">
        <f t="shared" si="1"/>
        <v>2017/18NHS GrampianAll15-34</v>
      </c>
      <c r="B113" t="s">
        <v>128</v>
      </c>
      <c r="C113" s="105" t="s">
        <v>47</v>
      </c>
      <c r="D113" s="105" t="s">
        <v>31</v>
      </c>
      <c r="E113" s="105" t="s">
        <v>56</v>
      </c>
      <c r="F113" s="105">
        <v>1300</v>
      </c>
      <c r="G113" s="105">
        <v>1200</v>
      </c>
      <c r="H113" s="105">
        <v>1400</v>
      </c>
      <c r="I113">
        <v>8.3000000000000001E-3</v>
      </c>
      <c r="J113">
        <v>7.7000000000000002E-3</v>
      </c>
      <c r="K113">
        <v>8.8999999999999999E-3</v>
      </c>
      <c r="L113">
        <v>1018</v>
      </c>
      <c r="M113">
        <v>0.78</v>
      </c>
      <c r="N113">
        <v>0.73</v>
      </c>
      <c r="O113">
        <v>0.85</v>
      </c>
      <c r="P113">
        <v>867</v>
      </c>
      <c r="Q113">
        <v>0.67</v>
      </c>
      <c r="R113">
        <v>0.62</v>
      </c>
      <c r="S113">
        <v>0.72</v>
      </c>
    </row>
    <row r="114" spans="1:19" x14ac:dyDescent="0.35">
      <c r="A114" t="str">
        <f t="shared" si="1"/>
        <v>2018/19NHS GrampianAll15-34</v>
      </c>
      <c r="B114" t="s">
        <v>128</v>
      </c>
      <c r="C114" s="105" t="s">
        <v>48</v>
      </c>
      <c r="D114" s="105" t="s">
        <v>31</v>
      </c>
      <c r="E114" s="105" t="s">
        <v>56</v>
      </c>
      <c r="F114" s="105">
        <v>1200</v>
      </c>
      <c r="G114" s="105">
        <v>1100</v>
      </c>
      <c r="H114" s="105">
        <v>1300</v>
      </c>
      <c r="I114">
        <v>7.7999999999999996E-3</v>
      </c>
      <c r="J114">
        <v>7.1999999999999998E-3</v>
      </c>
      <c r="K114">
        <v>8.3999999999999995E-3</v>
      </c>
      <c r="L114">
        <v>898</v>
      </c>
      <c r="M114">
        <v>0.75</v>
      </c>
      <c r="N114">
        <v>0.69</v>
      </c>
      <c r="O114">
        <v>0.82</v>
      </c>
      <c r="P114">
        <v>744</v>
      </c>
      <c r="Q114">
        <v>0.62</v>
      </c>
      <c r="R114">
        <v>0.56999999999999995</v>
      </c>
      <c r="S114">
        <v>0.68</v>
      </c>
    </row>
    <row r="115" spans="1:19" x14ac:dyDescent="0.35">
      <c r="A115" t="str">
        <f t="shared" si="1"/>
        <v>2019/20NHS GrampianAll15-34</v>
      </c>
      <c r="B115" t="s">
        <v>128</v>
      </c>
      <c r="C115" s="105" t="s">
        <v>49</v>
      </c>
      <c r="D115" s="105" t="s">
        <v>31</v>
      </c>
      <c r="E115" s="105" t="s">
        <v>56</v>
      </c>
      <c r="F115" s="105">
        <v>1100</v>
      </c>
      <c r="G115" s="105">
        <v>1000</v>
      </c>
      <c r="H115" s="105">
        <v>1200</v>
      </c>
      <c r="I115">
        <v>7.6E-3</v>
      </c>
      <c r="J115">
        <v>7.0000000000000001E-3</v>
      </c>
      <c r="K115">
        <v>8.3000000000000001E-3</v>
      </c>
      <c r="L115">
        <v>800</v>
      </c>
      <c r="M115">
        <v>0.73</v>
      </c>
      <c r="N115">
        <v>0.67</v>
      </c>
      <c r="O115">
        <v>0.8</v>
      </c>
      <c r="P115">
        <v>635</v>
      </c>
      <c r="Q115">
        <v>0.57999999999999996</v>
      </c>
      <c r="R115">
        <v>0.53</v>
      </c>
      <c r="S115">
        <v>0.64</v>
      </c>
    </row>
    <row r="116" spans="1:19" x14ac:dyDescent="0.35">
      <c r="A116" t="str">
        <f t="shared" si="1"/>
        <v>2020/21NHS GrampianAll15-34</v>
      </c>
      <c r="B116" t="s">
        <v>128</v>
      </c>
      <c r="C116" s="105" t="s">
        <v>124</v>
      </c>
      <c r="D116" s="105" t="s">
        <v>31</v>
      </c>
      <c r="E116" s="105" t="s">
        <v>56</v>
      </c>
      <c r="F116" s="105">
        <v>1100</v>
      </c>
      <c r="G116" s="105">
        <v>970</v>
      </c>
      <c r="H116" s="105">
        <v>1200</v>
      </c>
      <c r="I116">
        <v>7.3000000000000001E-3</v>
      </c>
      <c r="J116">
        <v>6.7000000000000002E-3</v>
      </c>
      <c r="K116">
        <v>8.0000000000000002E-3</v>
      </c>
      <c r="L116">
        <v>740</v>
      </c>
      <c r="M116">
        <v>0.67</v>
      </c>
      <c r="N116">
        <v>0.62</v>
      </c>
      <c r="O116">
        <v>0.76</v>
      </c>
      <c r="P116">
        <v>570</v>
      </c>
      <c r="Q116">
        <v>0.52</v>
      </c>
      <c r="R116">
        <v>0.48</v>
      </c>
      <c r="S116">
        <v>0.59</v>
      </c>
    </row>
    <row r="117" spans="1:19" x14ac:dyDescent="0.35">
      <c r="A117" t="str">
        <f t="shared" si="1"/>
        <v>2021/22NHS GrampianAll15-34</v>
      </c>
      <c r="B117" t="s">
        <v>128</v>
      </c>
      <c r="C117" s="105" t="s">
        <v>125</v>
      </c>
      <c r="D117" s="105" t="s">
        <v>31</v>
      </c>
      <c r="E117" s="105" t="s">
        <v>56</v>
      </c>
      <c r="F117" s="105">
        <v>960</v>
      </c>
      <c r="G117" s="105">
        <v>880</v>
      </c>
      <c r="H117" s="105">
        <v>1100</v>
      </c>
      <c r="I117">
        <v>6.7999999999999996E-3</v>
      </c>
      <c r="J117">
        <v>6.1999999999999998E-3</v>
      </c>
      <c r="K117">
        <v>7.4000000000000003E-3</v>
      </c>
      <c r="L117">
        <v>694</v>
      </c>
      <c r="M117">
        <v>0.72</v>
      </c>
      <c r="N117">
        <v>0.63</v>
      </c>
      <c r="O117">
        <v>0.79</v>
      </c>
      <c r="P117">
        <v>534</v>
      </c>
      <c r="Q117">
        <v>0.56000000000000005</v>
      </c>
      <c r="R117">
        <v>0.49</v>
      </c>
      <c r="S117">
        <v>0.61</v>
      </c>
    </row>
    <row r="118" spans="1:19" x14ac:dyDescent="0.35">
      <c r="A118" t="str">
        <f t="shared" si="1"/>
        <v>2022/23NHS GrampianAll15-34</v>
      </c>
      <c r="B118" t="s">
        <v>128</v>
      </c>
      <c r="C118" s="105" t="s">
        <v>126</v>
      </c>
      <c r="D118" s="105" t="s">
        <v>31</v>
      </c>
      <c r="E118" s="105" t="s">
        <v>56</v>
      </c>
      <c r="F118" s="105">
        <v>810</v>
      </c>
      <c r="G118" s="105">
        <v>740</v>
      </c>
      <c r="H118" s="105">
        <v>890</v>
      </c>
      <c r="I118">
        <v>5.8999999999999999E-3</v>
      </c>
      <c r="J118">
        <v>5.4000000000000003E-3</v>
      </c>
      <c r="K118">
        <v>6.4999999999999997E-3</v>
      </c>
      <c r="L118">
        <v>612</v>
      </c>
      <c r="M118">
        <v>0.76</v>
      </c>
      <c r="N118">
        <v>0.69</v>
      </c>
      <c r="O118">
        <v>0.83</v>
      </c>
      <c r="P118">
        <v>502</v>
      </c>
      <c r="Q118">
        <v>0.62</v>
      </c>
      <c r="R118">
        <v>0.56000000000000005</v>
      </c>
      <c r="S118">
        <v>0.68</v>
      </c>
    </row>
    <row r="119" spans="1:19" x14ac:dyDescent="0.35">
      <c r="A119" t="str">
        <f t="shared" si="1"/>
        <v>2014/15NHS GrampianAll35-49</v>
      </c>
      <c r="B119" t="s">
        <v>128</v>
      </c>
      <c r="C119" s="105" t="s">
        <v>39</v>
      </c>
      <c r="D119" s="105" t="s">
        <v>31</v>
      </c>
      <c r="E119" s="105" t="s">
        <v>57</v>
      </c>
      <c r="F119" s="105">
        <v>2300</v>
      </c>
      <c r="G119" s="105">
        <v>2200</v>
      </c>
      <c r="H119" s="105">
        <v>2500</v>
      </c>
      <c r="I119">
        <v>1.9300000000000001E-2</v>
      </c>
      <c r="J119">
        <v>1.8200000000000001E-2</v>
      </c>
      <c r="K119">
        <v>2.06E-2</v>
      </c>
      <c r="L119">
        <v>1945</v>
      </c>
      <c r="M119">
        <v>0.85</v>
      </c>
      <c r="N119">
        <v>0.78</v>
      </c>
      <c r="O119">
        <v>0.88</v>
      </c>
      <c r="P119">
        <v>1488</v>
      </c>
      <c r="Q119">
        <v>0.65</v>
      </c>
      <c r="R119">
        <v>0.6</v>
      </c>
      <c r="S119">
        <v>0.68</v>
      </c>
    </row>
    <row r="120" spans="1:19" x14ac:dyDescent="0.35">
      <c r="A120" t="str">
        <f t="shared" si="1"/>
        <v>2015/16NHS GrampianAll35-49</v>
      </c>
      <c r="B120" t="s">
        <v>128</v>
      </c>
      <c r="C120" s="105" t="s">
        <v>44</v>
      </c>
      <c r="D120" s="105" t="s">
        <v>31</v>
      </c>
      <c r="E120" s="105" t="s">
        <v>57</v>
      </c>
      <c r="F120" s="105">
        <v>2400</v>
      </c>
      <c r="G120" s="105">
        <v>2300</v>
      </c>
      <c r="H120" s="105">
        <v>2600</v>
      </c>
      <c r="I120">
        <v>2.0299999999999999E-2</v>
      </c>
      <c r="J120">
        <v>1.9199999999999998E-2</v>
      </c>
      <c r="K120">
        <v>2.1399999999999999E-2</v>
      </c>
      <c r="L120">
        <v>2049</v>
      </c>
      <c r="M120">
        <v>0.85</v>
      </c>
      <c r="N120">
        <v>0.79</v>
      </c>
      <c r="O120">
        <v>0.89</v>
      </c>
      <c r="P120">
        <v>1620</v>
      </c>
      <c r="Q120">
        <v>0.68</v>
      </c>
      <c r="R120">
        <v>0.62</v>
      </c>
      <c r="S120">
        <v>0.7</v>
      </c>
    </row>
    <row r="121" spans="1:19" x14ac:dyDescent="0.35">
      <c r="A121" t="str">
        <f t="shared" si="1"/>
        <v>2016/17NHS GrampianAll35-49</v>
      </c>
      <c r="B121" t="s">
        <v>128</v>
      </c>
      <c r="C121" s="105" t="s">
        <v>46</v>
      </c>
      <c r="D121" s="105" t="s">
        <v>31</v>
      </c>
      <c r="E121" s="105" t="s">
        <v>57</v>
      </c>
      <c r="F121" s="105">
        <v>2600</v>
      </c>
      <c r="G121" s="105">
        <v>2400</v>
      </c>
      <c r="H121" s="105">
        <v>2700</v>
      </c>
      <c r="I121">
        <v>2.1499999999999998E-2</v>
      </c>
      <c r="J121">
        <v>2.0500000000000001E-2</v>
      </c>
      <c r="K121">
        <v>2.2700000000000001E-2</v>
      </c>
      <c r="L121">
        <v>2212</v>
      </c>
      <c r="M121">
        <v>0.85</v>
      </c>
      <c r="N121">
        <v>0.82</v>
      </c>
      <c r="O121">
        <v>0.92</v>
      </c>
      <c r="P121">
        <v>1913</v>
      </c>
      <c r="Q121">
        <v>0.74</v>
      </c>
      <c r="R121">
        <v>0.71</v>
      </c>
      <c r="S121">
        <v>0.8</v>
      </c>
    </row>
    <row r="122" spans="1:19" x14ac:dyDescent="0.35">
      <c r="A122" t="str">
        <f t="shared" si="1"/>
        <v>2017/18NHS GrampianAll35-49</v>
      </c>
      <c r="B122" t="s">
        <v>128</v>
      </c>
      <c r="C122" s="105" t="s">
        <v>47</v>
      </c>
      <c r="D122" s="105" t="s">
        <v>31</v>
      </c>
      <c r="E122" s="105" t="s">
        <v>57</v>
      </c>
      <c r="F122" s="105">
        <v>2600</v>
      </c>
      <c r="G122" s="105">
        <v>2500</v>
      </c>
      <c r="H122" s="105">
        <v>2700</v>
      </c>
      <c r="I122">
        <v>2.2100000000000002E-2</v>
      </c>
      <c r="J122">
        <v>2.1000000000000001E-2</v>
      </c>
      <c r="K122">
        <v>2.3099999999999999E-2</v>
      </c>
      <c r="L122">
        <v>2298</v>
      </c>
      <c r="M122">
        <v>0.88</v>
      </c>
      <c r="N122">
        <v>0.85</v>
      </c>
      <c r="O122">
        <v>0.92</v>
      </c>
      <c r="P122">
        <v>2003</v>
      </c>
      <c r="Q122">
        <v>0.77</v>
      </c>
      <c r="R122">
        <v>0.74</v>
      </c>
      <c r="S122">
        <v>0.8</v>
      </c>
    </row>
    <row r="123" spans="1:19" x14ac:dyDescent="0.35">
      <c r="A123" t="str">
        <f t="shared" si="1"/>
        <v>2018/19NHS GrampianAll35-49</v>
      </c>
      <c r="B123" t="s">
        <v>128</v>
      </c>
      <c r="C123" s="105" t="s">
        <v>48</v>
      </c>
      <c r="D123" s="105" t="s">
        <v>31</v>
      </c>
      <c r="E123" s="105" t="s">
        <v>57</v>
      </c>
      <c r="F123" s="105">
        <v>2700</v>
      </c>
      <c r="G123" s="105">
        <v>2600</v>
      </c>
      <c r="H123" s="105">
        <v>2800</v>
      </c>
      <c r="I123">
        <v>2.2800000000000001E-2</v>
      </c>
      <c r="J123">
        <v>2.1700000000000001E-2</v>
      </c>
      <c r="K123">
        <v>2.3800000000000002E-2</v>
      </c>
      <c r="L123">
        <v>2359</v>
      </c>
      <c r="M123">
        <v>0.87</v>
      </c>
      <c r="N123">
        <v>0.84</v>
      </c>
      <c r="O123">
        <v>0.91</v>
      </c>
      <c r="P123">
        <v>2015</v>
      </c>
      <c r="Q123">
        <v>0.75</v>
      </c>
      <c r="R123">
        <v>0.72</v>
      </c>
      <c r="S123">
        <v>0.78</v>
      </c>
    </row>
    <row r="124" spans="1:19" x14ac:dyDescent="0.35">
      <c r="A124" t="str">
        <f t="shared" si="1"/>
        <v>2019/20NHS GrampianAll35-49</v>
      </c>
      <c r="B124" t="s">
        <v>128</v>
      </c>
      <c r="C124" s="105" t="s">
        <v>49</v>
      </c>
      <c r="D124" s="105" t="s">
        <v>31</v>
      </c>
      <c r="E124" s="105" t="s">
        <v>57</v>
      </c>
      <c r="F124" s="105">
        <v>2800</v>
      </c>
      <c r="G124" s="105">
        <v>2600</v>
      </c>
      <c r="H124" s="105">
        <v>2900</v>
      </c>
      <c r="I124">
        <v>2.3599999999999999E-2</v>
      </c>
      <c r="J124">
        <v>2.24E-2</v>
      </c>
      <c r="K124">
        <v>2.47E-2</v>
      </c>
      <c r="L124">
        <v>2368</v>
      </c>
      <c r="M124">
        <v>0.85</v>
      </c>
      <c r="N124">
        <v>0.82</v>
      </c>
      <c r="O124">
        <v>0.91</v>
      </c>
      <c r="P124">
        <v>1933</v>
      </c>
      <c r="Q124">
        <v>0.69</v>
      </c>
      <c r="R124">
        <v>0.67</v>
      </c>
      <c r="S124">
        <v>0.74</v>
      </c>
    </row>
    <row r="125" spans="1:19" x14ac:dyDescent="0.35">
      <c r="A125" t="str">
        <f t="shared" si="1"/>
        <v>2020/21NHS GrampianAll35-49</v>
      </c>
      <c r="B125" t="s">
        <v>128</v>
      </c>
      <c r="C125" s="105" t="s">
        <v>124</v>
      </c>
      <c r="D125" s="105" t="s">
        <v>31</v>
      </c>
      <c r="E125" s="105" t="s">
        <v>57</v>
      </c>
      <c r="F125" s="105">
        <v>2800</v>
      </c>
      <c r="G125" s="105">
        <v>2600</v>
      </c>
      <c r="H125" s="105">
        <v>2900</v>
      </c>
      <c r="I125">
        <v>2.3699999999999999E-2</v>
      </c>
      <c r="J125">
        <v>2.2599999999999999E-2</v>
      </c>
      <c r="K125">
        <v>2.4899999999999999E-2</v>
      </c>
      <c r="L125">
        <v>2383</v>
      </c>
      <c r="M125">
        <v>0.85</v>
      </c>
      <c r="N125">
        <v>0.82</v>
      </c>
      <c r="O125">
        <v>0.92</v>
      </c>
      <c r="P125">
        <v>1886</v>
      </c>
      <c r="Q125">
        <v>0.67</v>
      </c>
      <c r="R125">
        <v>0.65</v>
      </c>
      <c r="S125">
        <v>0.73</v>
      </c>
    </row>
    <row r="126" spans="1:19" x14ac:dyDescent="0.35">
      <c r="A126" t="str">
        <f t="shared" si="1"/>
        <v>2021/22NHS GrampianAll35-49</v>
      </c>
      <c r="B126" t="s">
        <v>128</v>
      </c>
      <c r="C126" s="105" t="s">
        <v>125</v>
      </c>
      <c r="D126" s="105" t="s">
        <v>31</v>
      </c>
      <c r="E126" s="105" t="s">
        <v>57</v>
      </c>
      <c r="F126" s="105">
        <v>2700</v>
      </c>
      <c r="G126" s="105">
        <v>2500</v>
      </c>
      <c r="H126" s="105">
        <v>2800</v>
      </c>
      <c r="I126">
        <v>2.2700000000000001E-2</v>
      </c>
      <c r="J126">
        <v>2.1600000000000001E-2</v>
      </c>
      <c r="K126">
        <v>2.3800000000000002E-2</v>
      </c>
      <c r="L126">
        <v>2326</v>
      </c>
      <c r="M126">
        <v>0.86</v>
      </c>
      <c r="N126">
        <v>0.83</v>
      </c>
      <c r="O126">
        <v>0.93</v>
      </c>
      <c r="P126">
        <v>1887</v>
      </c>
      <c r="Q126">
        <v>0.7</v>
      </c>
      <c r="R126">
        <v>0.67</v>
      </c>
      <c r="S126">
        <v>0.75</v>
      </c>
    </row>
    <row r="127" spans="1:19" x14ac:dyDescent="0.35">
      <c r="A127" t="str">
        <f t="shared" si="1"/>
        <v>2022/23NHS GrampianAll35-49</v>
      </c>
      <c r="B127" t="s">
        <v>128</v>
      </c>
      <c r="C127" s="105" t="s">
        <v>126</v>
      </c>
      <c r="D127" s="105" t="s">
        <v>31</v>
      </c>
      <c r="E127" s="105" t="s">
        <v>57</v>
      </c>
      <c r="F127" s="105">
        <v>2500</v>
      </c>
      <c r="G127" s="105">
        <v>2400</v>
      </c>
      <c r="H127" s="105">
        <v>2600</v>
      </c>
      <c r="I127">
        <v>2.23E-2</v>
      </c>
      <c r="J127">
        <v>2.1299999999999999E-2</v>
      </c>
      <c r="K127">
        <v>2.3300000000000001E-2</v>
      </c>
      <c r="L127">
        <v>2266</v>
      </c>
      <c r="M127">
        <v>0.91</v>
      </c>
      <c r="N127">
        <v>0.87</v>
      </c>
      <c r="O127">
        <v>0.94</v>
      </c>
      <c r="P127">
        <v>1943</v>
      </c>
      <c r="Q127">
        <v>0.78</v>
      </c>
      <c r="R127">
        <v>0.75</v>
      </c>
      <c r="S127">
        <v>0.81</v>
      </c>
    </row>
    <row r="128" spans="1:19" x14ac:dyDescent="0.35">
      <c r="A128" t="str">
        <f t="shared" si="1"/>
        <v>2014/15NHS GrampianAll50-64</v>
      </c>
      <c r="B128" t="s">
        <v>128</v>
      </c>
      <c r="C128" s="105" t="s">
        <v>39</v>
      </c>
      <c r="D128" s="105" t="s">
        <v>31</v>
      </c>
      <c r="E128" s="105" t="s">
        <v>58</v>
      </c>
      <c r="F128" s="105">
        <v>300</v>
      </c>
      <c r="G128" s="105">
        <v>240</v>
      </c>
      <c r="H128" s="105">
        <v>370</v>
      </c>
      <c r="I128">
        <v>2.5999999999999999E-3</v>
      </c>
      <c r="J128">
        <v>2.0999999999999999E-3</v>
      </c>
      <c r="K128">
        <v>3.3E-3</v>
      </c>
      <c r="L128">
        <v>175</v>
      </c>
      <c r="M128">
        <v>0.57999999999999996</v>
      </c>
      <c r="N128">
        <v>0.47</v>
      </c>
      <c r="O128">
        <v>0.73</v>
      </c>
      <c r="P128">
        <v>123</v>
      </c>
      <c r="Q128">
        <v>0.41</v>
      </c>
      <c r="R128">
        <v>0.33</v>
      </c>
      <c r="S128">
        <v>0.51</v>
      </c>
    </row>
    <row r="129" spans="1:19" x14ac:dyDescent="0.35">
      <c r="A129" t="str">
        <f t="shared" si="1"/>
        <v>2015/16NHS GrampianAll50-64</v>
      </c>
      <c r="B129" t="s">
        <v>128</v>
      </c>
      <c r="C129" s="105" t="s">
        <v>44</v>
      </c>
      <c r="D129" s="105" t="s">
        <v>31</v>
      </c>
      <c r="E129" s="105" t="s">
        <v>58</v>
      </c>
      <c r="F129" s="105">
        <v>310</v>
      </c>
      <c r="G129" s="105">
        <v>260</v>
      </c>
      <c r="H129" s="105">
        <v>380</v>
      </c>
      <c r="I129">
        <v>2.7000000000000001E-3</v>
      </c>
      <c r="J129">
        <v>2.3E-3</v>
      </c>
      <c r="K129">
        <v>3.3E-3</v>
      </c>
      <c r="L129">
        <v>197</v>
      </c>
      <c r="M129">
        <v>0.64</v>
      </c>
      <c r="N129">
        <v>0.52</v>
      </c>
      <c r="O129">
        <v>0.76</v>
      </c>
      <c r="P129">
        <v>151</v>
      </c>
      <c r="Q129">
        <v>0.49</v>
      </c>
      <c r="R129">
        <v>0.4</v>
      </c>
      <c r="S129">
        <v>0.57999999999999996</v>
      </c>
    </row>
    <row r="130" spans="1:19" x14ac:dyDescent="0.35">
      <c r="A130" t="str">
        <f t="shared" si="1"/>
        <v>2016/17NHS GrampianAll50-64</v>
      </c>
      <c r="B130" t="s">
        <v>128</v>
      </c>
      <c r="C130" s="105" t="s">
        <v>46</v>
      </c>
      <c r="D130" s="105" t="s">
        <v>31</v>
      </c>
      <c r="E130" s="105" t="s">
        <v>58</v>
      </c>
      <c r="F130" s="105">
        <v>360</v>
      </c>
      <c r="G130" s="105">
        <v>310</v>
      </c>
      <c r="H130" s="105">
        <v>430</v>
      </c>
      <c r="I130">
        <v>3.0999999999999999E-3</v>
      </c>
      <c r="J130">
        <v>2.7000000000000001E-3</v>
      </c>
      <c r="K130">
        <v>3.7000000000000002E-3</v>
      </c>
      <c r="L130">
        <v>239</v>
      </c>
      <c r="M130">
        <v>0.66</v>
      </c>
      <c r="N130">
        <v>0.56000000000000005</v>
      </c>
      <c r="O130">
        <v>0.77</v>
      </c>
      <c r="P130">
        <v>197</v>
      </c>
      <c r="Q130">
        <v>0.55000000000000004</v>
      </c>
      <c r="R130">
        <v>0.46</v>
      </c>
      <c r="S130">
        <v>0.64</v>
      </c>
    </row>
    <row r="131" spans="1:19" x14ac:dyDescent="0.35">
      <c r="A131" t="str">
        <f t="shared" ref="A131:A194" si="2">C131&amp;B131&amp;D131&amp;E131</f>
        <v>2017/18NHS GrampianAll50-64</v>
      </c>
      <c r="B131" t="s">
        <v>128</v>
      </c>
      <c r="C131" s="105" t="s">
        <v>47</v>
      </c>
      <c r="D131" s="105" t="s">
        <v>31</v>
      </c>
      <c r="E131" s="105" t="s">
        <v>58</v>
      </c>
      <c r="F131" s="105">
        <v>370</v>
      </c>
      <c r="G131" s="105">
        <v>330</v>
      </c>
      <c r="H131" s="105">
        <v>430</v>
      </c>
      <c r="I131">
        <v>3.2000000000000002E-3</v>
      </c>
      <c r="J131">
        <v>2.8E-3</v>
      </c>
      <c r="K131">
        <v>3.5999999999999999E-3</v>
      </c>
      <c r="L131">
        <v>290</v>
      </c>
      <c r="M131">
        <v>0.78</v>
      </c>
      <c r="N131">
        <v>0.67</v>
      </c>
      <c r="O131">
        <v>0.88</v>
      </c>
      <c r="P131">
        <v>248</v>
      </c>
      <c r="Q131">
        <v>0.67</v>
      </c>
      <c r="R131">
        <v>0.57999999999999996</v>
      </c>
      <c r="S131">
        <v>0.75</v>
      </c>
    </row>
    <row r="132" spans="1:19" x14ac:dyDescent="0.35">
      <c r="A132" t="str">
        <f t="shared" si="2"/>
        <v>2018/19NHS GrampianAll50-64</v>
      </c>
      <c r="B132" t="s">
        <v>128</v>
      </c>
      <c r="C132" s="105" t="s">
        <v>48</v>
      </c>
      <c r="D132" s="105" t="s">
        <v>31</v>
      </c>
      <c r="E132" s="105" t="s">
        <v>58</v>
      </c>
      <c r="F132" s="105">
        <v>430</v>
      </c>
      <c r="G132" s="105">
        <v>380</v>
      </c>
      <c r="H132" s="105">
        <v>490</v>
      </c>
      <c r="I132">
        <v>3.5999999999999999E-3</v>
      </c>
      <c r="J132">
        <v>3.2000000000000002E-3</v>
      </c>
      <c r="K132">
        <v>4.1999999999999997E-3</v>
      </c>
      <c r="L132">
        <v>323</v>
      </c>
      <c r="M132">
        <v>0.75</v>
      </c>
      <c r="N132">
        <v>0.66</v>
      </c>
      <c r="O132">
        <v>0.85</v>
      </c>
      <c r="P132">
        <v>265</v>
      </c>
      <c r="Q132">
        <v>0.62</v>
      </c>
      <c r="R132">
        <v>0.54</v>
      </c>
      <c r="S132">
        <v>0.7</v>
      </c>
    </row>
    <row r="133" spans="1:19" x14ac:dyDescent="0.35">
      <c r="A133" t="str">
        <f t="shared" si="2"/>
        <v>2019/20NHS GrampianAll50-64</v>
      </c>
      <c r="B133" t="s">
        <v>128</v>
      </c>
      <c r="C133" s="105" t="s">
        <v>49</v>
      </c>
      <c r="D133" s="105" t="s">
        <v>31</v>
      </c>
      <c r="E133" s="105" t="s">
        <v>58</v>
      </c>
      <c r="F133" s="105">
        <v>490</v>
      </c>
      <c r="G133" s="105">
        <v>430</v>
      </c>
      <c r="H133" s="105">
        <v>550</v>
      </c>
      <c r="I133">
        <v>4.1000000000000003E-3</v>
      </c>
      <c r="J133">
        <v>3.5999999999999999E-3</v>
      </c>
      <c r="K133">
        <v>4.5999999999999999E-3</v>
      </c>
      <c r="L133">
        <v>379</v>
      </c>
      <c r="M133">
        <v>0.77</v>
      </c>
      <c r="N133">
        <v>0.69</v>
      </c>
      <c r="O133">
        <v>0.88</v>
      </c>
      <c r="P133">
        <v>298</v>
      </c>
      <c r="Q133">
        <v>0.61</v>
      </c>
      <c r="R133">
        <v>0.54</v>
      </c>
      <c r="S133">
        <v>0.69</v>
      </c>
    </row>
    <row r="134" spans="1:19" x14ac:dyDescent="0.35">
      <c r="A134" t="str">
        <f t="shared" si="2"/>
        <v>2020/21NHS GrampianAll50-64</v>
      </c>
      <c r="B134" t="s">
        <v>128</v>
      </c>
      <c r="C134" s="105" t="s">
        <v>124</v>
      </c>
      <c r="D134" s="105" t="s">
        <v>31</v>
      </c>
      <c r="E134" s="105" t="s">
        <v>58</v>
      </c>
      <c r="F134" s="105">
        <v>600</v>
      </c>
      <c r="G134" s="105">
        <v>540</v>
      </c>
      <c r="H134" s="105">
        <v>680</v>
      </c>
      <c r="I134">
        <v>5.1000000000000004E-3</v>
      </c>
      <c r="J134">
        <v>4.4999999999999997E-3</v>
      </c>
      <c r="K134">
        <v>5.7000000000000002E-3</v>
      </c>
      <c r="L134">
        <v>454</v>
      </c>
      <c r="M134">
        <v>0.76</v>
      </c>
      <c r="N134">
        <v>0.67</v>
      </c>
      <c r="O134">
        <v>0.84</v>
      </c>
      <c r="P134">
        <v>352</v>
      </c>
      <c r="Q134">
        <v>0.59</v>
      </c>
      <c r="R134">
        <v>0.52</v>
      </c>
      <c r="S134">
        <v>0.65</v>
      </c>
    </row>
    <row r="135" spans="1:19" x14ac:dyDescent="0.35">
      <c r="A135" t="str">
        <f t="shared" si="2"/>
        <v>2021/22NHS GrampianAll50-64</v>
      </c>
      <c r="B135" t="s">
        <v>128</v>
      </c>
      <c r="C135" s="105" t="s">
        <v>125</v>
      </c>
      <c r="D135" s="105" t="s">
        <v>31</v>
      </c>
      <c r="E135" s="105" t="s">
        <v>58</v>
      </c>
      <c r="F135" s="105">
        <v>670</v>
      </c>
      <c r="G135" s="105">
        <v>600</v>
      </c>
      <c r="H135" s="105">
        <v>760</v>
      </c>
      <c r="I135">
        <v>5.5999999999999999E-3</v>
      </c>
      <c r="J135">
        <v>5.0000000000000001E-3</v>
      </c>
      <c r="K135">
        <v>6.3E-3</v>
      </c>
      <c r="L135">
        <v>529</v>
      </c>
      <c r="M135">
        <v>0.79</v>
      </c>
      <c r="N135">
        <v>0.7</v>
      </c>
      <c r="O135">
        <v>0.88</v>
      </c>
      <c r="P135">
        <v>428</v>
      </c>
      <c r="Q135">
        <v>0.64</v>
      </c>
      <c r="R135">
        <v>0.56000000000000005</v>
      </c>
      <c r="S135">
        <v>0.71</v>
      </c>
    </row>
    <row r="136" spans="1:19" x14ac:dyDescent="0.35">
      <c r="A136" t="str">
        <f t="shared" si="2"/>
        <v>2022/23NHS GrampianAll50-64</v>
      </c>
      <c r="B136" t="s">
        <v>128</v>
      </c>
      <c r="C136" s="105" t="s">
        <v>126</v>
      </c>
      <c r="D136" s="105" t="s">
        <v>31</v>
      </c>
      <c r="E136" s="105" t="s">
        <v>58</v>
      </c>
      <c r="F136" s="105">
        <v>760</v>
      </c>
      <c r="G136" s="105">
        <v>690</v>
      </c>
      <c r="H136" s="105">
        <v>850</v>
      </c>
      <c r="I136">
        <v>6.3E-3</v>
      </c>
      <c r="J136">
        <v>5.5999999999999999E-3</v>
      </c>
      <c r="K136">
        <v>7.0000000000000001E-3</v>
      </c>
      <c r="L136">
        <v>616</v>
      </c>
      <c r="M136">
        <v>0.81</v>
      </c>
      <c r="N136">
        <v>0.72</v>
      </c>
      <c r="O136">
        <v>0.89</v>
      </c>
      <c r="P136">
        <v>526</v>
      </c>
      <c r="Q136">
        <v>0.69</v>
      </c>
      <c r="R136">
        <v>0.62</v>
      </c>
      <c r="S136">
        <v>0.76</v>
      </c>
    </row>
    <row r="137" spans="1:19" x14ac:dyDescent="0.35">
      <c r="A137" t="str">
        <f t="shared" si="2"/>
        <v>2014/15NHS TaysideAll15-34</v>
      </c>
      <c r="B137" t="s">
        <v>45</v>
      </c>
      <c r="C137" s="105" t="s">
        <v>39</v>
      </c>
      <c r="D137" s="105" t="s">
        <v>31</v>
      </c>
      <c r="E137" s="105" t="s">
        <v>56</v>
      </c>
      <c r="F137" s="105">
        <v>1600</v>
      </c>
      <c r="G137" s="105">
        <v>1500</v>
      </c>
      <c r="H137" s="105">
        <v>1800</v>
      </c>
      <c r="I137">
        <v>1.54E-2</v>
      </c>
      <c r="J137">
        <v>1.43E-2</v>
      </c>
      <c r="K137">
        <v>1.67E-2</v>
      </c>
      <c r="L137">
        <v>1242</v>
      </c>
      <c r="M137">
        <v>0.78</v>
      </c>
      <c r="N137">
        <v>0.69</v>
      </c>
      <c r="O137">
        <v>0.83</v>
      </c>
      <c r="P137">
        <v>1046</v>
      </c>
      <c r="Q137">
        <v>0.65</v>
      </c>
      <c r="R137">
        <v>0.57999999999999996</v>
      </c>
      <c r="S137">
        <v>0.7</v>
      </c>
    </row>
    <row r="138" spans="1:19" x14ac:dyDescent="0.35">
      <c r="A138" t="str">
        <f t="shared" si="2"/>
        <v>2015/16NHS TaysideAll15-34</v>
      </c>
      <c r="B138" t="s">
        <v>45</v>
      </c>
      <c r="C138" s="105" t="s">
        <v>44</v>
      </c>
      <c r="D138" s="105" t="s">
        <v>31</v>
      </c>
      <c r="E138" s="105" t="s">
        <v>56</v>
      </c>
      <c r="F138" s="105">
        <v>1500</v>
      </c>
      <c r="G138" s="105">
        <v>1400</v>
      </c>
      <c r="H138" s="105">
        <v>1600</v>
      </c>
      <c r="I138">
        <v>1.4200000000000001E-2</v>
      </c>
      <c r="J138">
        <v>1.3100000000000001E-2</v>
      </c>
      <c r="K138">
        <v>1.5299999999999999E-2</v>
      </c>
      <c r="L138">
        <v>1146</v>
      </c>
      <c r="M138">
        <v>0.76</v>
      </c>
      <c r="N138">
        <v>0.72</v>
      </c>
      <c r="O138">
        <v>0.82</v>
      </c>
      <c r="P138">
        <v>927</v>
      </c>
      <c r="Q138">
        <v>0.62</v>
      </c>
      <c r="R138">
        <v>0.57999999999999996</v>
      </c>
      <c r="S138">
        <v>0.66</v>
      </c>
    </row>
    <row r="139" spans="1:19" x14ac:dyDescent="0.35">
      <c r="A139" t="str">
        <f t="shared" si="2"/>
        <v>2016/17NHS TaysideAll15-34</v>
      </c>
      <c r="B139" t="s">
        <v>45</v>
      </c>
      <c r="C139" s="105" t="s">
        <v>46</v>
      </c>
      <c r="D139" s="105" t="s">
        <v>31</v>
      </c>
      <c r="E139" s="105" t="s">
        <v>56</v>
      </c>
      <c r="F139" s="105">
        <v>1300</v>
      </c>
      <c r="G139" s="105">
        <v>1200</v>
      </c>
      <c r="H139" s="105">
        <v>1400</v>
      </c>
      <c r="I139">
        <v>1.2500000000000001E-2</v>
      </c>
      <c r="J139">
        <v>1.15E-2</v>
      </c>
      <c r="K139">
        <v>1.34E-2</v>
      </c>
      <c r="L139">
        <v>1006</v>
      </c>
      <c r="M139">
        <v>0.77</v>
      </c>
      <c r="N139">
        <v>0.72</v>
      </c>
      <c r="O139">
        <v>0.84</v>
      </c>
      <c r="P139">
        <v>792</v>
      </c>
      <c r="Q139">
        <v>0.61</v>
      </c>
      <c r="R139">
        <v>0.56999999999999995</v>
      </c>
      <c r="S139">
        <v>0.66</v>
      </c>
    </row>
    <row r="140" spans="1:19" x14ac:dyDescent="0.35">
      <c r="A140" t="str">
        <f t="shared" si="2"/>
        <v>2017/18NHS TaysideAll15-34</v>
      </c>
      <c r="B140" t="s">
        <v>45</v>
      </c>
      <c r="C140" s="105" t="s">
        <v>47</v>
      </c>
      <c r="D140" s="105" t="s">
        <v>31</v>
      </c>
      <c r="E140" s="105" t="s">
        <v>56</v>
      </c>
      <c r="F140" s="105">
        <v>1200</v>
      </c>
      <c r="G140" s="105">
        <v>1100</v>
      </c>
      <c r="H140" s="105">
        <v>1300</v>
      </c>
      <c r="I140">
        <v>1.11E-2</v>
      </c>
      <c r="J140">
        <v>1.03E-2</v>
      </c>
      <c r="K140">
        <v>1.2E-2</v>
      </c>
      <c r="L140">
        <v>890</v>
      </c>
      <c r="M140">
        <v>0.74</v>
      </c>
      <c r="N140">
        <v>0.68</v>
      </c>
      <c r="O140">
        <v>0.81</v>
      </c>
      <c r="P140">
        <v>698</v>
      </c>
      <c r="Q140">
        <v>0.57999999999999996</v>
      </c>
      <c r="R140">
        <v>0.54</v>
      </c>
      <c r="S140">
        <v>0.63</v>
      </c>
    </row>
    <row r="141" spans="1:19" x14ac:dyDescent="0.35">
      <c r="A141" t="str">
        <f t="shared" si="2"/>
        <v>2018/19NHS TaysideAll15-34</v>
      </c>
      <c r="B141" t="s">
        <v>45</v>
      </c>
      <c r="C141" s="105" t="s">
        <v>48</v>
      </c>
      <c r="D141" s="105" t="s">
        <v>31</v>
      </c>
      <c r="E141" s="105" t="s">
        <v>56</v>
      </c>
      <c r="F141" s="105">
        <v>1100</v>
      </c>
      <c r="G141" s="105">
        <v>990</v>
      </c>
      <c r="H141" s="105">
        <v>1200</v>
      </c>
      <c r="I141">
        <v>1.03E-2</v>
      </c>
      <c r="J141">
        <v>9.4999999999999998E-3</v>
      </c>
      <c r="K141">
        <v>1.11E-2</v>
      </c>
      <c r="L141">
        <v>777</v>
      </c>
      <c r="M141">
        <v>0.71</v>
      </c>
      <c r="N141">
        <v>0.65</v>
      </c>
      <c r="O141">
        <v>0.78</v>
      </c>
      <c r="P141">
        <v>619</v>
      </c>
      <c r="Q141">
        <v>0.56000000000000005</v>
      </c>
      <c r="R141">
        <v>0.52</v>
      </c>
      <c r="S141">
        <v>0.63</v>
      </c>
    </row>
    <row r="142" spans="1:19" x14ac:dyDescent="0.35">
      <c r="A142" t="str">
        <f t="shared" si="2"/>
        <v>2019/20NHS TaysideAll15-34</v>
      </c>
      <c r="B142" t="s">
        <v>45</v>
      </c>
      <c r="C142" s="105" t="s">
        <v>49</v>
      </c>
      <c r="D142" s="105" t="s">
        <v>31</v>
      </c>
      <c r="E142" s="105" t="s">
        <v>56</v>
      </c>
      <c r="F142" s="105">
        <v>1100</v>
      </c>
      <c r="G142" s="105">
        <v>1000</v>
      </c>
      <c r="H142" s="105">
        <v>1200</v>
      </c>
      <c r="I142">
        <v>1.0500000000000001E-2</v>
      </c>
      <c r="J142">
        <v>9.5999999999999992E-3</v>
      </c>
      <c r="K142">
        <v>1.1599999999999999E-2</v>
      </c>
      <c r="L142">
        <v>734</v>
      </c>
      <c r="M142">
        <v>0.67</v>
      </c>
      <c r="N142">
        <v>0.61</v>
      </c>
      <c r="O142">
        <v>0.73</v>
      </c>
      <c r="P142">
        <v>586</v>
      </c>
      <c r="Q142">
        <v>0.53</v>
      </c>
      <c r="R142">
        <v>0.49</v>
      </c>
      <c r="S142">
        <v>0.59</v>
      </c>
    </row>
    <row r="143" spans="1:19" x14ac:dyDescent="0.35">
      <c r="A143" t="str">
        <f t="shared" si="2"/>
        <v>2020/21NHS TaysideAll15-34</v>
      </c>
      <c r="B143" t="s">
        <v>45</v>
      </c>
      <c r="C143" s="105" t="s">
        <v>124</v>
      </c>
      <c r="D143" s="105" t="s">
        <v>31</v>
      </c>
      <c r="E143" s="105" t="s">
        <v>56</v>
      </c>
      <c r="F143" s="105">
        <v>1000</v>
      </c>
      <c r="G143" s="105">
        <v>920</v>
      </c>
      <c r="H143" s="105">
        <v>1100</v>
      </c>
      <c r="I143">
        <v>9.7999999999999997E-3</v>
      </c>
      <c r="J143">
        <v>8.8999999999999999E-3</v>
      </c>
      <c r="K143">
        <v>1.09E-2</v>
      </c>
      <c r="L143">
        <v>643</v>
      </c>
      <c r="M143">
        <v>0.64</v>
      </c>
      <c r="N143">
        <v>0.57999999999999996</v>
      </c>
      <c r="O143">
        <v>0.7</v>
      </c>
      <c r="P143">
        <v>525</v>
      </c>
      <c r="Q143">
        <v>0.53</v>
      </c>
      <c r="R143">
        <v>0.48</v>
      </c>
      <c r="S143">
        <v>0.56999999999999995</v>
      </c>
    </row>
    <row r="144" spans="1:19" x14ac:dyDescent="0.35">
      <c r="A144" t="str">
        <f t="shared" si="2"/>
        <v>2021/22NHS TaysideAll15-34</v>
      </c>
      <c r="B144" t="s">
        <v>45</v>
      </c>
      <c r="C144" s="105" t="s">
        <v>125</v>
      </c>
      <c r="D144" s="105" t="s">
        <v>31</v>
      </c>
      <c r="E144" s="105" t="s">
        <v>56</v>
      </c>
      <c r="F144" s="105">
        <v>880</v>
      </c>
      <c r="G144" s="105">
        <v>790</v>
      </c>
      <c r="H144" s="105">
        <v>980</v>
      </c>
      <c r="I144">
        <v>8.6E-3</v>
      </c>
      <c r="J144">
        <v>7.7999999999999996E-3</v>
      </c>
      <c r="K144">
        <v>9.4999999999999998E-3</v>
      </c>
      <c r="L144">
        <v>568</v>
      </c>
      <c r="M144">
        <v>0.65</v>
      </c>
      <c r="N144">
        <v>0.57999999999999996</v>
      </c>
      <c r="O144">
        <v>0.72</v>
      </c>
      <c r="P144">
        <v>469</v>
      </c>
      <c r="Q144">
        <v>0.53</v>
      </c>
      <c r="R144">
        <v>0.48</v>
      </c>
      <c r="S144">
        <v>0.59</v>
      </c>
    </row>
    <row r="145" spans="1:19" x14ac:dyDescent="0.35">
      <c r="A145" t="str">
        <f t="shared" si="2"/>
        <v>2022/23NHS TaysideAll15-34</v>
      </c>
      <c r="B145" t="s">
        <v>45</v>
      </c>
      <c r="C145" s="105" t="s">
        <v>126</v>
      </c>
      <c r="D145" s="105" t="s">
        <v>31</v>
      </c>
      <c r="E145" s="105" t="s">
        <v>56</v>
      </c>
      <c r="F145" s="105">
        <v>710</v>
      </c>
      <c r="G145" s="105">
        <v>640</v>
      </c>
      <c r="H145" s="105">
        <v>800</v>
      </c>
      <c r="I145">
        <v>7.3000000000000001E-3</v>
      </c>
      <c r="J145">
        <v>6.4999999999999997E-3</v>
      </c>
      <c r="K145">
        <v>8.0999999999999996E-3</v>
      </c>
      <c r="L145">
        <v>484</v>
      </c>
      <c r="M145">
        <v>0.68</v>
      </c>
      <c r="N145">
        <v>0.61</v>
      </c>
      <c r="O145">
        <v>0.76</v>
      </c>
      <c r="P145">
        <v>395</v>
      </c>
      <c r="Q145">
        <v>0.56000000000000005</v>
      </c>
      <c r="R145">
        <v>0.49</v>
      </c>
      <c r="S145">
        <v>0.62</v>
      </c>
    </row>
    <row r="146" spans="1:19" x14ac:dyDescent="0.35">
      <c r="A146" t="str">
        <f t="shared" si="2"/>
        <v>2014/15NHS TaysideAll35-49</v>
      </c>
      <c r="B146" t="s">
        <v>45</v>
      </c>
      <c r="C146" s="105" t="s">
        <v>39</v>
      </c>
      <c r="D146" s="105" t="s">
        <v>31</v>
      </c>
      <c r="E146" s="105" t="s">
        <v>57</v>
      </c>
      <c r="F146" s="105">
        <v>1800</v>
      </c>
      <c r="G146" s="105">
        <v>1700</v>
      </c>
      <c r="H146" s="105">
        <v>2000</v>
      </c>
      <c r="I146">
        <v>2.3800000000000002E-2</v>
      </c>
      <c r="J146">
        <v>2.2200000000000001E-2</v>
      </c>
      <c r="K146">
        <v>2.5600000000000001E-2</v>
      </c>
      <c r="L146">
        <v>1420</v>
      </c>
      <c r="M146">
        <v>0.79</v>
      </c>
      <c r="N146">
        <v>0.71</v>
      </c>
      <c r="O146">
        <v>0.84</v>
      </c>
      <c r="P146">
        <v>1179</v>
      </c>
      <c r="Q146">
        <v>0.66</v>
      </c>
      <c r="R146">
        <v>0.59</v>
      </c>
      <c r="S146">
        <v>0.69</v>
      </c>
    </row>
    <row r="147" spans="1:19" x14ac:dyDescent="0.35">
      <c r="A147" t="str">
        <f t="shared" si="2"/>
        <v>2015/16NHS TaysideAll35-49</v>
      </c>
      <c r="B147" t="s">
        <v>45</v>
      </c>
      <c r="C147" s="105" t="s">
        <v>44</v>
      </c>
      <c r="D147" s="105" t="s">
        <v>31</v>
      </c>
      <c r="E147" s="105" t="s">
        <v>57</v>
      </c>
      <c r="F147" s="105">
        <v>1800</v>
      </c>
      <c r="G147" s="105">
        <v>1700</v>
      </c>
      <c r="H147" s="105">
        <v>2000</v>
      </c>
      <c r="I147">
        <v>2.4299999999999999E-2</v>
      </c>
      <c r="J147">
        <v>2.2800000000000001E-2</v>
      </c>
      <c r="K147">
        <v>2.5999999999999999E-2</v>
      </c>
      <c r="L147">
        <v>1480</v>
      </c>
      <c r="M147">
        <v>0.82</v>
      </c>
      <c r="N147">
        <v>0.74</v>
      </c>
      <c r="O147">
        <v>0.87</v>
      </c>
      <c r="P147">
        <v>1200</v>
      </c>
      <c r="Q147">
        <v>0.67</v>
      </c>
      <c r="R147">
        <v>0.6</v>
      </c>
      <c r="S147">
        <v>0.71</v>
      </c>
    </row>
    <row r="148" spans="1:19" x14ac:dyDescent="0.35">
      <c r="A148" t="str">
        <f t="shared" si="2"/>
        <v>2016/17NHS TaysideAll35-49</v>
      </c>
      <c r="B148" t="s">
        <v>45</v>
      </c>
      <c r="C148" s="105" t="s">
        <v>46</v>
      </c>
      <c r="D148" s="105" t="s">
        <v>31</v>
      </c>
      <c r="E148" s="105" t="s">
        <v>57</v>
      </c>
      <c r="F148" s="105">
        <v>1900</v>
      </c>
      <c r="G148" s="105">
        <v>1800</v>
      </c>
      <c r="H148" s="105">
        <v>2000</v>
      </c>
      <c r="I148">
        <v>2.5499999999999998E-2</v>
      </c>
      <c r="J148">
        <v>2.41E-2</v>
      </c>
      <c r="K148">
        <v>2.7099999999999999E-2</v>
      </c>
      <c r="L148">
        <v>1578</v>
      </c>
      <c r="M148">
        <v>0.83</v>
      </c>
      <c r="N148">
        <v>0.79</v>
      </c>
      <c r="O148">
        <v>0.88</v>
      </c>
      <c r="P148">
        <v>1271</v>
      </c>
      <c r="Q148">
        <v>0.67</v>
      </c>
      <c r="R148">
        <v>0.64</v>
      </c>
      <c r="S148">
        <v>0.71</v>
      </c>
    </row>
    <row r="149" spans="1:19" x14ac:dyDescent="0.35">
      <c r="A149" t="str">
        <f t="shared" si="2"/>
        <v>2017/18NHS TaysideAll35-49</v>
      </c>
      <c r="B149" t="s">
        <v>45</v>
      </c>
      <c r="C149" s="105" t="s">
        <v>47</v>
      </c>
      <c r="D149" s="105" t="s">
        <v>31</v>
      </c>
      <c r="E149" s="105" t="s">
        <v>57</v>
      </c>
      <c r="F149" s="105">
        <v>1900</v>
      </c>
      <c r="G149" s="105">
        <v>1800</v>
      </c>
      <c r="H149" s="105">
        <v>2000</v>
      </c>
      <c r="I149">
        <v>2.6100000000000002E-2</v>
      </c>
      <c r="J149">
        <v>2.47E-2</v>
      </c>
      <c r="K149">
        <v>2.76E-2</v>
      </c>
      <c r="L149">
        <v>1648</v>
      </c>
      <c r="M149">
        <v>0.87</v>
      </c>
      <c r="N149">
        <v>0.82</v>
      </c>
      <c r="O149">
        <v>0.92</v>
      </c>
      <c r="P149">
        <v>1318</v>
      </c>
      <c r="Q149">
        <v>0.69</v>
      </c>
      <c r="R149">
        <v>0.66</v>
      </c>
      <c r="S149">
        <v>0.73</v>
      </c>
    </row>
    <row r="150" spans="1:19" x14ac:dyDescent="0.35">
      <c r="A150" t="str">
        <f t="shared" si="2"/>
        <v>2018/19NHS TaysideAll35-49</v>
      </c>
      <c r="B150" t="s">
        <v>45</v>
      </c>
      <c r="C150" s="105" t="s">
        <v>48</v>
      </c>
      <c r="D150" s="105" t="s">
        <v>31</v>
      </c>
      <c r="E150" s="105" t="s">
        <v>57</v>
      </c>
      <c r="F150" s="105">
        <v>2000</v>
      </c>
      <c r="G150" s="105">
        <v>1900</v>
      </c>
      <c r="H150" s="105">
        <v>2100</v>
      </c>
      <c r="I150">
        <v>2.6700000000000002E-2</v>
      </c>
      <c r="J150">
        <v>2.53E-2</v>
      </c>
      <c r="K150">
        <v>2.8199999999999999E-2</v>
      </c>
      <c r="L150">
        <v>1665</v>
      </c>
      <c r="M150">
        <v>0.83</v>
      </c>
      <c r="N150">
        <v>0.79</v>
      </c>
      <c r="O150">
        <v>0.88</v>
      </c>
      <c r="P150">
        <v>1327</v>
      </c>
      <c r="Q150">
        <v>0.66</v>
      </c>
      <c r="R150">
        <v>0.63</v>
      </c>
      <c r="S150">
        <v>0.7</v>
      </c>
    </row>
    <row r="151" spans="1:19" x14ac:dyDescent="0.35">
      <c r="A151" t="str">
        <f t="shared" si="2"/>
        <v>2019/20NHS TaysideAll35-49</v>
      </c>
      <c r="B151" t="s">
        <v>45</v>
      </c>
      <c r="C151" s="105" t="s">
        <v>49</v>
      </c>
      <c r="D151" s="105" t="s">
        <v>31</v>
      </c>
      <c r="E151" s="105" t="s">
        <v>57</v>
      </c>
      <c r="F151" s="105">
        <v>2000</v>
      </c>
      <c r="G151" s="105">
        <v>1900</v>
      </c>
      <c r="H151" s="105">
        <v>2200</v>
      </c>
      <c r="I151">
        <v>2.8000000000000001E-2</v>
      </c>
      <c r="J151">
        <v>2.64E-2</v>
      </c>
      <c r="K151">
        <v>2.9700000000000001E-2</v>
      </c>
      <c r="L151">
        <v>1679</v>
      </c>
      <c r="M151">
        <v>0.84</v>
      </c>
      <c r="N151">
        <v>0.76</v>
      </c>
      <c r="O151">
        <v>0.88</v>
      </c>
      <c r="P151">
        <v>1368</v>
      </c>
      <c r="Q151">
        <v>0.68</v>
      </c>
      <c r="R151">
        <v>0.62</v>
      </c>
      <c r="S151">
        <v>0.72</v>
      </c>
    </row>
    <row r="152" spans="1:19" x14ac:dyDescent="0.35">
      <c r="A152" t="str">
        <f t="shared" si="2"/>
        <v>2020/21NHS TaysideAll35-49</v>
      </c>
      <c r="B152" t="s">
        <v>45</v>
      </c>
      <c r="C152" s="105" t="s">
        <v>124</v>
      </c>
      <c r="D152" s="105" t="s">
        <v>31</v>
      </c>
      <c r="E152" s="105" t="s">
        <v>57</v>
      </c>
      <c r="F152" s="105">
        <v>2100</v>
      </c>
      <c r="G152" s="105">
        <v>2000</v>
      </c>
      <c r="H152" s="105">
        <v>2200</v>
      </c>
      <c r="I152">
        <v>2.92E-2</v>
      </c>
      <c r="J152">
        <v>2.76E-2</v>
      </c>
      <c r="K152">
        <v>3.09E-2</v>
      </c>
      <c r="L152">
        <v>1754</v>
      </c>
      <c r="M152">
        <v>0.84</v>
      </c>
      <c r="N152">
        <v>0.8</v>
      </c>
      <c r="O152">
        <v>0.88</v>
      </c>
      <c r="P152">
        <v>1476</v>
      </c>
      <c r="Q152">
        <v>0.7</v>
      </c>
      <c r="R152">
        <v>0.67</v>
      </c>
      <c r="S152">
        <v>0.74</v>
      </c>
    </row>
    <row r="153" spans="1:19" x14ac:dyDescent="0.35">
      <c r="A153" t="str">
        <f t="shared" si="2"/>
        <v>2021/22NHS TaysideAll35-49</v>
      </c>
      <c r="B153" t="s">
        <v>45</v>
      </c>
      <c r="C153" s="105" t="s">
        <v>125</v>
      </c>
      <c r="D153" s="105" t="s">
        <v>31</v>
      </c>
      <c r="E153" s="105" t="s">
        <v>57</v>
      </c>
      <c r="F153" s="105">
        <v>2000</v>
      </c>
      <c r="G153" s="105">
        <v>1900</v>
      </c>
      <c r="H153" s="105">
        <v>2200</v>
      </c>
      <c r="I153">
        <v>2.8000000000000001E-2</v>
      </c>
      <c r="J153">
        <v>2.64E-2</v>
      </c>
      <c r="K153">
        <v>2.9600000000000001E-2</v>
      </c>
      <c r="L153">
        <v>1717</v>
      </c>
      <c r="M153">
        <v>0.86</v>
      </c>
      <c r="N153">
        <v>0.78</v>
      </c>
      <c r="O153">
        <v>0.9</v>
      </c>
      <c r="P153">
        <v>1461</v>
      </c>
      <c r="Q153">
        <v>0.73</v>
      </c>
      <c r="R153">
        <v>0.66</v>
      </c>
      <c r="S153">
        <v>0.77</v>
      </c>
    </row>
    <row r="154" spans="1:19" x14ac:dyDescent="0.35">
      <c r="A154" t="str">
        <f t="shared" si="2"/>
        <v>2022/23NHS TaysideAll35-49</v>
      </c>
      <c r="B154" t="s">
        <v>45</v>
      </c>
      <c r="C154" s="105" t="s">
        <v>126</v>
      </c>
      <c r="D154" s="105" t="s">
        <v>31</v>
      </c>
      <c r="E154" s="105" t="s">
        <v>57</v>
      </c>
      <c r="F154" s="105">
        <v>2000</v>
      </c>
      <c r="G154" s="105">
        <v>1900</v>
      </c>
      <c r="H154" s="105">
        <v>2100</v>
      </c>
      <c r="I154">
        <v>2.7E-2</v>
      </c>
      <c r="J154">
        <v>2.5600000000000001E-2</v>
      </c>
      <c r="K154">
        <v>2.8500000000000001E-2</v>
      </c>
      <c r="L154">
        <v>1704</v>
      </c>
      <c r="M154">
        <v>0.85</v>
      </c>
      <c r="N154">
        <v>0.81</v>
      </c>
      <c r="O154">
        <v>0.9</v>
      </c>
      <c r="P154">
        <v>1367</v>
      </c>
      <c r="Q154">
        <v>0.68</v>
      </c>
      <c r="R154">
        <v>0.65</v>
      </c>
      <c r="S154">
        <v>0.72</v>
      </c>
    </row>
    <row r="155" spans="1:19" x14ac:dyDescent="0.35">
      <c r="A155" t="str">
        <f t="shared" si="2"/>
        <v>2014/15NHS TaysideAll50-64</v>
      </c>
      <c r="B155" t="s">
        <v>45</v>
      </c>
      <c r="C155" s="105" t="s">
        <v>39</v>
      </c>
      <c r="D155" s="105" t="s">
        <v>31</v>
      </c>
      <c r="E155" s="105" t="s">
        <v>58</v>
      </c>
      <c r="F155" s="105">
        <v>350</v>
      </c>
      <c r="G155" s="105">
        <v>280</v>
      </c>
      <c r="H155" s="105">
        <v>430</v>
      </c>
      <c r="I155">
        <v>4.1999999999999997E-3</v>
      </c>
      <c r="J155">
        <v>3.3999999999999998E-3</v>
      </c>
      <c r="K155">
        <v>5.1000000000000004E-3</v>
      </c>
      <c r="L155">
        <v>185</v>
      </c>
      <c r="M155">
        <v>0.53</v>
      </c>
      <c r="N155">
        <v>0.43</v>
      </c>
      <c r="O155">
        <v>0.66</v>
      </c>
      <c r="P155">
        <v>138</v>
      </c>
      <c r="Q155">
        <v>0.39</v>
      </c>
      <c r="R155">
        <v>0.32</v>
      </c>
      <c r="S155">
        <v>0.49</v>
      </c>
    </row>
    <row r="156" spans="1:19" x14ac:dyDescent="0.35">
      <c r="A156" t="str">
        <f t="shared" si="2"/>
        <v>2015/16NHS TaysideAll50-64</v>
      </c>
      <c r="B156" t="s">
        <v>45</v>
      </c>
      <c r="C156" s="105" t="s">
        <v>44</v>
      </c>
      <c r="D156" s="105" t="s">
        <v>31</v>
      </c>
      <c r="E156" s="105" t="s">
        <v>58</v>
      </c>
      <c r="F156" s="105">
        <v>360</v>
      </c>
      <c r="G156" s="105">
        <v>300</v>
      </c>
      <c r="H156" s="105">
        <v>430</v>
      </c>
      <c r="I156">
        <v>4.3E-3</v>
      </c>
      <c r="J156">
        <v>3.5000000000000001E-3</v>
      </c>
      <c r="K156">
        <v>5.1000000000000004E-3</v>
      </c>
      <c r="L156">
        <v>208</v>
      </c>
      <c r="M156">
        <v>0.57999999999999996</v>
      </c>
      <c r="N156">
        <v>0.48</v>
      </c>
      <c r="O156">
        <v>0.69</v>
      </c>
      <c r="P156">
        <v>152</v>
      </c>
      <c r="Q156">
        <v>0.42</v>
      </c>
      <c r="R156">
        <v>0.35</v>
      </c>
      <c r="S156">
        <v>0.51</v>
      </c>
    </row>
    <row r="157" spans="1:19" x14ac:dyDescent="0.35">
      <c r="A157" t="str">
        <f t="shared" si="2"/>
        <v>2016/17NHS TaysideAll50-64</v>
      </c>
      <c r="B157" t="s">
        <v>45</v>
      </c>
      <c r="C157" s="105" t="s">
        <v>46</v>
      </c>
      <c r="D157" s="105" t="s">
        <v>31</v>
      </c>
      <c r="E157" s="105" t="s">
        <v>58</v>
      </c>
      <c r="F157" s="105">
        <v>410</v>
      </c>
      <c r="G157" s="105">
        <v>350</v>
      </c>
      <c r="H157" s="105">
        <v>490</v>
      </c>
      <c r="I157">
        <v>4.7999999999999996E-3</v>
      </c>
      <c r="J157">
        <v>4.1000000000000003E-3</v>
      </c>
      <c r="K157">
        <v>5.7000000000000002E-3</v>
      </c>
      <c r="L157">
        <v>248</v>
      </c>
      <c r="M157">
        <v>0.6</v>
      </c>
      <c r="N157">
        <v>0.51</v>
      </c>
      <c r="O157">
        <v>0.71</v>
      </c>
      <c r="P157">
        <v>180</v>
      </c>
      <c r="Q157">
        <v>0.44</v>
      </c>
      <c r="R157">
        <v>0.37</v>
      </c>
      <c r="S157">
        <v>0.51</v>
      </c>
    </row>
    <row r="158" spans="1:19" x14ac:dyDescent="0.35">
      <c r="A158" t="str">
        <f t="shared" si="2"/>
        <v>2017/18NHS TaysideAll50-64</v>
      </c>
      <c r="B158" t="s">
        <v>45</v>
      </c>
      <c r="C158" s="105" t="s">
        <v>47</v>
      </c>
      <c r="D158" s="105" t="s">
        <v>31</v>
      </c>
      <c r="E158" s="105" t="s">
        <v>58</v>
      </c>
      <c r="F158" s="105">
        <v>380</v>
      </c>
      <c r="G158" s="105">
        <v>330</v>
      </c>
      <c r="H158" s="105">
        <v>430</v>
      </c>
      <c r="I158">
        <v>4.4000000000000003E-3</v>
      </c>
      <c r="J158">
        <v>3.8E-3</v>
      </c>
      <c r="K158">
        <v>5.1000000000000004E-3</v>
      </c>
      <c r="L158">
        <v>272</v>
      </c>
      <c r="M158">
        <v>0.72</v>
      </c>
      <c r="N158">
        <v>0.63</v>
      </c>
      <c r="O158">
        <v>0.82</v>
      </c>
      <c r="P158">
        <v>206</v>
      </c>
      <c r="Q158">
        <v>0.54</v>
      </c>
      <c r="R158">
        <v>0.48</v>
      </c>
      <c r="S158">
        <v>0.62</v>
      </c>
    </row>
    <row r="159" spans="1:19" x14ac:dyDescent="0.35">
      <c r="A159" t="str">
        <f t="shared" si="2"/>
        <v>2018/19NHS TaysideAll50-64</v>
      </c>
      <c r="B159" t="s">
        <v>45</v>
      </c>
      <c r="C159" s="105" t="s">
        <v>48</v>
      </c>
      <c r="D159" s="105" t="s">
        <v>31</v>
      </c>
      <c r="E159" s="105" t="s">
        <v>58</v>
      </c>
      <c r="F159" s="105">
        <v>460</v>
      </c>
      <c r="G159" s="105">
        <v>410</v>
      </c>
      <c r="H159" s="105">
        <v>530</v>
      </c>
      <c r="I159">
        <v>5.4000000000000003E-3</v>
      </c>
      <c r="J159">
        <v>4.7000000000000002E-3</v>
      </c>
      <c r="K159">
        <v>6.1000000000000004E-3</v>
      </c>
      <c r="L159">
        <v>326</v>
      </c>
      <c r="M159">
        <v>0.71</v>
      </c>
      <c r="N159">
        <v>0.62</v>
      </c>
      <c r="O159">
        <v>0.8</v>
      </c>
      <c r="P159">
        <v>250</v>
      </c>
      <c r="Q159">
        <v>0.54</v>
      </c>
      <c r="R159">
        <v>0.47</v>
      </c>
      <c r="S159">
        <v>0.61</v>
      </c>
    </row>
    <row r="160" spans="1:19" x14ac:dyDescent="0.35">
      <c r="A160" t="str">
        <f t="shared" si="2"/>
        <v>2019/20NHS TaysideAll50-64</v>
      </c>
      <c r="B160" t="s">
        <v>45</v>
      </c>
      <c r="C160" s="105" t="s">
        <v>49</v>
      </c>
      <c r="D160" s="105" t="s">
        <v>31</v>
      </c>
      <c r="E160" s="105" t="s">
        <v>58</v>
      </c>
      <c r="F160" s="105">
        <v>530</v>
      </c>
      <c r="G160" s="105">
        <v>470</v>
      </c>
      <c r="H160" s="105">
        <v>600</v>
      </c>
      <c r="I160">
        <v>6.0000000000000001E-3</v>
      </c>
      <c r="J160">
        <v>5.3E-3</v>
      </c>
      <c r="K160">
        <v>6.8999999999999999E-3</v>
      </c>
      <c r="L160">
        <v>389</v>
      </c>
      <c r="M160">
        <v>0.73</v>
      </c>
      <c r="N160">
        <v>0.65</v>
      </c>
      <c r="O160">
        <v>0.83</v>
      </c>
      <c r="P160">
        <v>310</v>
      </c>
      <c r="Q160">
        <v>0.57999999999999996</v>
      </c>
      <c r="R160">
        <v>0.52</v>
      </c>
      <c r="S160">
        <v>0.66</v>
      </c>
    </row>
    <row r="161" spans="1:19" x14ac:dyDescent="0.35">
      <c r="A161" t="str">
        <f t="shared" si="2"/>
        <v>2020/21NHS TaysideAll50-64</v>
      </c>
      <c r="B161" t="s">
        <v>45</v>
      </c>
      <c r="C161" s="105" t="s">
        <v>124</v>
      </c>
      <c r="D161" s="105" t="s">
        <v>31</v>
      </c>
      <c r="E161" s="105" t="s">
        <v>58</v>
      </c>
      <c r="F161" s="105">
        <v>620</v>
      </c>
      <c r="G161" s="105">
        <v>550</v>
      </c>
      <c r="H161" s="105">
        <v>700</v>
      </c>
      <c r="I161">
        <v>7.1000000000000004E-3</v>
      </c>
      <c r="J161">
        <v>6.3E-3</v>
      </c>
      <c r="K161">
        <v>8.0999999999999996E-3</v>
      </c>
      <c r="L161">
        <v>426</v>
      </c>
      <c r="M161">
        <v>0.69</v>
      </c>
      <c r="N161">
        <v>0.61</v>
      </c>
      <c r="O161">
        <v>0.77</v>
      </c>
      <c r="P161">
        <v>358</v>
      </c>
      <c r="Q161">
        <v>0.57999999999999996</v>
      </c>
      <c r="R161">
        <v>0.51</v>
      </c>
      <c r="S161">
        <v>0.65</v>
      </c>
    </row>
    <row r="162" spans="1:19" x14ac:dyDescent="0.35">
      <c r="A162" t="str">
        <f t="shared" si="2"/>
        <v>2021/22NHS TaysideAll50-64</v>
      </c>
      <c r="B162" t="s">
        <v>45</v>
      </c>
      <c r="C162" s="105" t="s">
        <v>125</v>
      </c>
      <c r="D162" s="105" t="s">
        <v>31</v>
      </c>
      <c r="E162" s="105" t="s">
        <v>58</v>
      </c>
      <c r="F162" s="105">
        <v>680</v>
      </c>
      <c r="G162" s="105">
        <v>600</v>
      </c>
      <c r="H162" s="105">
        <v>770</v>
      </c>
      <c r="I162">
        <v>7.7000000000000002E-3</v>
      </c>
      <c r="J162">
        <v>6.7999999999999996E-3</v>
      </c>
      <c r="K162">
        <v>8.6999999999999994E-3</v>
      </c>
      <c r="L162">
        <v>490</v>
      </c>
      <c r="M162">
        <v>0.72</v>
      </c>
      <c r="N162">
        <v>0.64</v>
      </c>
      <c r="O162">
        <v>0.82</v>
      </c>
      <c r="P162">
        <v>415</v>
      </c>
      <c r="Q162">
        <v>0.61</v>
      </c>
      <c r="R162">
        <v>0.54</v>
      </c>
      <c r="S162">
        <v>0.69</v>
      </c>
    </row>
    <row r="163" spans="1:19" x14ac:dyDescent="0.35">
      <c r="A163" t="str">
        <f t="shared" si="2"/>
        <v>2022/23NHS TaysideAll50-64</v>
      </c>
      <c r="B163" t="s">
        <v>45</v>
      </c>
      <c r="C163" s="105" t="s">
        <v>126</v>
      </c>
      <c r="D163" s="105" t="s">
        <v>31</v>
      </c>
      <c r="E163" s="105" t="s">
        <v>58</v>
      </c>
      <c r="F163" s="105">
        <v>720</v>
      </c>
      <c r="G163" s="105">
        <v>640</v>
      </c>
      <c r="H163" s="105">
        <v>820</v>
      </c>
      <c r="I163">
        <v>8.0999999999999996E-3</v>
      </c>
      <c r="J163">
        <v>7.1999999999999998E-3</v>
      </c>
      <c r="K163">
        <v>9.1999999999999998E-3</v>
      </c>
      <c r="L163">
        <v>534</v>
      </c>
      <c r="M163">
        <v>0.74</v>
      </c>
      <c r="N163">
        <v>0.65</v>
      </c>
      <c r="O163">
        <v>0.83</v>
      </c>
      <c r="P163">
        <v>441</v>
      </c>
      <c r="Q163">
        <v>0.61</v>
      </c>
      <c r="R163">
        <v>0.54</v>
      </c>
      <c r="S163">
        <v>0.69</v>
      </c>
    </row>
    <row r="164" spans="1:19" x14ac:dyDescent="0.35">
      <c r="A164" t="str">
        <f t="shared" si="2"/>
        <v>2014/15NHS FifeAll15-34</v>
      </c>
      <c r="B164" t="s">
        <v>129</v>
      </c>
      <c r="C164" s="105" t="s">
        <v>39</v>
      </c>
      <c r="D164" s="105" t="s">
        <v>31</v>
      </c>
      <c r="E164" s="105" t="s">
        <v>56</v>
      </c>
      <c r="F164" s="105">
        <v>1200</v>
      </c>
      <c r="G164" s="105">
        <v>1100</v>
      </c>
      <c r="H164" s="105">
        <v>1300</v>
      </c>
      <c r="I164">
        <v>1.37E-2</v>
      </c>
      <c r="J164">
        <v>1.26E-2</v>
      </c>
      <c r="K164">
        <v>1.4999999999999999E-2</v>
      </c>
      <c r="L164">
        <v>869</v>
      </c>
      <c r="M164">
        <v>0.72</v>
      </c>
      <c r="N164">
        <v>0.67</v>
      </c>
      <c r="O164">
        <v>0.79</v>
      </c>
      <c r="P164">
        <v>639</v>
      </c>
      <c r="Q164">
        <v>0.53</v>
      </c>
      <c r="R164">
        <v>0.49</v>
      </c>
      <c r="S164">
        <v>0.57999999999999996</v>
      </c>
    </row>
    <row r="165" spans="1:19" x14ac:dyDescent="0.35">
      <c r="A165" t="str">
        <f t="shared" si="2"/>
        <v>2015/16NHS FifeAll15-34</v>
      </c>
      <c r="B165" t="s">
        <v>129</v>
      </c>
      <c r="C165" s="105" t="s">
        <v>44</v>
      </c>
      <c r="D165" s="105" t="s">
        <v>31</v>
      </c>
      <c r="E165" s="105" t="s">
        <v>56</v>
      </c>
      <c r="F165" s="105">
        <v>1100</v>
      </c>
      <c r="G165" s="105">
        <v>1000</v>
      </c>
      <c r="H165" s="105">
        <v>1200</v>
      </c>
      <c r="I165">
        <v>1.24E-2</v>
      </c>
      <c r="J165">
        <v>1.14E-2</v>
      </c>
      <c r="K165">
        <v>1.37E-2</v>
      </c>
      <c r="L165">
        <v>783</v>
      </c>
      <c r="M165">
        <v>0.71</v>
      </c>
      <c r="N165">
        <v>0.65</v>
      </c>
      <c r="O165">
        <v>0.78</v>
      </c>
      <c r="P165">
        <v>636</v>
      </c>
      <c r="Q165">
        <v>0.57999999999999996</v>
      </c>
      <c r="R165">
        <v>0.53</v>
      </c>
      <c r="S165">
        <v>0.64</v>
      </c>
    </row>
    <row r="166" spans="1:19" x14ac:dyDescent="0.35">
      <c r="A166" t="str">
        <f t="shared" si="2"/>
        <v>2016/17NHS FifeAll15-34</v>
      </c>
      <c r="B166" t="s">
        <v>129</v>
      </c>
      <c r="C166" s="105" t="s">
        <v>46</v>
      </c>
      <c r="D166" s="105" t="s">
        <v>31</v>
      </c>
      <c r="E166" s="105" t="s">
        <v>56</v>
      </c>
      <c r="F166" s="105">
        <v>950</v>
      </c>
      <c r="G166" s="105">
        <v>870</v>
      </c>
      <c r="H166" s="105">
        <v>1000</v>
      </c>
      <c r="I166">
        <v>1.0699999999999999E-2</v>
      </c>
      <c r="J166">
        <v>9.7999999999999997E-3</v>
      </c>
      <c r="K166">
        <v>1.18E-2</v>
      </c>
      <c r="L166">
        <v>678</v>
      </c>
      <c r="M166">
        <v>0.71</v>
      </c>
      <c r="N166">
        <v>0.68</v>
      </c>
      <c r="O166">
        <v>0.78</v>
      </c>
      <c r="P166">
        <v>548</v>
      </c>
      <c r="Q166">
        <v>0.57999999999999996</v>
      </c>
      <c r="R166">
        <v>0.55000000000000004</v>
      </c>
      <c r="S166">
        <v>0.63</v>
      </c>
    </row>
    <row r="167" spans="1:19" x14ac:dyDescent="0.35">
      <c r="A167" t="str">
        <f t="shared" si="2"/>
        <v>2017/18NHS FifeAll15-34</v>
      </c>
      <c r="B167" t="s">
        <v>129</v>
      </c>
      <c r="C167" s="105" t="s">
        <v>47</v>
      </c>
      <c r="D167" s="105" t="s">
        <v>31</v>
      </c>
      <c r="E167" s="105" t="s">
        <v>56</v>
      </c>
      <c r="F167" s="105">
        <v>830</v>
      </c>
      <c r="G167" s="105">
        <v>760</v>
      </c>
      <c r="H167" s="105">
        <v>910</v>
      </c>
      <c r="I167">
        <v>9.4999999999999998E-3</v>
      </c>
      <c r="J167">
        <v>8.6E-3</v>
      </c>
      <c r="K167">
        <v>1.04E-2</v>
      </c>
      <c r="L167">
        <v>591</v>
      </c>
      <c r="M167">
        <v>0.71</v>
      </c>
      <c r="N167">
        <v>0.65</v>
      </c>
      <c r="O167">
        <v>0.78</v>
      </c>
      <c r="P167">
        <v>488</v>
      </c>
      <c r="Q167">
        <v>0.59</v>
      </c>
      <c r="R167">
        <v>0.54</v>
      </c>
      <c r="S167">
        <v>0.64</v>
      </c>
    </row>
    <row r="168" spans="1:19" x14ac:dyDescent="0.35">
      <c r="A168" t="str">
        <f t="shared" si="2"/>
        <v>2018/19NHS FifeAll15-34</v>
      </c>
      <c r="B168" t="s">
        <v>129</v>
      </c>
      <c r="C168" s="105" t="s">
        <v>48</v>
      </c>
      <c r="D168" s="105" t="s">
        <v>31</v>
      </c>
      <c r="E168" s="105" t="s">
        <v>56</v>
      </c>
      <c r="F168" s="105">
        <v>790</v>
      </c>
      <c r="G168" s="105">
        <v>720</v>
      </c>
      <c r="H168" s="105">
        <v>870</v>
      </c>
      <c r="I168">
        <v>8.9999999999999993E-3</v>
      </c>
      <c r="J168">
        <v>8.2000000000000007E-3</v>
      </c>
      <c r="K168">
        <v>0.01</v>
      </c>
      <c r="L168">
        <v>533</v>
      </c>
      <c r="M168">
        <v>0.67</v>
      </c>
      <c r="N168">
        <v>0.61</v>
      </c>
      <c r="O168">
        <v>0.74</v>
      </c>
      <c r="P168">
        <v>440</v>
      </c>
      <c r="Q168">
        <v>0.56000000000000005</v>
      </c>
      <c r="R168">
        <v>0.51</v>
      </c>
      <c r="S168">
        <v>0.61</v>
      </c>
    </row>
    <row r="169" spans="1:19" x14ac:dyDescent="0.35">
      <c r="A169" t="str">
        <f t="shared" si="2"/>
        <v>2019/20NHS FifeAll15-34</v>
      </c>
      <c r="B169" t="s">
        <v>129</v>
      </c>
      <c r="C169" s="105" t="s">
        <v>49</v>
      </c>
      <c r="D169" s="105" t="s">
        <v>31</v>
      </c>
      <c r="E169" s="105" t="s">
        <v>56</v>
      </c>
      <c r="F169" s="105">
        <v>820</v>
      </c>
      <c r="G169" s="105">
        <v>740</v>
      </c>
      <c r="H169" s="105">
        <v>920</v>
      </c>
      <c r="I169">
        <v>9.2999999999999992E-3</v>
      </c>
      <c r="J169">
        <v>8.3999999999999995E-3</v>
      </c>
      <c r="K169">
        <v>1.04E-2</v>
      </c>
      <c r="L169">
        <v>503</v>
      </c>
      <c r="M169">
        <v>0.61</v>
      </c>
      <c r="N169">
        <v>0.55000000000000004</v>
      </c>
      <c r="O169">
        <v>0.68</v>
      </c>
      <c r="P169">
        <v>425</v>
      </c>
      <c r="Q169">
        <v>0.52</v>
      </c>
      <c r="R169">
        <v>0.46</v>
      </c>
      <c r="S169">
        <v>0.56999999999999995</v>
      </c>
    </row>
    <row r="170" spans="1:19" x14ac:dyDescent="0.35">
      <c r="A170" t="str">
        <f t="shared" si="2"/>
        <v>2020/21NHS FifeAll15-34</v>
      </c>
      <c r="B170" t="s">
        <v>129</v>
      </c>
      <c r="C170" s="105" t="s">
        <v>124</v>
      </c>
      <c r="D170" s="105" t="s">
        <v>31</v>
      </c>
      <c r="E170" s="105" t="s">
        <v>56</v>
      </c>
      <c r="F170" s="105">
        <v>790</v>
      </c>
      <c r="G170" s="105">
        <v>700</v>
      </c>
      <c r="H170" s="105">
        <v>890</v>
      </c>
      <c r="I170">
        <v>8.9999999999999993E-3</v>
      </c>
      <c r="J170">
        <v>8.0000000000000002E-3</v>
      </c>
      <c r="K170">
        <v>1.01E-2</v>
      </c>
      <c r="L170">
        <v>460</v>
      </c>
      <c r="M170">
        <v>0.57999999999999996</v>
      </c>
      <c r="N170">
        <v>0.52</v>
      </c>
      <c r="O170">
        <v>0.66</v>
      </c>
      <c r="P170">
        <v>387</v>
      </c>
      <c r="Q170">
        <v>0.49</v>
      </c>
      <c r="R170">
        <v>0.43</v>
      </c>
      <c r="S170">
        <v>0.55000000000000004</v>
      </c>
    </row>
    <row r="171" spans="1:19" x14ac:dyDescent="0.35">
      <c r="A171" t="str">
        <f t="shared" si="2"/>
        <v>2021/22NHS FifeAll15-34</v>
      </c>
      <c r="B171" t="s">
        <v>129</v>
      </c>
      <c r="C171" s="105" t="s">
        <v>125</v>
      </c>
      <c r="D171" s="105" t="s">
        <v>31</v>
      </c>
      <c r="E171" s="105" t="s">
        <v>56</v>
      </c>
      <c r="F171" s="105">
        <v>700</v>
      </c>
      <c r="G171" s="105">
        <v>630</v>
      </c>
      <c r="H171" s="105">
        <v>790</v>
      </c>
      <c r="I171">
        <v>8.0000000000000002E-3</v>
      </c>
      <c r="J171">
        <v>7.1000000000000004E-3</v>
      </c>
      <c r="K171">
        <v>8.9999999999999993E-3</v>
      </c>
      <c r="L171">
        <v>425</v>
      </c>
      <c r="M171">
        <v>0.61</v>
      </c>
      <c r="N171">
        <v>0.54</v>
      </c>
      <c r="O171">
        <v>0.67</v>
      </c>
      <c r="P171">
        <v>355</v>
      </c>
      <c r="Q171">
        <v>0.51</v>
      </c>
      <c r="R171">
        <v>0.45</v>
      </c>
      <c r="S171">
        <v>0.56000000000000005</v>
      </c>
    </row>
    <row r="172" spans="1:19" x14ac:dyDescent="0.35">
      <c r="A172" t="str">
        <f t="shared" si="2"/>
        <v>2022/23NHS FifeAll15-34</v>
      </c>
      <c r="B172" t="s">
        <v>129</v>
      </c>
      <c r="C172" s="105" t="s">
        <v>126</v>
      </c>
      <c r="D172" s="105" t="s">
        <v>31</v>
      </c>
      <c r="E172" s="105" t="s">
        <v>56</v>
      </c>
      <c r="F172" s="105">
        <v>610</v>
      </c>
      <c r="G172" s="105">
        <v>540</v>
      </c>
      <c r="H172" s="105">
        <v>680</v>
      </c>
      <c r="I172">
        <v>7.1000000000000004E-3</v>
      </c>
      <c r="J172">
        <v>6.3E-3</v>
      </c>
      <c r="K172">
        <v>8.0000000000000002E-3</v>
      </c>
      <c r="L172">
        <v>398</v>
      </c>
      <c r="M172">
        <v>0.65</v>
      </c>
      <c r="N172">
        <v>0.59</v>
      </c>
      <c r="O172">
        <v>0.74</v>
      </c>
      <c r="P172">
        <v>335</v>
      </c>
      <c r="Q172">
        <v>0.55000000000000004</v>
      </c>
      <c r="R172">
        <v>0.49</v>
      </c>
      <c r="S172">
        <v>0.62</v>
      </c>
    </row>
    <row r="173" spans="1:19" x14ac:dyDescent="0.35">
      <c r="A173" t="str">
        <f t="shared" si="2"/>
        <v>2014/15NHS FifeAll35-49</v>
      </c>
      <c r="B173" t="s">
        <v>129</v>
      </c>
      <c r="C173" s="105" t="s">
        <v>39</v>
      </c>
      <c r="D173" s="105" t="s">
        <v>31</v>
      </c>
      <c r="E173" s="105" t="s">
        <v>57</v>
      </c>
      <c r="F173" s="105">
        <v>1500</v>
      </c>
      <c r="G173" s="105">
        <v>1400</v>
      </c>
      <c r="H173" s="105">
        <v>1600</v>
      </c>
      <c r="I173">
        <v>2.0199999999999999E-2</v>
      </c>
      <c r="J173">
        <v>1.8599999999999998E-2</v>
      </c>
      <c r="K173">
        <v>2.1999999999999999E-2</v>
      </c>
      <c r="L173">
        <v>1079</v>
      </c>
      <c r="M173">
        <v>0.72</v>
      </c>
      <c r="N173">
        <v>0.67</v>
      </c>
      <c r="O173">
        <v>0.77</v>
      </c>
      <c r="P173">
        <v>807</v>
      </c>
      <c r="Q173">
        <v>0.54</v>
      </c>
      <c r="R173">
        <v>0.5</v>
      </c>
      <c r="S173">
        <v>0.57999999999999996</v>
      </c>
    </row>
    <row r="174" spans="1:19" x14ac:dyDescent="0.35">
      <c r="A174" t="str">
        <f t="shared" si="2"/>
        <v>2015/16NHS FifeAll35-49</v>
      </c>
      <c r="B174" t="s">
        <v>129</v>
      </c>
      <c r="C174" s="105" t="s">
        <v>44</v>
      </c>
      <c r="D174" s="105" t="s">
        <v>31</v>
      </c>
      <c r="E174" s="105" t="s">
        <v>57</v>
      </c>
      <c r="F174" s="105">
        <v>1500</v>
      </c>
      <c r="G174" s="105">
        <v>1400</v>
      </c>
      <c r="H174" s="105">
        <v>1600</v>
      </c>
      <c r="I174">
        <v>2.0899999999999998E-2</v>
      </c>
      <c r="J174">
        <v>1.9300000000000001E-2</v>
      </c>
      <c r="K174">
        <v>2.2599999999999999E-2</v>
      </c>
      <c r="L174">
        <v>1156</v>
      </c>
      <c r="M174">
        <v>0.77</v>
      </c>
      <c r="N174">
        <v>0.72</v>
      </c>
      <c r="O174">
        <v>0.83</v>
      </c>
      <c r="P174">
        <v>942</v>
      </c>
      <c r="Q174">
        <v>0.63</v>
      </c>
      <c r="R174">
        <v>0.59</v>
      </c>
      <c r="S174">
        <v>0.67</v>
      </c>
    </row>
    <row r="175" spans="1:19" x14ac:dyDescent="0.35">
      <c r="A175" t="str">
        <f t="shared" si="2"/>
        <v>2016/17NHS FifeAll35-49</v>
      </c>
      <c r="B175" t="s">
        <v>129</v>
      </c>
      <c r="C175" s="105" t="s">
        <v>46</v>
      </c>
      <c r="D175" s="105" t="s">
        <v>31</v>
      </c>
      <c r="E175" s="105" t="s">
        <v>57</v>
      </c>
      <c r="F175" s="105">
        <v>1600</v>
      </c>
      <c r="G175" s="105">
        <v>1500</v>
      </c>
      <c r="H175" s="105">
        <v>1700</v>
      </c>
      <c r="I175">
        <v>2.18E-2</v>
      </c>
      <c r="J175">
        <v>2.0400000000000001E-2</v>
      </c>
      <c r="K175">
        <v>2.3400000000000001E-2</v>
      </c>
      <c r="L175">
        <v>1240</v>
      </c>
      <c r="M175">
        <v>0.78</v>
      </c>
      <c r="N175">
        <v>0.73</v>
      </c>
      <c r="O175">
        <v>0.83</v>
      </c>
      <c r="P175">
        <v>1024</v>
      </c>
      <c r="Q175">
        <v>0.64</v>
      </c>
      <c r="R175">
        <v>0.6</v>
      </c>
      <c r="S175">
        <v>0.68</v>
      </c>
    </row>
    <row r="176" spans="1:19" x14ac:dyDescent="0.35">
      <c r="A176" t="str">
        <f t="shared" si="2"/>
        <v>2017/18NHS FifeAll35-49</v>
      </c>
      <c r="B176" t="s">
        <v>129</v>
      </c>
      <c r="C176" s="105" t="s">
        <v>47</v>
      </c>
      <c r="D176" s="105" t="s">
        <v>31</v>
      </c>
      <c r="E176" s="105" t="s">
        <v>57</v>
      </c>
      <c r="F176" s="105">
        <v>1600</v>
      </c>
      <c r="G176" s="105">
        <v>1500</v>
      </c>
      <c r="H176" s="105">
        <v>1700</v>
      </c>
      <c r="I176">
        <v>2.2499999999999999E-2</v>
      </c>
      <c r="J176">
        <v>2.1100000000000001E-2</v>
      </c>
      <c r="K176">
        <v>2.4E-2</v>
      </c>
      <c r="L176">
        <v>1305</v>
      </c>
      <c r="M176">
        <v>0.82</v>
      </c>
      <c r="N176">
        <v>0.77</v>
      </c>
      <c r="O176">
        <v>0.87</v>
      </c>
      <c r="P176">
        <v>1096</v>
      </c>
      <c r="Q176">
        <v>0.69</v>
      </c>
      <c r="R176">
        <v>0.64</v>
      </c>
      <c r="S176">
        <v>0.73</v>
      </c>
    </row>
    <row r="177" spans="1:19" x14ac:dyDescent="0.35">
      <c r="A177" t="str">
        <f t="shared" si="2"/>
        <v>2018/19NHS FifeAll35-49</v>
      </c>
      <c r="B177" t="s">
        <v>129</v>
      </c>
      <c r="C177" s="105" t="s">
        <v>48</v>
      </c>
      <c r="D177" s="105" t="s">
        <v>31</v>
      </c>
      <c r="E177" s="105" t="s">
        <v>57</v>
      </c>
      <c r="F177" s="105">
        <v>1600</v>
      </c>
      <c r="G177" s="105">
        <v>1500</v>
      </c>
      <c r="H177" s="105">
        <v>1700</v>
      </c>
      <c r="I177">
        <v>2.3400000000000001E-2</v>
      </c>
      <c r="J177">
        <v>2.1999999999999999E-2</v>
      </c>
      <c r="K177">
        <v>2.5000000000000001E-2</v>
      </c>
      <c r="L177">
        <v>1340</v>
      </c>
      <c r="M177">
        <v>0.84</v>
      </c>
      <c r="N177">
        <v>0.79</v>
      </c>
      <c r="O177">
        <v>0.89</v>
      </c>
      <c r="P177">
        <v>1114</v>
      </c>
      <c r="Q177">
        <v>0.7</v>
      </c>
      <c r="R177">
        <v>0.66</v>
      </c>
      <c r="S177">
        <v>0.74</v>
      </c>
    </row>
    <row r="178" spans="1:19" x14ac:dyDescent="0.35">
      <c r="A178" t="str">
        <f t="shared" si="2"/>
        <v>2019/20NHS FifeAll35-49</v>
      </c>
      <c r="B178" t="s">
        <v>129</v>
      </c>
      <c r="C178" s="105" t="s">
        <v>49</v>
      </c>
      <c r="D178" s="105" t="s">
        <v>31</v>
      </c>
      <c r="E178" s="105" t="s">
        <v>57</v>
      </c>
      <c r="F178" s="105">
        <v>1700</v>
      </c>
      <c r="G178" s="105">
        <v>1600</v>
      </c>
      <c r="H178" s="105">
        <v>1800</v>
      </c>
      <c r="I178">
        <v>2.5000000000000001E-2</v>
      </c>
      <c r="J178">
        <v>2.3400000000000001E-2</v>
      </c>
      <c r="K178">
        <v>2.6700000000000002E-2</v>
      </c>
      <c r="L178">
        <v>1357</v>
      </c>
      <c r="M178">
        <v>0.8</v>
      </c>
      <c r="N178">
        <v>0.75</v>
      </c>
      <c r="O178">
        <v>0.85</v>
      </c>
      <c r="P178">
        <v>1136</v>
      </c>
      <c r="Q178">
        <v>0.67</v>
      </c>
      <c r="R178">
        <v>0.63</v>
      </c>
      <c r="S178">
        <v>0.71</v>
      </c>
    </row>
    <row r="179" spans="1:19" x14ac:dyDescent="0.35">
      <c r="A179" t="str">
        <f t="shared" si="2"/>
        <v>2020/21NHS FifeAll35-49</v>
      </c>
      <c r="B179" t="s">
        <v>129</v>
      </c>
      <c r="C179" s="105" t="s">
        <v>124</v>
      </c>
      <c r="D179" s="105" t="s">
        <v>31</v>
      </c>
      <c r="E179" s="105" t="s">
        <v>57</v>
      </c>
      <c r="F179" s="105">
        <v>1700</v>
      </c>
      <c r="G179" s="105">
        <v>1600</v>
      </c>
      <c r="H179" s="105">
        <v>1800</v>
      </c>
      <c r="I179">
        <v>2.5000000000000001E-2</v>
      </c>
      <c r="J179">
        <v>2.3400000000000001E-2</v>
      </c>
      <c r="K179">
        <v>2.6700000000000002E-2</v>
      </c>
      <c r="L179">
        <v>1336</v>
      </c>
      <c r="M179">
        <v>0.79</v>
      </c>
      <c r="N179">
        <v>0.74</v>
      </c>
      <c r="O179">
        <v>0.84</v>
      </c>
      <c r="P179">
        <v>1149</v>
      </c>
      <c r="Q179">
        <v>0.68</v>
      </c>
      <c r="R179">
        <v>0.64</v>
      </c>
      <c r="S179">
        <v>0.72</v>
      </c>
    </row>
    <row r="180" spans="1:19" x14ac:dyDescent="0.35">
      <c r="A180" t="str">
        <f t="shared" si="2"/>
        <v>2021/22NHS FifeAll35-49</v>
      </c>
      <c r="B180" t="s">
        <v>129</v>
      </c>
      <c r="C180" s="105" t="s">
        <v>125</v>
      </c>
      <c r="D180" s="105" t="s">
        <v>31</v>
      </c>
      <c r="E180" s="105" t="s">
        <v>57</v>
      </c>
      <c r="F180" s="105">
        <v>1600</v>
      </c>
      <c r="G180" s="105">
        <v>1500</v>
      </c>
      <c r="H180" s="105">
        <v>1800</v>
      </c>
      <c r="I180">
        <v>2.4500000000000001E-2</v>
      </c>
      <c r="J180">
        <v>2.29E-2</v>
      </c>
      <c r="K180">
        <v>2.6100000000000002E-2</v>
      </c>
      <c r="L180">
        <v>1339</v>
      </c>
      <c r="M180">
        <v>0.84</v>
      </c>
      <c r="N180">
        <v>0.74</v>
      </c>
      <c r="O180">
        <v>0.89</v>
      </c>
      <c r="P180">
        <v>1171</v>
      </c>
      <c r="Q180">
        <v>0.73</v>
      </c>
      <c r="R180">
        <v>0.65</v>
      </c>
      <c r="S180">
        <v>0.78</v>
      </c>
    </row>
    <row r="181" spans="1:19" x14ac:dyDescent="0.35">
      <c r="A181" t="str">
        <f t="shared" si="2"/>
        <v>2022/23NHS FifeAll35-49</v>
      </c>
      <c r="B181" t="s">
        <v>129</v>
      </c>
      <c r="C181" s="105" t="s">
        <v>126</v>
      </c>
      <c r="D181" s="105" t="s">
        <v>31</v>
      </c>
      <c r="E181" s="105" t="s">
        <v>57</v>
      </c>
      <c r="F181" s="105">
        <v>1500</v>
      </c>
      <c r="G181" s="105">
        <v>1500</v>
      </c>
      <c r="H181" s="105">
        <v>1600</v>
      </c>
      <c r="I181">
        <v>2.3400000000000001E-2</v>
      </c>
      <c r="J181">
        <v>2.1999999999999999E-2</v>
      </c>
      <c r="K181">
        <v>2.4899999999999999E-2</v>
      </c>
      <c r="L181">
        <v>1312</v>
      </c>
      <c r="M181">
        <v>0.87</v>
      </c>
      <c r="N181">
        <v>0.82</v>
      </c>
      <c r="O181">
        <v>0.87</v>
      </c>
      <c r="P181">
        <v>1151</v>
      </c>
      <c r="Q181">
        <v>0.77</v>
      </c>
      <c r="R181">
        <v>0.72</v>
      </c>
      <c r="S181">
        <v>0.77</v>
      </c>
    </row>
    <row r="182" spans="1:19" x14ac:dyDescent="0.35">
      <c r="A182" t="str">
        <f t="shared" si="2"/>
        <v>2014/15NHS FifeAll50-64</v>
      </c>
      <c r="B182" t="s">
        <v>129</v>
      </c>
      <c r="C182" s="105" t="s">
        <v>39</v>
      </c>
      <c r="D182" s="105" t="s">
        <v>31</v>
      </c>
      <c r="E182" s="105" t="s">
        <v>58</v>
      </c>
      <c r="F182" s="105">
        <v>230</v>
      </c>
      <c r="G182" s="105">
        <v>190</v>
      </c>
      <c r="H182" s="105">
        <v>280</v>
      </c>
      <c r="I182">
        <v>3.0999999999999999E-3</v>
      </c>
      <c r="J182">
        <v>2.5000000000000001E-3</v>
      </c>
      <c r="K182">
        <v>3.8E-3</v>
      </c>
      <c r="L182">
        <v>141</v>
      </c>
      <c r="M182">
        <v>0.61</v>
      </c>
      <c r="N182">
        <v>0.5</v>
      </c>
      <c r="O182">
        <v>0.74</v>
      </c>
      <c r="P182">
        <v>96</v>
      </c>
      <c r="Q182">
        <v>0.42</v>
      </c>
      <c r="R182">
        <v>0.34</v>
      </c>
      <c r="S182">
        <v>0.51</v>
      </c>
    </row>
    <row r="183" spans="1:19" x14ac:dyDescent="0.35">
      <c r="A183" t="str">
        <f t="shared" si="2"/>
        <v>2015/16NHS FifeAll50-64</v>
      </c>
      <c r="B183" t="s">
        <v>129</v>
      </c>
      <c r="C183" s="105" t="s">
        <v>44</v>
      </c>
      <c r="D183" s="105" t="s">
        <v>31</v>
      </c>
      <c r="E183" s="105" t="s">
        <v>58</v>
      </c>
      <c r="F183" s="105">
        <v>250</v>
      </c>
      <c r="G183" s="105">
        <v>210</v>
      </c>
      <c r="H183" s="105">
        <v>300</v>
      </c>
      <c r="I183">
        <v>3.3E-3</v>
      </c>
      <c r="J183">
        <v>2.7000000000000001E-3</v>
      </c>
      <c r="K183">
        <v>3.8999999999999998E-3</v>
      </c>
      <c r="L183">
        <v>164</v>
      </c>
      <c r="M183">
        <v>0.66</v>
      </c>
      <c r="N183">
        <v>0.55000000000000004</v>
      </c>
      <c r="O183">
        <v>0.78</v>
      </c>
      <c r="P183">
        <v>127</v>
      </c>
      <c r="Q183">
        <v>0.51</v>
      </c>
      <c r="R183">
        <v>0.42</v>
      </c>
      <c r="S183">
        <v>0.6</v>
      </c>
    </row>
    <row r="184" spans="1:19" x14ac:dyDescent="0.35">
      <c r="A184" t="str">
        <f t="shared" si="2"/>
        <v>2016/17NHS FifeAll50-64</v>
      </c>
      <c r="B184" t="s">
        <v>129</v>
      </c>
      <c r="C184" s="105" t="s">
        <v>46</v>
      </c>
      <c r="D184" s="105" t="s">
        <v>31</v>
      </c>
      <c r="E184" s="105" t="s">
        <v>58</v>
      </c>
      <c r="F184" s="105">
        <v>270</v>
      </c>
      <c r="G184" s="105">
        <v>220</v>
      </c>
      <c r="H184" s="105">
        <v>320</v>
      </c>
      <c r="I184">
        <v>3.5000000000000001E-3</v>
      </c>
      <c r="J184">
        <v>2.8999999999999998E-3</v>
      </c>
      <c r="K184">
        <v>4.1999999999999997E-3</v>
      </c>
      <c r="L184">
        <v>177</v>
      </c>
      <c r="M184">
        <v>0.66</v>
      </c>
      <c r="N184">
        <v>0.55000000000000004</v>
      </c>
      <c r="O184">
        <v>0.8</v>
      </c>
      <c r="P184">
        <v>136</v>
      </c>
      <c r="Q184">
        <v>0.5</v>
      </c>
      <c r="R184">
        <v>0.43</v>
      </c>
      <c r="S184">
        <v>0.62</v>
      </c>
    </row>
    <row r="185" spans="1:19" x14ac:dyDescent="0.35">
      <c r="A185" t="str">
        <f t="shared" si="2"/>
        <v>2017/18NHS FifeAll50-64</v>
      </c>
      <c r="B185" t="s">
        <v>129</v>
      </c>
      <c r="C185" s="105" t="s">
        <v>47</v>
      </c>
      <c r="D185" s="105" t="s">
        <v>31</v>
      </c>
      <c r="E185" s="105" t="s">
        <v>58</v>
      </c>
      <c r="F185" s="105">
        <v>260</v>
      </c>
      <c r="G185" s="105">
        <v>220</v>
      </c>
      <c r="H185" s="105">
        <v>300</v>
      </c>
      <c r="I185">
        <v>3.3E-3</v>
      </c>
      <c r="J185">
        <v>2.8999999999999998E-3</v>
      </c>
      <c r="K185">
        <v>3.8999999999999998E-3</v>
      </c>
      <c r="L185">
        <v>200</v>
      </c>
      <c r="M185">
        <v>0.77</v>
      </c>
      <c r="N185">
        <v>0.67</v>
      </c>
      <c r="O185">
        <v>0.91</v>
      </c>
      <c r="P185">
        <v>159</v>
      </c>
      <c r="Q185">
        <v>0.61</v>
      </c>
      <c r="R185">
        <v>0.53</v>
      </c>
      <c r="S185">
        <v>0.72</v>
      </c>
    </row>
    <row r="186" spans="1:19" x14ac:dyDescent="0.35">
      <c r="A186" t="str">
        <f t="shared" si="2"/>
        <v>2018/19NHS FifeAll50-64</v>
      </c>
      <c r="B186" t="s">
        <v>129</v>
      </c>
      <c r="C186" s="105" t="s">
        <v>48</v>
      </c>
      <c r="D186" s="105" t="s">
        <v>31</v>
      </c>
      <c r="E186" s="105" t="s">
        <v>58</v>
      </c>
      <c r="F186" s="105">
        <v>300</v>
      </c>
      <c r="G186" s="105">
        <v>250</v>
      </c>
      <c r="H186" s="105">
        <v>340</v>
      </c>
      <c r="I186">
        <v>3.8E-3</v>
      </c>
      <c r="J186">
        <v>3.2000000000000002E-3</v>
      </c>
      <c r="K186">
        <v>4.4000000000000003E-3</v>
      </c>
      <c r="L186">
        <v>218</v>
      </c>
      <c r="M186">
        <v>0.73</v>
      </c>
      <c r="N186">
        <v>0.64</v>
      </c>
      <c r="O186">
        <v>0.87</v>
      </c>
      <c r="P186">
        <v>178</v>
      </c>
      <c r="Q186">
        <v>0.59</v>
      </c>
      <c r="R186">
        <v>0.52</v>
      </c>
      <c r="S186">
        <v>0.71</v>
      </c>
    </row>
    <row r="187" spans="1:19" x14ac:dyDescent="0.35">
      <c r="A187" t="str">
        <f t="shared" si="2"/>
        <v>2019/20NHS FifeAll50-64</v>
      </c>
      <c r="B187" t="s">
        <v>129</v>
      </c>
      <c r="C187" s="105" t="s">
        <v>49</v>
      </c>
      <c r="D187" s="105" t="s">
        <v>31</v>
      </c>
      <c r="E187" s="105" t="s">
        <v>58</v>
      </c>
      <c r="F187" s="105">
        <v>340</v>
      </c>
      <c r="G187" s="105">
        <v>300</v>
      </c>
      <c r="H187" s="105">
        <v>390</v>
      </c>
      <c r="I187">
        <v>4.3E-3</v>
      </c>
      <c r="J187">
        <v>3.8E-3</v>
      </c>
      <c r="K187">
        <v>4.8999999999999998E-3</v>
      </c>
      <c r="L187">
        <v>265</v>
      </c>
      <c r="M187">
        <v>0.78</v>
      </c>
      <c r="N187">
        <v>0.68</v>
      </c>
      <c r="O187">
        <v>0.88</v>
      </c>
      <c r="P187">
        <v>222</v>
      </c>
      <c r="Q187">
        <v>0.65</v>
      </c>
      <c r="R187">
        <v>0.56999999999999995</v>
      </c>
      <c r="S187">
        <v>0.74</v>
      </c>
    </row>
    <row r="188" spans="1:19" x14ac:dyDescent="0.35">
      <c r="A188" t="str">
        <f t="shared" si="2"/>
        <v>2020/21NHS FifeAll50-64</v>
      </c>
      <c r="B188" t="s">
        <v>129</v>
      </c>
      <c r="C188" s="105" t="s">
        <v>124</v>
      </c>
      <c r="D188" s="105" t="s">
        <v>31</v>
      </c>
      <c r="E188" s="105" t="s">
        <v>58</v>
      </c>
      <c r="F188" s="105">
        <v>420</v>
      </c>
      <c r="G188" s="105">
        <v>360</v>
      </c>
      <c r="H188" s="105">
        <v>480</v>
      </c>
      <c r="I188">
        <v>5.1999999999999998E-3</v>
      </c>
      <c r="J188">
        <v>4.4999999999999997E-3</v>
      </c>
      <c r="K188">
        <v>5.8999999999999999E-3</v>
      </c>
      <c r="L188">
        <v>306</v>
      </c>
      <c r="M188">
        <v>0.73</v>
      </c>
      <c r="N188">
        <v>0.64</v>
      </c>
      <c r="O188">
        <v>0.85</v>
      </c>
      <c r="P188">
        <v>274</v>
      </c>
      <c r="Q188">
        <v>0.65</v>
      </c>
      <c r="R188">
        <v>0.56999999999999995</v>
      </c>
      <c r="S188">
        <v>0.76</v>
      </c>
    </row>
    <row r="189" spans="1:19" x14ac:dyDescent="0.35">
      <c r="A189" t="str">
        <f t="shared" si="2"/>
        <v>2021/22NHS FifeAll50-64</v>
      </c>
      <c r="B189" t="s">
        <v>129</v>
      </c>
      <c r="C189" s="105" t="s">
        <v>125</v>
      </c>
      <c r="D189" s="105" t="s">
        <v>31</v>
      </c>
      <c r="E189" s="105" t="s">
        <v>58</v>
      </c>
      <c r="F189" s="105">
        <v>460</v>
      </c>
      <c r="G189" s="105">
        <v>410</v>
      </c>
      <c r="H189" s="105">
        <v>520</v>
      </c>
      <c r="I189">
        <v>5.7000000000000002E-3</v>
      </c>
      <c r="J189">
        <v>5.0000000000000001E-3</v>
      </c>
      <c r="K189">
        <v>6.4999999999999997E-3</v>
      </c>
      <c r="L189">
        <v>354</v>
      </c>
      <c r="M189">
        <v>0.77</v>
      </c>
      <c r="N189">
        <v>0.68</v>
      </c>
      <c r="O189">
        <v>0.86</v>
      </c>
      <c r="P189">
        <v>316</v>
      </c>
      <c r="Q189">
        <v>0.69</v>
      </c>
      <c r="R189">
        <v>0.61</v>
      </c>
      <c r="S189">
        <v>0.77</v>
      </c>
    </row>
    <row r="190" spans="1:19" x14ac:dyDescent="0.35">
      <c r="A190" t="str">
        <f t="shared" si="2"/>
        <v>2022/23NHS FifeAll50-64</v>
      </c>
      <c r="B190" t="s">
        <v>129</v>
      </c>
      <c r="C190" s="105" t="s">
        <v>126</v>
      </c>
      <c r="D190" s="105" t="s">
        <v>31</v>
      </c>
      <c r="E190" s="105" t="s">
        <v>58</v>
      </c>
      <c r="F190" s="105">
        <v>500</v>
      </c>
      <c r="G190" s="105">
        <v>440</v>
      </c>
      <c r="H190" s="105">
        <v>570</v>
      </c>
      <c r="I190">
        <v>6.1000000000000004E-3</v>
      </c>
      <c r="J190">
        <v>5.4000000000000003E-3</v>
      </c>
      <c r="K190">
        <v>7.0000000000000001E-3</v>
      </c>
      <c r="L190">
        <v>392</v>
      </c>
      <c r="M190">
        <v>0.78</v>
      </c>
      <c r="N190">
        <v>0.69</v>
      </c>
      <c r="O190">
        <v>0.89</v>
      </c>
      <c r="P190">
        <v>352</v>
      </c>
      <c r="Q190">
        <v>0.7</v>
      </c>
      <c r="R190">
        <v>0.62</v>
      </c>
      <c r="S190">
        <v>0.8</v>
      </c>
    </row>
    <row r="191" spans="1:19" x14ac:dyDescent="0.35">
      <c r="A191" t="str">
        <f t="shared" si="2"/>
        <v>2014/15NHS Ayrshire &amp; ArranAll15-34</v>
      </c>
      <c r="B191" t="s">
        <v>130</v>
      </c>
      <c r="C191" s="105" t="s">
        <v>39</v>
      </c>
      <c r="D191" s="105" t="s">
        <v>31</v>
      </c>
      <c r="E191" s="105" t="s">
        <v>56</v>
      </c>
      <c r="F191" s="105">
        <v>1500</v>
      </c>
      <c r="G191" s="105">
        <v>1400</v>
      </c>
      <c r="H191" s="105">
        <v>1600</v>
      </c>
      <c r="I191">
        <v>1.8100000000000002E-2</v>
      </c>
      <c r="J191">
        <v>1.66E-2</v>
      </c>
      <c r="K191">
        <v>1.9800000000000002E-2</v>
      </c>
      <c r="L191">
        <v>1061</v>
      </c>
      <c r="M191">
        <v>0.71</v>
      </c>
      <c r="N191">
        <v>0.66</v>
      </c>
      <c r="O191">
        <v>0.76</v>
      </c>
      <c r="P191">
        <v>867</v>
      </c>
      <c r="Q191">
        <v>0.57999999999999996</v>
      </c>
      <c r="R191">
        <v>0.54</v>
      </c>
      <c r="S191">
        <v>0.62</v>
      </c>
    </row>
    <row r="192" spans="1:19" x14ac:dyDescent="0.35">
      <c r="A192" t="str">
        <f t="shared" si="2"/>
        <v>2015/16NHS Ayrshire &amp; ArranAll15-34</v>
      </c>
      <c r="B192" t="s">
        <v>130</v>
      </c>
      <c r="C192" s="105" t="s">
        <v>44</v>
      </c>
      <c r="D192" s="105" t="s">
        <v>31</v>
      </c>
      <c r="E192" s="105" t="s">
        <v>56</v>
      </c>
      <c r="F192" s="105">
        <v>1400</v>
      </c>
      <c r="G192" s="105">
        <v>1300</v>
      </c>
      <c r="H192" s="105">
        <v>1500</v>
      </c>
      <c r="I192">
        <v>1.67E-2</v>
      </c>
      <c r="J192">
        <v>1.5299999999999999E-2</v>
      </c>
      <c r="K192">
        <v>1.83E-2</v>
      </c>
      <c r="L192">
        <v>980</v>
      </c>
      <c r="M192">
        <v>0.7</v>
      </c>
      <c r="N192">
        <v>0.65</v>
      </c>
      <c r="O192">
        <v>0.75</v>
      </c>
      <c r="P192">
        <v>780</v>
      </c>
      <c r="Q192">
        <v>0.56000000000000005</v>
      </c>
      <c r="R192">
        <v>0.52</v>
      </c>
      <c r="S192">
        <v>0.6</v>
      </c>
    </row>
    <row r="193" spans="1:19" x14ac:dyDescent="0.35">
      <c r="A193" t="str">
        <f t="shared" si="2"/>
        <v>2016/17NHS Ayrshire &amp; ArranAll15-34</v>
      </c>
      <c r="B193" t="s">
        <v>130</v>
      </c>
      <c r="C193" s="105" t="s">
        <v>46</v>
      </c>
      <c r="D193" s="105" t="s">
        <v>31</v>
      </c>
      <c r="E193" s="105" t="s">
        <v>56</v>
      </c>
      <c r="F193" s="105">
        <v>1200</v>
      </c>
      <c r="G193" s="105">
        <v>1100</v>
      </c>
      <c r="H193" s="105">
        <v>1300</v>
      </c>
      <c r="I193">
        <v>1.4800000000000001E-2</v>
      </c>
      <c r="J193">
        <v>1.3599999999999999E-2</v>
      </c>
      <c r="K193">
        <v>1.61E-2</v>
      </c>
      <c r="L193">
        <v>864</v>
      </c>
      <c r="M193">
        <v>0.72</v>
      </c>
      <c r="N193">
        <v>0.66</v>
      </c>
      <c r="O193">
        <v>0.79</v>
      </c>
      <c r="P193">
        <v>681</v>
      </c>
      <c r="Q193">
        <v>0.56999999999999995</v>
      </c>
      <c r="R193">
        <v>0.52</v>
      </c>
      <c r="S193">
        <v>0.62</v>
      </c>
    </row>
    <row r="194" spans="1:19" x14ac:dyDescent="0.35">
      <c r="A194" t="str">
        <f t="shared" si="2"/>
        <v>2017/18NHS Ayrshire &amp; ArranAll15-34</v>
      </c>
      <c r="B194" t="s">
        <v>130</v>
      </c>
      <c r="C194" s="105" t="s">
        <v>47</v>
      </c>
      <c r="D194" s="105" t="s">
        <v>31</v>
      </c>
      <c r="E194" s="105" t="s">
        <v>56</v>
      </c>
      <c r="F194" s="105">
        <v>1000</v>
      </c>
      <c r="G194" s="105">
        <v>950</v>
      </c>
      <c r="H194" s="105">
        <v>1100</v>
      </c>
      <c r="I194">
        <v>1.2800000000000001E-2</v>
      </c>
      <c r="J194">
        <v>1.17E-2</v>
      </c>
      <c r="K194">
        <v>1.4E-2</v>
      </c>
      <c r="L194">
        <v>733</v>
      </c>
      <c r="M194">
        <v>0.73</v>
      </c>
      <c r="N194">
        <v>0.67</v>
      </c>
      <c r="O194">
        <v>0.77</v>
      </c>
      <c r="P194">
        <v>594</v>
      </c>
      <c r="Q194">
        <v>0.59</v>
      </c>
      <c r="R194">
        <v>0.54</v>
      </c>
      <c r="S194">
        <v>0.63</v>
      </c>
    </row>
    <row r="195" spans="1:19" x14ac:dyDescent="0.35">
      <c r="A195" t="str">
        <f t="shared" ref="A195:A217" si="3">C195&amp;B195&amp;D195&amp;E195</f>
        <v>2018/19NHS Ayrshire &amp; ArranAll15-34</v>
      </c>
      <c r="B195" t="s">
        <v>130</v>
      </c>
      <c r="C195" s="105" t="s">
        <v>48</v>
      </c>
      <c r="D195" s="105" t="s">
        <v>31</v>
      </c>
      <c r="E195" s="105" t="s">
        <v>56</v>
      </c>
      <c r="F195" s="105">
        <v>970</v>
      </c>
      <c r="G195" s="105">
        <v>890</v>
      </c>
      <c r="H195" s="105">
        <v>1100</v>
      </c>
      <c r="I195">
        <v>1.21E-2</v>
      </c>
      <c r="J195">
        <v>1.0999999999999999E-2</v>
      </c>
      <c r="K195">
        <v>1.3299999999999999E-2</v>
      </c>
      <c r="L195">
        <v>650</v>
      </c>
      <c r="M195">
        <v>0.67</v>
      </c>
      <c r="N195">
        <v>0.59</v>
      </c>
      <c r="O195">
        <v>0.73</v>
      </c>
      <c r="P195">
        <v>507</v>
      </c>
      <c r="Q195">
        <v>0.52</v>
      </c>
      <c r="R195">
        <v>0.46</v>
      </c>
      <c r="S195">
        <v>0.56999999999999995</v>
      </c>
    </row>
    <row r="196" spans="1:19" x14ac:dyDescent="0.35">
      <c r="A196" t="str">
        <f t="shared" si="3"/>
        <v>2019/20NHS Ayrshire &amp; ArranAll15-34</v>
      </c>
      <c r="B196" t="s">
        <v>130</v>
      </c>
      <c r="C196" s="105" t="s">
        <v>49</v>
      </c>
      <c r="D196" s="105" t="s">
        <v>31</v>
      </c>
      <c r="E196" s="105" t="s">
        <v>56</v>
      </c>
      <c r="F196" s="105">
        <v>1000</v>
      </c>
      <c r="G196" s="105">
        <v>910</v>
      </c>
      <c r="H196" s="105">
        <v>1100</v>
      </c>
      <c r="I196">
        <v>1.26E-2</v>
      </c>
      <c r="J196">
        <v>1.14E-2</v>
      </c>
      <c r="K196">
        <v>1.4E-2</v>
      </c>
      <c r="L196">
        <v>614</v>
      </c>
      <c r="M196">
        <v>0.61</v>
      </c>
      <c r="N196">
        <v>0.56000000000000005</v>
      </c>
      <c r="O196">
        <v>0.67</v>
      </c>
      <c r="P196">
        <v>478</v>
      </c>
      <c r="Q196">
        <v>0.48</v>
      </c>
      <c r="R196">
        <v>0.43</v>
      </c>
      <c r="S196">
        <v>0.53</v>
      </c>
    </row>
    <row r="197" spans="1:19" x14ac:dyDescent="0.35">
      <c r="A197" t="str">
        <f t="shared" si="3"/>
        <v>2020/21NHS Ayrshire &amp; ArranAll15-34</v>
      </c>
      <c r="B197" t="s">
        <v>130</v>
      </c>
      <c r="C197" s="105" t="s">
        <v>124</v>
      </c>
      <c r="D197" s="105" t="s">
        <v>31</v>
      </c>
      <c r="E197" s="105" t="s">
        <v>56</v>
      </c>
      <c r="F197" s="105">
        <v>990</v>
      </c>
      <c r="G197" s="105">
        <v>890</v>
      </c>
      <c r="H197" s="105">
        <v>1100</v>
      </c>
      <c r="I197">
        <v>1.24E-2</v>
      </c>
      <c r="J197">
        <v>1.11E-2</v>
      </c>
      <c r="K197">
        <v>1.3899999999999999E-2</v>
      </c>
      <c r="L197">
        <v>580</v>
      </c>
      <c r="M197">
        <v>0.59</v>
      </c>
      <c r="N197">
        <v>0.53</v>
      </c>
      <c r="O197">
        <v>0.65</v>
      </c>
      <c r="P197">
        <v>470</v>
      </c>
      <c r="Q197">
        <v>0.47</v>
      </c>
      <c r="R197">
        <v>0.43</v>
      </c>
      <c r="S197">
        <v>0.53</v>
      </c>
    </row>
    <row r="198" spans="1:19" x14ac:dyDescent="0.35">
      <c r="A198" t="str">
        <f t="shared" si="3"/>
        <v>2021/22NHS Ayrshire &amp; ArranAll15-34</v>
      </c>
      <c r="B198" t="s">
        <v>130</v>
      </c>
      <c r="C198" s="105" t="s">
        <v>125</v>
      </c>
      <c r="D198" s="105" t="s">
        <v>31</v>
      </c>
      <c r="E198" s="105" t="s">
        <v>56</v>
      </c>
      <c r="F198" s="105">
        <v>880</v>
      </c>
      <c r="G198" s="105">
        <v>790</v>
      </c>
      <c r="H198" s="105">
        <v>990</v>
      </c>
      <c r="I198">
        <v>1.11E-2</v>
      </c>
      <c r="J198">
        <v>9.9000000000000008E-3</v>
      </c>
      <c r="K198">
        <v>1.24E-2</v>
      </c>
      <c r="L198">
        <v>538</v>
      </c>
      <c r="M198">
        <v>0.61</v>
      </c>
      <c r="N198">
        <v>0.54</v>
      </c>
      <c r="O198">
        <v>0.68</v>
      </c>
      <c r="P198">
        <v>440</v>
      </c>
      <c r="Q198">
        <v>0.5</v>
      </c>
      <c r="R198">
        <v>0.44</v>
      </c>
      <c r="S198">
        <v>0.56000000000000005</v>
      </c>
    </row>
    <row r="199" spans="1:19" x14ac:dyDescent="0.35">
      <c r="A199" t="str">
        <f t="shared" si="3"/>
        <v>2022/23NHS Ayrshire &amp; ArranAll15-34</v>
      </c>
      <c r="B199" t="s">
        <v>130</v>
      </c>
      <c r="C199" s="105" t="s">
        <v>126</v>
      </c>
      <c r="D199" s="105" t="s">
        <v>31</v>
      </c>
      <c r="E199" s="105" t="s">
        <v>56</v>
      </c>
      <c r="F199" s="105">
        <v>770</v>
      </c>
      <c r="G199" s="105">
        <v>690</v>
      </c>
      <c r="H199" s="105">
        <v>860</v>
      </c>
      <c r="I199">
        <v>1.0200000000000001E-2</v>
      </c>
      <c r="J199">
        <v>9.1999999999999998E-3</v>
      </c>
      <c r="K199">
        <v>1.14E-2</v>
      </c>
      <c r="L199">
        <v>519</v>
      </c>
      <c r="M199">
        <v>0.67</v>
      </c>
      <c r="N199">
        <v>0.6</v>
      </c>
      <c r="O199">
        <v>0.75</v>
      </c>
      <c r="P199">
        <v>412</v>
      </c>
      <c r="Q199">
        <v>0.54</v>
      </c>
      <c r="R199">
        <v>0.48</v>
      </c>
      <c r="S199">
        <v>0.6</v>
      </c>
    </row>
    <row r="200" spans="1:19" x14ac:dyDescent="0.35">
      <c r="A200" t="str">
        <f t="shared" si="3"/>
        <v>2014/15NHS Ayrshire &amp; ArranAll35-49</v>
      </c>
      <c r="B200" t="s">
        <v>130</v>
      </c>
      <c r="C200" s="105" t="s">
        <v>39</v>
      </c>
      <c r="D200" s="105" t="s">
        <v>31</v>
      </c>
      <c r="E200" s="105" t="s">
        <v>57</v>
      </c>
      <c r="F200" s="105">
        <v>2300</v>
      </c>
      <c r="G200" s="105">
        <v>2200</v>
      </c>
      <c r="H200" s="105">
        <v>2500</v>
      </c>
      <c r="I200">
        <v>3.2300000000000002E-2</v>
      </c>
      <c r="J200">
        <v>3.0300000000000001E-2</v>
      </c>
      <c r="K200">
        <v>3.4599999999999999E-2</v>
      </c>
      <c r="L200">
        <v>1831</v>
      </c>
      <c r="M200">
        <v>0.8</v>
      </c>
      <c r="N200">
        <v>0.73</v>
      </c>
      <c r="O200">
        <v>0.83</v>
      </c>
      <c r="P200">
        <v>1567</v>
      </c>
      <c r="Q200">
        <v>0.68</v>
      </c>
      <c r="R200">
        <v>0.63</v>
      </c>
      <c r="S200">
        <v>0.71</v>
      </c>
    </row>
    <row r="201" spans="1:19" x14ac:dyDescent="0.35">
      <c r="A201" t="str">
        <f t="shared" si="3"/>
        <v>2015/16NHS Ayrshire &amp; ArranAll35-49</v>
      </c>
      <c r="B201" t="s">
        <v>130</v>
      </c>
      <c r="C201" s="105" t="s">
        <v>44</v>
      </c>
      <c r="D201" s="105" t="s">
        <v>31</v>
      </c>
      <c r="E201" s="105" t="s">
        <v>57</v>
      </c>
      <c r="F201" s="105">
        <v>2300</v>
      </c>
      <c r="G201" s="105">
        <v>2200</v>
      </c>
      <c r="H201" s="105">
        <v>2500</v>
      </c>
      <c r="I201">
        <v>3.3000000000000002E-2</v>
      </c>
      <c r="J201">
        <v>3.1099999999999999E-2</v>
      </c>
      <c r="K201">
        <v>3.5000000000000003E-2</v>
      </c>
      <c r="L201">
        <v>1892</v>
      </c>
      <c r="M201">
        <v>0.82</v>
      </c>
      <c r="N201">
        <v>0.76</v>
      </c>
      <c r="O201">
        <v>0.86</v>
      </c>
      <c r="P201">
        <v>1573</v>
      </c>
      <c r="Q201">
        <v>0.68</v>
      </c>
      <c r="R201">
        <v>0.63</v>
      </c>
      <c r="S201">
        <v>0.72</v>
      </c>
    </row>
    <row r="202" spans="1:19" x14ac:dyDescent="0.35">
      <c r="A202" t="str">
        <f t="shared" si="3"/>
        <v>2016/17NHS Ayrshire &amp; ArranAll35-49</v>
      </c>
      <c r="B202" t="s">
        <v>130</v>
      </c>
      <c r="C202" s="105" t="s">
        <v>46</v>
      </c>
      <c r="D202" s="105" t="s">
        <v>31</v>
      </c>
      <c r="E202" s="105" t="s">
        <v>57</v>
      </c>
      <c r="F202" s="105">
        <v>2400</v>
      </c>
      <c r="G202" s="105">
        <v>2200</v>
      </c>
      <c r="H202" s="105">
        <v>2500</v>
      </c>
      <c r="I202">
        <v>3.4099999999999998E-2</v>
      </c>
      <c r="J202">
        <v>3.2300000000000002E-2</v>
      </c>
      <c r="K202">
        <v>3.61E-2</v>
      </c>
      <c r="L202">
        <v>1959</v>
      </c>
      <c r="M202">
        <v>0.82</v>
      </c>
      <c r="N202">
        <v>0.78</v>
      </c>
      <c r="O202">
        <v>0.89</v>
      </c>
      <c r="P202">
        <v>1640</v>
      </c>
      <c r="Q202">
        <v>0.68</v>
      </c>
      <c r="R202">
        <v>0.66</v>
      </c>
      <c r="S202">
        <v>0.75</v>
      </c>
    </row>
    <row r="203" spans="1:19" x14ac:dyDescent="0.35">
      <c r="A203" t="str">
        <f t="shared" si="3"/>
        <v>2017/18NHS Ayrshire &amp; ArranAll35-49</v>
      </c>
      <c r="B203" t="s">
        <v>130</v>
      </c>
      <c r="C203" s="105" t="s">
        <v>47</v>
      </c>
      <c r="D203" s="105" t="s">
        <v>31</v>
      </c>
      <c r="E203" s="105" t="s">
        <v>57</v>
      </c>
      <c r="F203" s="105">
        <v>2400</v>
      </c>
      <c r="G203" s="105">
        <v>2200</v>
      </c>
      <c r="H203" s="105">
        <v>2500</v>
      </c>
      <c r="I203">
        <v>3.5000000000000003E-2</v>
      </c>
      <c r="J203">
        <v>3.32E-2</v>
      </c>
      <c r="K203">
        <v>3.6799999999999999E-2</v>
      </c>
      <c r="L203">
        <v>2015</v>
      </c>
      <c r="M203">
        <v>0.84</v>
      </c>
      <c r="N203">
        <v>0.81</v>
      </c>
      <c r="O203">
        <v>0.92</v>
      </c>
      <c r="P203">
        <v>1700</v>
      </c>
      <c r="Q203">
        <v>0.71</v>
      </c>
      <c r="R203">
        <v>0.68</v>
      </c>
      <c r="S203">
        <v>0.77</v>
      </c>
    </row>
    <row r="204" spans="1:19" x14ac:dyDescent="0.35">
      <c r="A204" t="str">
        <f t="shared" si="3"/>
        <v>2018/19NHS Ayrshire &amp; ArranAll35-49</v>
      </c>
      <c r="B204" t="s">
        <v>130</v>
      </c>
      <c r="C204" s="105" t="s">
        <v>48</v>
      </c>
      <c r="D204" s="105" t="s">
        <v>31</v>
      </c>
      <c r="E204" s="105" t="s">
        <v>57</v>
      </c>
      <c r="F204" s="105">
        <v>2300</v>
      </c>
      <c r="G204" s="105">
        <v>2200</v>
      </c>
      <c r="H204" s="105">
        <v>2500</v>
      </c>
      <c r="I204">
        <v>3.56E-2</v>
      </c>
      <c r="J204">
        <v>3.3799999999999997E-2</v>
      </c>
      <c r="K204">
        <v>3.7400000000000003E-2</v>
      </c>
      <c r="L204">
        <v>1993</v>
      </c>
      <c r="M204">
        <v>0.87</v>
      </c>
      <c r="N204">
        <v>0.8</v>
      </c>
      <c r="O204">
        <v>0.91</v>
      </c>
      <c r="P204">
        <v>1665</v>
      </c>
      <c r="Q204">
        <v>0.72</v>
      </c>
      <c r="R204">
        <v>0.67</v>
      </c>
      <c r="S204">
        <v>0.76</v>
      </c>
    </row>
    <row r="205" spans="1:19" x14ac:dyDescent="0.35">
      <c r="A205" t="str">
        <f t="shared" si="3"/>
        <v>2019/20NHS Ayrshire &amp; ArranAll35-49</v>
      </c>
      <c r="B205" t="s">
        <v>130</v>
      </c>
      <c r="C205" s="105" t="s">
        <v>49</v>
      </c>
      <c r="D205" s="105" t="s">
        <v>31</v>
      </c>
      <c r="E205" s="105" t="s">
        <v>57</v>
      </c>
      <c r="F205" s="105">
        <v>2300</v>
      </c>
      <c r="G205" s="105">
        <v>2200</v>
      </c>
      <c r="H205" s="105">
        <v>2500</v>
      </c>
      <c r="I205">
        <v>3.6299999999999999E-2</v>
      </c>
      <c r="J205">
        <v>3.4299999999999997E-2</v>
      </c>
      <c r="K205">
        <v>3.85E-2</v>
      </c>
      <c r="L205">
        <v>1915</v>
      </c>
      <c r="M205">
        <v>0.83</v>
      </c>
      <c r="N205">
        <v>0.77</v>
      </c>
      <c r="O205">
        <v>0.87</v>
      </c>
      <c r="P205">
        <v>1584</v>
      </c>
      <c r="Q205">
        <v>0.69</v>
      </c>
      <c r="R205">
        <v>0.63</v>
      </c>
      <c r="S205">
        <v>0.72</v>
      </c>
    </row>
    <row r="206" spans="1:19" x14ac:dyDescent="0.35">
      <c r="A206" t="str">
        <f t="shared" si="3"/>
        <v>2020/21NHS Ayrshire &amp; ArranAll35-49</v>
      </c>
      <c r="B206" t="s">
        <v>130</v>
      </c>
      <c r="C206" s="105" t="s">
        <v>124</v>
      </c>
      <c r="D206" s="105" t="s">
        <v>31</v>
      </c>
      <c r="E206" s="105" t="s">
        <v>57</v>
      </c>
      <c r="F206" s="105">
        <v>2300</v>
      </c>
      <c r="G206" s="105">
        <v>2200</v>
      </c>
      <c r="H206" s="105">
        <v>2400</v>
      </c>
      <c r="I206">
        <v>3.6299999999999999E-2</v>
      </c>
      <c r="J206">
        <v>3.4299999999999997E-2</v>
      </c>
      <c r="K206">
        <v>3.8399999999999997E-2</v>
      </c>
      <c r="L206">
        <v>1861</v>
      </c>
      <c r="M206">
        <v>0.81</v>
      </c>
      <c r="N206">
        <v>0.78</v>
      </c>
      <c r="O206">
        <v>0.85</v>
      </c>
      <c r="P206">
        <v>1557</v>
      </c>
      <c r="Q206">
        <v>0.68</v>
      </c>
      <c r="R206">
        <v>0.65</v>
      </c>
      <c r="S206">
        <v>0.71</v>
      </c>
    </row>
    <row r="207" spans="1:19" x14ac:dyDescent="0.35">
      <c r="A207" t="str">
        <f t="shared" si="3"/>
        <v>2021/22NHS Ayrshire &amp; ArranAll35-49</v>
      </c>
      <c r="B207" t="s">
        <v>130</v>
      </c>
      <c r="C207" s="105" t="s">
        <v>125</v>
      </c>
      <c r="D207" s="105" t="s">
        <v>31</v>
      </c>
      <c r="E207" s="105" t="s">
        <v>57</v>
      </c>
      <c r="F207" s="105">
        <v>2200</v>
      </c>
      <c r="G207" s="105">
        <v>2100</v>
      </c>
      <c r="H207" s="105">
        <v>2300</v>
      </c>
      <c r="I207">
        <v>3.56E-2</v>
      </c>
      <c r="J207">
        <v>3.3700000000000001E-2</v>
      </c>
      <c r="K207">
        <v>3.7699999999999997E-2</v>
      </c>
      <c r="L207">
        <v>1848</v>
      </c>
      <c r="M207">
        <v>0.84</v>
      </c>
      <c r="N207">
        <v>0.8</v>
      </c>
      <c r="O207">
        <v>0.88</v>
      </c>
      <c r="P207">
        <v>1595</v>
      </c>
      <c r="Q207">
        <v>0.73</v>
      </c>
      <c r="R207">
        <v>0.69</v>
      </c>
      <c r="S207">
        <v>0.76</v>
      </c>
    </row>
    <row r="208" spans="1:19" x14ac:dyDescent="0.35">
      <c r="A208" t="str">
        <f t="shared" si="3"/>
        <v>2022/23NHS Ayrshire &amp; ArranAll35-49</v>
      </c>
      <c r="B208" t="s">
        <v>130</v>
      </c>
      <c r="C208" s="105" t="s">
        <v>126</v>
      </c>
      <c r="D208" s="105" t="s">
        <v>31</v>
      </c>
      <c r="E208" s="105" t="s">
        <v>57</v>
      </c>
      <c r="F208" s="105">
        <v>2100</v>
      </c>
      <c r="G208" s="105">
        <v>1900</v>
      </c>
      <c r="H208" s="105">
        <v>2200</v>
      </c>
      <c r="I208">
        <v>3.2899999999999999E-2</v>
      </c>
      <c r="J208">
        <v>3.1099999999999999E-2</v>
      </c>
      <c r="K208">
        <v>3.4700000000000002E-2</v>
      </c>
      <c r="L208">
        <v>1766</v>
      </c>
      <c r="M208">
        <v>0.84</v>
      </c>
      <c r="N208">
        <v>0.8</v>
      </c>
      <c r="O208">
        <v>0.93</v>
      </c>
      <c r="P208">
        <v>1494</v>
      </c>
      <c r="Q208">
        <v>0.71</v>
      </c>
      <c r="R208">
        <v>0.68</v>
      </c>
      <c r="S208">
        <v>0.79</v>
      </c>
    </row>
    <row r="209" spans="1:19" x14ac:dyDescent="0.35">
      <c r="A209" t="str">
        <f t="shared" si="3"/>
        <v>2014/15NHS Ayrshire &amp; ArranAll50-64</v>
      </c>
      <c r="B209" t="s">
        <v>130</v>
      </c>
      <c r="C209" s="105" t="s">
        <v>39</v>
      </c>
      <c r="D209" s="105" t="s">
        <v>31</v>
      </c>
      <c r="E209" s="105" t="s">
        <v>58</v>
      </c>
      <c r="F209" s="105">
        <v>300</v>
      </c>
      <c r="G209" s="105">
        <v>250</v>
      </c>
      <c r="H209" s="105">
        <v>360</v>
      </c>
      <c r="I209">
        <v>3.8E-3</v>
      </c>
      <c r="J209">
        <v>3.0999999999999999E-3</v>
      </c>
      <c r="K209">
        <v>4.5999999999999999E-3</v>
      </c>
      <c r="L209">
        <v>194</v>
      </c>
      <c r="M209">
        <v>0.65</v>
      </c>
      <c r="N209">
        <v>0.54</v>
      </c>
      <c r="O209">
        <v>0.78</v>
      </c>
      <c r="P209">
        <v>159</v>
      </c>
      <c r="Q209">
        <v>0.53</v>
      </c>
      <c r="R209">
        <v>0.44</v>
      </c>
      <c r="S209">
        <v>0.64</v>
      </c>
    </row>
    <row r="210" spans="1:19" x14ac:dyDescent="0.35">
      <c r="A210" t="str">
        <f t="shared" si="3"/>
        <v>2015/16NHS Ayrshire &amp; ArranAll50-64</v>
      </c>
      <c r="B210" t="s">
        <v>130</v>
      </c>
      <c r="C210" s="105" t="s">
        <v>44</v>
      </c>
      <c r="D210" s="105" t="s">
        <v>31</v>
      </c>
      <c r="E210" s="105" t="s">
        <v>58</v>
      </c>
      <c r="F210" s="105">
        <v>330</v>
      </c>
      <c r="G210" s="105">
        <v>280</v>
      </c>
      <c r="H210" s="105">
        <v>390</v>
      </c>
      <c r="I210">
        <v>4.1000000000000003E-3</v>
      </c>
      <c r="J210">
        <v>3.3999999999999998E-3</v>
      </c>
      <c r="K210">
        <v>4.7999999999999996E-3</v>
      </c>
      <c r="L210">
        <v>228</v>
      </c>
      <c r="M210">
        <v>0.69</v>
      </c>
      <c r="N210">
        <v>0.57999999999999996</v>
      </c>
      <c r="O210">
        <v>0.81</v>
      </c>
      <c r="P210">
        <v>174</v>
      </c>
      <c r="Q210">
        <v>0.53</v>
      </c>
      <c r="R210">
        <v>0.45</v>
      </c>
      <c r="S210">
        <v>0.62</v>
      </c>
    </row>
    <row r="211" spans="1:19" x14ac:dyDescent="0.35">
      <c r="A211" t="str">
        <f t="shared" si="3"/>
        <v>2016/17NHS Ayrshire &amp; ArranAll50-64</v>
      </c>
      <c r="B211" t="s">
        <v>130</v>
      </c>
      <c r="C211" s="105" t="s">
        <v>46</v>
      </c>
      <c r="D211" s="105" t="s">
        <v>31</v>
      </c>
      <c r="E211" s="105" t="s">
        <v>58</v>
      </c>
      <c r="F211" s="105">
        <v>370</v>
      </c>
      <c r="G211" s="105">
        <v>310</v>
      </c>
      <c r="H211" s="105">
        <v>430</v>
      </c>
      <c r="I211">
        <v>4.4999999999999997E-3</v>
      </c>
      <c r="J211">
        <v>3.8999999999999998E-3</v>
      </c>
      <c r="K211">
        <v>5.3E-3</v>
      </c>
      <c r="L211">
        <v>259</v>
      </c>
      <c r="M211">
        <v>0.7</v>
      </c>
      <c r="N211">
        <v>0.6</v>
      </c>
      <c r="O211">
        <v>0.84</v>
      </c>
      <c r="P211">
        <v>199</v>
      </c>
      <c r="Q211">
        <v>0.54</v>
      </c>
      <c r="R211">
        <v>0.46</v>
      </c>
      <c r="S211">
        <v>0.64</v>
      </c>
    </row>
    <row r="212" spans="1:19" x14ac:dyDescent="0.35">
      <c r="A212" t="str">
        <f t="shared" si="3"/>
        <v>2017/18NHS Ayrshire &amp; ArranAll50-64</v>
      </c>
      <c r="B212" t="s">
        <v>130</v>
      </c>
      <c r="C212" s="105" t="s">
        <v>47</v>
      </c>
      <c r="D212" s="105" t="s">
        <v>31</v>
      </c>
      <c r="E212" s="105" t="s">
        <v>58</v>
      </c>
      <c r="F212" s="105">
        <v>350</v>
      </c>
      <c r="G212" s="105">
        <v>310</v>
      </c>
      <c r="H212" s="105">
        <v>400</v>
      </c>
      <c r="I212">
        <v>4.3E-3</v>
      </c>
      <c r="J212">
        <v>3.8E-3</v>
      </c>
      <c r="K212">
        <v>4.8999999999999998E-3</v>
      </c>
      <c r="L212">
        <v>282</v>
      </c>
      <c r="M212">
        <v>0.81</v>
      </c>
      <c r="N212">
        <v>0.71</v>
      </c>
      <c r="O212">
        <v>0.91</v>
      </c>
      <c r="P212">
        <v>232</v>
      </c>
      <c r="Q212">
        <v>0.66</v>
      </c>
      <c r="R212">
        <v>0.57999999999999996</v>
      </c>
      <c r="S212">
        <v>0.75</v>
      </c>
    </row>
    <row r="213" spans="1:19" x14ac:dyDescent="0.35">
      <c r="A213" t="str">
        <f t="shared" si="3"/>
        <v>2018/19NHS Ayrshire &amp; ArranAll50-64</v>
      </c>
      <c r="B213" t="s">
        <v>130</v>
      </c>
      <c r="C213" s="105" t="s">
        <v>48</v>
      </c>
      <c r="D213" s="105" t="s">
        <v>31</v>
      </c>
      <c r="E213" s="105" t="s">
        <v>58</v>
      </c>
      <c r="F213" s="105">
        <v>420</v>
      </c>
      <c r="G213" s="105">
        <v>370</v>
      </c>
      <c r="H213" s="105">
        <v>470</v>
      </c>
      <c r="I213">
        <v>5.0000000000000001E-3</v>
      </c>
      <c r="J213">
        <v>4.4000000000000003E-3</v>
      </c>
      <c r="K213">
        <v>5.7000000000000002E-3</v>
      </c>
      <c r="L213">
        <v>325</v>
      </c>
      <c r="M213">
        <v>0.77</v>
      </c>
      <c r="N213">
        <v>0.69</v>
      </c>
      <c r="O213">
        <v>0.88</v>
      </c>
      <c r="P213">
        <v>271</v>
      </c>
      <c r="Q213">
        <v>0.65</v>
      </c>
      <c r="R213">
        <v>0.57999999999999996</v>
      </c>
      <c r="S213">
        <v>0.73</v>
      </c>
    </row>
    <row r="214" spans="1:19" x14ac:dyDescent="0.35">
      <c r="A214" t="str">
        <f t="shared" si="3"/>
        <v>2019/20NHS Ayrshire &amp; ArranAll50-64</v>
      </c>
      <c r="B214" t="s">
        <v>130</v>
      </c>
      <c r="C214" s="105" t="s">
        <v>49</v>
      </c>
      <c r="D214" s="105" t="s">
        <v>31</v>
      </c>
      <c r="E214" s="105" t="s">
        <v>58</v>
      </c>
      <c r="F214" s="105">
        <v>480</v>
      </c>
      <c r="G214" s="105">
        <v>430</v>
      </c>
      <c r="H214" s="105">
        <v>540</v>
      </c>
      <c r="I214">
        <v>5.7999999999999996E-3</v>
      </c>
      <c r="J214">
        <v>5.1999999999999998E-3</v>
      </c>
      <c r="K214">
        <v>6.4999999999999997E-3</v>
      </c>
      <c r="L214">
        <v>392</v>
      </c>
      <c r="M214">
        <v>0.82</v>
      </c>
      <c r="N214">
        <v>0.73</v>
      </c>
      <c r="O214">
        <v>0.91</v>
      </c>
      <c r="P214">
        <v>336</v>
      </c>
      <c r="Q214">
        <v>0.7</v>
      </c>
      <c r="R214">
        <v>0.62</v>
      </c>
      <c r="S214">
        <v>0.78</v>
      </c>
    </row>
    <row r="215" spans="1:19" x14ac:dyDescent="0.35">
      <c r="A215" t="str">
        <f t="shared" si="3"/>
        <v>2020/21NHS Ayrshire &amp; ArranAll50-64</v>
      </c>
      <c r="B215" t="s">
        <v>130</v>
      </c>
      <c r="C215" s="105" t="s">
        <v>124</v>
      </c>
      <c r="D215" s="105" t="s">
        <v>31</v>
      </c>
      <c r="E215" s="105" t="s">
        <v>58</v>
      </c>
      <c r="F215" s="105">
        <v>590</v>
      </c>
      <c r="G215" s="105">
        <v>530</v>
      </c>
      <c r="H215" s="105">
        <v>670</v>
      </c>
      <c r="I215">
        <v>7.1000000000000004E-3</v>
      </c>
      <c r="J215">
        <v>6.3E-3</v>
      </c>
      <c r="K215">
        <v>7.9000000000000008E-3</v>
      </c>
      <c r="L215">
        <v>466</v>
      </c>
      <c r="M215">
        <v>0.79</v>
      </c>
      <c r="N215">
        <v>0.7</v>
      </c>
      <c r="O215">
        <v>0.88</v>
      </c>
      <c r="P215">
        <v>381</v>
      </c>
      <c r="Q215">
        <v>0.65</v>
      </c>
      <c r="R215">
        <v>0.56999999999999995</v>
      </c>
      <c r="S215">
        <v>0.72</v>
      </c>
    </row>
    <row r="216" spans="1:19" x14ac:dyDescent="0.35">
      <c r="A216" t="str">
        <f t="shared" si="3"/>
        <v>2021/22NHS Ayrshire &amp; ArranAll50-64</v>
      </c>
      <c r="B216" t="s">
        <v>130</v>
      </c>
      <c r="C216" s="105" t="s">
        <v>125</v>
      </c>
      <c r="D216" s="105" t="s">
        <v>31</v>
      </c>
      <c r="E216" s="105" t="s">
        <v>58</v>
      </c>
      <c r="F216" s="105">
        <v>660</v>
      </c>
      <c r="G216" s="105">
        <v>590</v>
      </c>
      <c r="H216" s="105">
        <v>730</v>
      </c>
      <c r="I216">
        <v>7.7000000000000002E-3</v>
      </c>
      <c r="J216">
        <v>7.0000000000000001E-3</v>
      </c>
      <c r="K216">
        <v>8.6999999999999994E-3</v>
      </c>
      <c r="L216">
        <v>530</v>
      </c>
      <c r="M216">
        <v>0.8</v>
      </c>
      <c r="N216">
        <v>0.73</v>
      </c>
      <c r="O216">
        <v>0.9</v>
      </c>
      <c r="P216">
        <v>455</v>
      </c>
      <c r="Q216">
        <v>0.69</v>
      </c>
      <c r="R216">
        <v>0.62</v>
      </c>
      <c r="S216">
        <v>0.77</v>
      </c>
    </row>
    <row r="217" spans="1:19" x14ac:dyDescent="0.35">
      <c r="A217" t="str">
        <f t="shared" si="3"/>
        <v>2022/23NHS Ayrshire &amp; ArranAll50-64</v>
      </c>
      <c r="B217" t="s">
        <v>130</v>
      </c>
      <c r="C217" s="105" t="s">
        <v>126</v>
      </c>
      <c r="D217" s="105" t="s">
        <v>31</v>
      </c>
      <c r="E217" s="105" t="s">
        <v>58</v>
      </c>
      <c r="F217" s="105">
        <v>740</v>
      </c>
      <c r="G217" s="105">
        <v>670</v>
      </c>
      <c r="H217" s="105">
        <v>820</v>
      </c>
      <c r="I217">
        <v>8.6E-3</v>
      </c>
      <c r="J217">
        <v>7.7999999999999996E-3</v>
      </c>
      <c r="K217">
        <v>9.5999999999999992E-3</v>
      </c>
      <c r="L217">
        <v>611</v>
      </c>
      <c r="M217">
        <v>0.83</v>
      </c>
      <c r="N217">
        <v>0.75</v>
      </c>
      <c r="O217">
        <v>0.91</v>
      </c>
      <c r="P217">
        <v>502</v>
      </c>
      <c r="Q217">
        <v>0.68</v>
      </c>
      <c r="R217">
        <v>0.61</v>
      </c>
      <c r="S217">
        <v>0.75</v>
      </c>
    </row>
  </sheetData>
  <autoFilter ref="A1:S217" xr:uid="{586AAAC7-E718-4E42-A1A8-281C41702A9C}"/>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CED06D-9691-4671-89FF-A6C99826DFFC}">
  <dimension ref="A1:S217"/>
  <sheetViews>
    <sheetView workbookViewId="0">
      <selection activeCell="B1" sqref="B1"/>
    </sheetView>
  </sheetViews>
  <sheetFormatPr defaultColWidth="8.90625" defaultRowHeight="14.5" x14ac:dyDescent="0.35"/>
  <cols>
    <col min="1" max="1" width="22.1796875" customWidth="1"/>
  </cols>
  <sheetData>
    <row r="1" spans="1:19" x14ac:dyDescent="0.35">
      <c r="A1" t="s">
        <v>99</v>
      </c>
      <c r="B1" t="s">
        <v>100</v>
      </c>
      <c r="C1" t="s">
        <v>101</v>
      </c>
      <c r="D1" s="123" t="s">
        <v>26</v>
      </c>
      <c r="E1" s="123" t="s">
        <v>27</v>
      </c>
      <c r="F1" s="124" t="s">
        <v>102</v>
      </c>
      <c r="G1" s="124" t="s">
        <v>103</v>
      </c>
      <c r="H1" s="124" t="s">
        <v>104</v>
      </c>
      <c r="I1" t="s">
        <v>105</v>
      </c>
      <c r="J1" t="s">
        <v>106</v>
      </c>
      <c r="K1" t="s">
        <v>107</v>
      </c>
      <c r="L1" t="s">
        <v>73</v>
      </c>
      <c r="M1" t="s">
        <v>108</v>
      </c>
      <c r="N1" t="s">
        <v>109</v>
      </c>
      <c r="O1" t="s">
        <v>110</v>
      </c>
      <c r="P1" t="s">
        <v>111</v>
      </c>
      <c r="Q1" t="s">
        <v>112</v>
      </c>
      <c r="R1" t="s">
        <v>113</v>
      </c>
      <c r="S1" t="s">
        <v>114</v>
      </c>
    </row>
    <row r="2" spans="1:19" x14ac:dyDescent="0.35">
      <c r="A2" t="str">
        <f>C2&amp;B2&amp;D2&amp;E2</f>
        <v>2014/15ScotlandAllAll</v>
      </c>
      <c r="B2" t="s">
        <v>32</v>
      </c>
      <c r="C2" s="105" t="s">
        <v>39</v>
      </c>
      <c r="D2" s="105" t="s">
        <v>31</v>
      </c>
      <c r="E2" s="105" t="s">
        <v>31</v>
      </c>
      <c r="F2" s="105">
        <v>48700</v>
      </c>
      <c r="G2" s="105">
        <v>46500</v>
      </c>
      <c r="H2" s="105">
        <v>51000</v>
      </c>
      <c r="I2" s="120">
        <v>1.38E-2</v>
      </c>
      <c r="J2" s="120">
        <v>1.32E-2</v>
      </c>
      <c r="K2" s="120">
        <v>1.44E-2</v>
      </c>
      <c r="L2" s="105">
        <v>35202</v>
      </c>
      <c r="M2" s="2">
        <v>0.72</v>
      </c>
      <c r="N2" s="2">
        <v>0.69</v>
      </c>
      <c r="O2" s="2">
        <v>0.76</v>
      </c>
      <c r="P2" s="105">
        <v>28360</v>
      </c>
      <c r="Q2" s="2">
        <v>0.57999999999999996</v>
      </c>
      <c r="R2" s="2">
        <v>0.56000000000000005</v>
      </c>
      <c r="S2" s="2">
        <v>0.61</v>
      </c>
    </row>
    <row r="3" spans="1:19" x14ac:dyDescent="0.35">
      <c r="A3" t="str">
        <f t="shared" ref="A3:A66" si="0">C3&amp;B3&amp;D3&amp;E3</f>
        <v>2015/16ScotlandAllAll</v>
      </c>
      <c r="B3" t="s">
        <v>32</v>
      </c>
      <c r="C3" s="105" t="s">
        <v>44</v>
      </c>
      <c r="D3" s="105" t="s">
        <v>31</v>
      </c>
      <c r="E3" s="105" t="s">
        <v>31</v>
      </c>
      <c r="F3" s="105">
        <v>47400</v>
      </c>
      <c r="G3" s="105">
        <v>45500</v>
      </c>
      <c r="H3" s="105">
        <v>49400</v>
      </c>
      <c r="I3" s="120">
        <v>1.34E-2</v>
      </c>
      <c r="J3" s="120">
        <v>1.29E-2</v>
      </c>
      <c r="K3" s="120">
        <v>1.4E-2</v>
      </c>
      <c r="L3" s="105">
        <v>35331</v>
      </c>
      <c r="M3" s="2">
        <v>0.75</v>
      </c>
      <c r="N3" s="2">
        <v>0.72</v>
      </c>
      <c r="O3" s="2">
        <v>0.78</v>
      </c>
      <c r="P3" s="105">
        <v>28818</v>
      </c>
      <c r="Q3" s="2">
        <v>0.61</v>
      </c>
      <c r="R3" s="2">
        <v>0.57999999999999996</v>
      </c>
      <c r="S3" s="2">
        <v>0.63</v>
      </c>
    </row>
    <row r="4" spans="1:19" x14ac:dyDescent="0.35">
      <c r="A4" t="str">
        <f t="shared" si="0"/>
        <v>2016/17ScotlandAllAll</v>
      </c>
      <c r="B4" t="s">
        <v>32</v>
      </c>
      <c r="C4" s="105" t="s">
        <v>46</v>
      </c>
      <c r="D4" s="105" t="s">
        <v>31</v>
      </c>
      <c r="E4" s="105" t="s">
        <v>31</v>
      </c>
      <c r="F4" s="105">
        <v>46500</v>
      </c>
      <c r="G4" s="105">
        <v>44900</v>
      </c>
      <c r="H4" s="105">
        <v>48300</v>
      </c>
      <c r="I4" s="120">
        <v>1.3100000000000001E-2</v>
      </c>
      <c r="J4" s="120">
        <v>1.2699999999999999E-2</v>
      </c>
      <c r="K4" s="120">
        <v>1.3599999999999999E-2</v>
      </c>
      <c r="L4" s="105">
        <v>35407</v>
      </c>
      <c r="M4" s="2">
        <v>0.76</v>
      </c>
      <c r="N4" s="2">
        <v>0.73</v>
      </c>
      <c r="O4" s="2">
        <v>0.79</v>
      </c>
      <c r="P4" s="105">
        <v>29220</v>
      </c>
      <c r="Q4" s="2">
        <v>0.63</v>
      </c>
      <c r="R4" s="2">
        <v>0.6</v>
      </c>
      <c r="S4" s="2">
        <v>0.65</v>
      </c>
    </row>
    <row r="5" spans="1:19" x14ac:dyDescent="0.35">
      <c r="A5" t="str">
        <f t="shared" si="0"/>
        <v>2017/18ScotlandAllAll</v>
      </c>
      <c r="B5" t="s">
        <v>32</v>
      </c>
      <c r="C5" s="105" t="s">
        <v>47</v>
      </c>
      <c r="D5" s="105" t="s">
        <v>31</v>
      </c>
      <c r="E5" s="105" t="s">
        <v>31</v>
      </c>
      <c r="F5" s="105">
        <v>44800</v>
      </c>
      <c r="G5" s="105">
        <v>43500</v>
      </c>
      <c r="H5" s="105">
        <v>46200</v>
      </c>
      <c r="I5" s="120">
        <v>1.26E-2</v>
      </c>
      <c r="J5" s="120">
        <v>1.23E-2</v>
      </c>
      <c r="K5" s="120">
        <v>1.2999999999999999E-2</v>
      </c>
      <c r="L5" s="105">
        <v>35357</v>
      </c>
      <c r="M5" s="2">
        <v>0.79</v>
      </c>
      <c r="N5" s="2">
        <v>0.77</v>
      </c>
      <c r="O5" s="2">
        <v>0.81</v>
      </c>
      <c r="P5" s="105">
        <v>29381</v>
      </c>
      <c r="Q5" s="2">
        <v>0.66</v>
      </c>
      <c r="R5" s="2">
        <v>0.64</v>
      </c>
      <c r="S5" s="2">
        <v>0.68</v>
      </c>
    </row>
    <row r="6" spans="1:19" x14ac:dyDescent="0.35">
      <c r="A6" t="str">
        <f t="shared" si="0"/>
        <v>2018/19ScotlandAllAll</v>
      </c>
      <c r="B6" t="s">
        <v>32</v>
      </c>
      <c r="C6" s="105" t="s">
        <v>48</v>
      </c>
      <c r="D6" s="105" t="s">
        <v>31</v>
      </c>
      <c r="E6" s="105" t="s">
        <v>31</v>
      </c>
      <c r="F6" s="105">
        <v>45200</v>
      </c>
      <c r="G6" s="105">
        <v>44000</v>
      </c>
      <c r="H6" s="105">
        <v>46600</v>
      </c>
      <c r="I6" s="120">
        <v>1.2800000000000001E-2</v>
      </c>
      <c r="J6" s="120">
        <v>1.24E-2</v>
      </c>
      <c r="K6" s="120">
        <v>1.3100000000000001E-2</v>
      </c>
      <c r="L6" s="105">
        <v>35045</v>
      </c>
      <c r="M6" s="2">
        <v>0.78</v>
      </c>
      <c r="N6" s="2">
        <v>0.75</v>
      </c>
      <c r="O6" s="2">
        <v>0.8</v>
      </c>
      <c r="P6" s="105">
        <v>29072</v>
      </c>
      <c r="Q6" s="2">
        <v>0.64</v>
      </c>
      <c r="R6" s="2">
        <v>0.62</v>
      </c>
      <c r="S6" s="2">
        <v>0.66</v>
      </c>
    </row>
    <row r="7" spans="1:19" x14ac:dyDescent="0.35">
      <c r="A7" t="str">
        <f t="shared" si="0"/>
        <v>2019/20ScotlandAllAll</v>
      </c>
      <c r="B7" t="s">
        <v>32</v>
      </c>
      <c r="C7" s="105" t="s">
        <v>49</v>
      </c>
      <c r="D7" s="105" t="s">
        <v>31</v>
      </c>
      <c r="E7" s="105" t="s">
        <v>31</v>
      </c>
      <c r="F7" s="105">
        <v>47100</v>
      </c>
      <c r="G7" s="105">
        <v>45600</v>
      </c>
      <c r="H7" s="105">
        <v>48800</v>
      </c>
      <c r="I7" s="120">
        <v>1.3299999999999999E-2</v>
      </c>
      <c r="J7" s="120">
        <v>1.2800000000000001E-2</v>
      </c>
      <c r="K7" s="120">
        <v>1.37E-2</v>
      </c>
      <c r="L7" s="105">
        <v>34937</v>
      </c>
      <c r="M7" s="2">
        <v>0.74</v>
      </c>
      <c r="N7" s="2">
        <v>0.72</v>
      </c>
      <c r="O7" s="2">
        <v>0.77</v>
      </c>
      <c r="P7" s="105">
        <v>28865</v>
      </c>
      <c r="Q7" s="2">
        <v>0.61</v>
      </c>
      <c r="R7" s="2">
        <v>0.59</v>
      </c>
      <c r="S7" s="2">
        <v>0.63</v>
      </c>
    </row>
    <row r="8" spans="1:19" x14ac:dyDescent="0.35">
      <c r="A8" t="str">
        <f t="shared" si="0"/>
        <v>2020/21ScotlandAllAll</v>
      </c>
      <c r="B8" t="s">
        <v>32</v>
      </c>
      <c r="C8" s="105" t="s">
        <v>124</v>
      </c>
      <c r="D8" s="105" t="s">
        <v>31</v>
      </c>
      <c r="E8" s="105" t="s">
        <v>31</v>
      </c>
      <c r="F8" s="105">
        <v>48100</v>
      </c>
      <c r="G8" s="105">
        <v>46500</v>
      </c>
      <c r="H8" s="105">
        <v>49800</v>
      </c>
      <c r="I8" s="120">
        <v>1.35E-2</v>
      </c>
      <c r="J8" s="120">
        <v>1.3100000000000001E-2</v>
      </c>
      <c r="K8" s="120">
        <v>1.4E-2</v>
      </c>
      <c r="L8" s="105">
        <v>34999</v>
      </c>
      <c r="M8" s="2">
        <v>0.73</v>
      </c>
      <c r="N8" s="2">
        <v>0.7</v>
      </c>
      <c r="O8" s="2">
        <v>0.75</v>
      </c>
      <c r="P8" s="105">
        <v>29051</v>
      </c>
      <c r="Q8" s="2">
        <v>0.6</v>
      </c>
      <c r="R8" s="2">
        <v>0.57999999999999996</v>
      </c>
      <c r="S8" s="2">
        <v>0.62</v>
      </c>
    </row>
    <row r="9" spans="1:19" x14ac:dyDescent="0.35">
      <c r="A9" t="str">
        <f t="shared" si="0"/>
        <v>2021/22ScotlandAllAll</v>
      </c>
      <c r="B9" t="s">
        <v>32</v>
      </c>
      <c r="C9" s="105" t="s">
        <v>125</v>
      </c>
      <c r="D9" s="105" t="s">
        <v>31</v>
      </c>
      <c r="E9" s="105" t="s">
        <v>31</v>
      </c>
      <c r="F9" s="105">
        <v>46100</v>
      </c>
      <c r="G9" s="105">
        <v>44400</v>
      </c>
      <c r="H9" s="105">
        <v>48000</v>
      </c>
      <c r="I9" s="120">
        <v>1.2999999999999999E-2</v>
      </c>
      <c r="J9" s="120">
        <v>1.2500000000000001E-2</v>
      </c>
      <c r="K9" s="120">
        <v>1.35E-2</v>
      </c>
      <c r="L9" s="105">
        <v>34614</v>
      </c>
      <c r="M9" s="2">
        <v>0.75</v>
      </c>
      <c r="N9" s="2">
        <v>0.72</v>
      </c>
      <c r="O9" s="2">
        <v>0.78</v>
      </c>
      <c r="P9" s="105">
        <v>29212</v>
      </c>
      <c r="Q9" s="2">
        <v>0.63</v>
      </c>
      <c r="R9" s="2">
        <v>0.61</v>
      </c>
      <c r="S9" s="2">
        <v>0.66</v>
      </c>
    </row>
    <row r="10" spans="1:19" x14ac:dyDescent="0.35">
      <c r="A10" t="str">
        <f t="shared" si="0"/>
        <v>2022/23ScotlandAllAll</v>
      </c>
      <c r="B10" t="s">
        <v>32</v>
      </c>
      <c r="C10" s="105" t="s">
        <v>126</v>
      </c>
      <c r="D10" s="105" t="s">
        <v>31</v>
      </c>
      <c r="E10" s="105" t="s">
        <v>31</v>
      </c>
      <c r="F10" s="105">
        <v>43400</v>
      </c>
      <c r="G10" s="105">
        <v>41900</v>
      </c>
      <c r="H10" s="105">
        <v>45100</v>
      </c>
      <c r="I10" s="120">
        <v>1.23E-2</v>
      </c>
      <c r="J10" s="120">
        <v>1.1900000000000001E-2</v>
      </c>
      <c r="K10" s="120">
        <v>1.2800000000000001E-2</v>
      </c>
      <c r="L10" s="105">
        <v>34119</v>
      </c>
      <c r="M10" s="2">
        <v>0.79</v>
      </c>
      <c r="N10" s="2">
        <v>0.76</v>
      </c>
      <c r="O10" s="2">
        <v>0.81</v>
      </c>
      <c r="P10" s="105">
        <v>28576</v>
      </c>
      <c r="Q10" s="2">
        <v>0.66</v>
      </c>
      <c r="R10" s="2">
        <v>0.63</v>
      </c>
      <c r="S10" s="2">
        <v>0.68</v>
      </c>
    </row>
    <row r="11" spans="1:19" x14ac:dyDescent="0.35">
      <c r="A11" t="str">
        <f t="shared" si="0"/>
        <v>2014/15ScotlandFemalesAll</v>
      </c>
      <c r="B11" t="s">
        <v>32</v>
      </c>
      <c r="C11" s="105" t="s">
        <v>39</v>
      </c>
      <c r="D11" s="105" t="s">
        <v>42</v>
      </c>
      <c r="E11" s="105" t="s">
        <v>31</v>
      </c>
      <c r="F11" s="105">
        <v>15300</v>
      </c>
      <c r="G11" s="105">
        <v>14700</v>
      </c>
      <c r="H11" s="105">
        <v>16100</v>
      </c>
      <c r="I11" s="120">
        <v>8.6E-3</v>
      </c>
      <c r="J11" s="120">
        <v>8.2000000000000007E-3</v>
      </c>
      <c r="K11" s="120">
        <v>8.9999999999999993E-3</v>
      </c>
      <c r="L11" s="105">
        <v>11715</v>
      </c>
      <c r="M11" s="2">
        <v>0.77</v>
      </c>
      <c r="N11" s="2">
        <v>0.73</v>
      </c>
      <c r="O11" s="2">
        <v>0.8</v>
      </c>
      <c r="P11" s="105">
        <v>9460</v>
      </c>
      <c r="Q11" s="2">
        <v>0.62</v>
      </c>
      <c r="R11" s="2">
        <v>0.59</v>
      </c>
      <c r="S11" s="2">
        <v>0.64</v>
      </c>
    </row>
    <row r="12" spans="1:19" x14ac:dyDescent="0.35">
      <c r="A12" t="str">
        <f t="shared" si="0"/>
        <v>2015/16ScotlandFemalesAll</v>
      </c>
      <c r="B12" t="s">
        <v>32</v>
      </c>
      <c r="C12" s="105" t="s">
        <v>44</v>
      </c>
      <c r="D12" s="105" t="s">
        <v>42</v>
      </c>
      <c r="E12" s="105" t="s">
        <v>31</v>
      </c>
      <c r="F12" s="105">
        <v>15000</v>
      </c>
      <c r="G12" s="105">
        <v>14400</v>
      </c>
      <c r="H12" s="105">
        <v>15600</v>
      </c>
      <c r="I12" s="120">
        <v>8.3000000000000001E-3</v>
      </c>
      <c r="J12" s="120">
        <v>8.0000000000000002E-3</v>
      </c>
      <c r="K12" s="120">
        <v>8.6999999999999994E-3</v>
      </c>
      <c r="L12" s="105">
        <v>11759</v>
      </c>
      <c r="M12" s="2">
        <v>0.78</v>
      </c>
      <c r="N12" s="2">
        <v>0.75</v>
      </c>
      <c r="O12" s="2">
        <v>0.82</v>
      </c>
      <c r="P12" s="105">
        <v>9503</v>
      </c>
      <c r="Q12" s="2">
        <v>0.63</v>
      </c>
      <c r="R12" s="2">
        <v>0.61</v>
      </c>
      <c r="S12" s="2">
        <v>0.66</v>
      </c>
    </row>
    <row r="13" spans="1:19" x14ac:dyDescent="0.35">
      <c r="A13" t="str">
        <f t="shared" si="0"/>
        <v>2016/17ScotlandFemalesAll</v>
      </c>
      <c r="B13" t="s">
        <v>32</v>
      </c>
      <c r="C13" s="105" t="s">
        <v>46</v>
      </c>
      <c r="D13" s="105" t="s">
        <v>42</v>
      </c>
      <c r="E13" s="105" t="s">
        <v>31</v>
      </c>
      <c r="F13" s="105">
        <v>14700</v>
      </c>
      <c r="G13" s="105">
        <v>14200</v>
      </c>
      <c r="H13" s="105">
        <v>15200</v>
      </c>
      <c r="I13" s="120">
        <v>8.0999999999999996E-3</v>
      </c>
      <c r="J13" s="120">
        <v>7.9000000000000008E-3</v>
      </c>
      <c r="K13" s="120">
        <v>8.5000000000000006E-3</v>
      </c>
      <c r="L13" s="105">
        <v>11691</v>
      </c>
      <c r="M13" s="2">
        <v>0.8</v>
      </c>
      <c r="N13" s="2">
        <v>0.77</v>
      </c>
      <c r="O13" s="2">
        <v>0.82</v>
      </c>
      <c r="P13" s="105">
        <v>9561</v>
      </c>
      <c r="Q13" s="2">
        <v>0.65</v>
      </c>
      <c r="R13" s="2">
        <v>0.63</v>
      </c>
      <c r="S13" s="2">
        <v>0.67</v>
      </c>
    </row>
    <row r="14" spans="1:19" x14ac:dyDescent="0.35">
      <c r="A14" t="str">
        <f t="shared" si="0"/>
        <v>2017/18ScotlandFemalesAll</v>
      </c>
      <c r="B14" t="s">
        <v>32</v>
      </c>
      <c r="C14" s="105" t="s">
        <v>47</v>
      </c>
      <c r="D14" s="105" t="s">
        <v>42</v>
      </c>
      <c r="E14" s="105" t="s">
        <v>31</v>
      </c>
      <c r="F14" s="105">
        <v>14100</v>
      </c>
      <c r="G14" s="105">
        <v>13700</v>
      </c>
      <c r="H14" s="105">
        <v>14600</v>
      </c>
      <c r="I14" s="120">
        <v>7.7999999999999996E-3</v>
      </c>
      <c r="J14" s="120">
        <v>7.6E-3</v>
      </c>
      <c r="K14" s="120">
        <v>8.0999999999999996E-3</v>
      </c>
      <c r="L14" s="105">
        <v>11588</v>
      </c>
      <c r="M14" s="2">
        <v>0.82</v>
      </c>
      <c r="N14" s="2">
        <v>0.79</v>
      </c>
      <c r="O14" s="2">
        <v>0.85</v>
      </c>
      <c r="P14" s="105">
        <v>9572</v>
      </c>
      <c r="Q14" s="2">
        <v>0.68</v>
      </c>
      <c r="R14" s="2">
        <v>0.66</v>
      </c>
      <c r="S14" s="2">
        <v>0.7</v>
      </c>
    </row>
    <row r="15" spans="1:19" x14ac:dyDescent="0.35">
      <c r="A15" t="str">
        <f t="shared" si="0"/>
        <v>2018/19ScotlandFemalesAll</v>
      </c>
      <c r="B15" t="s">
        <v>32</v>
      </c>
      <c r="C15" s="105" t="s">
        <v>48</v>
      </c>
      <c r="D15" s="105" t="s">
        <v>42</v>
      </c>
      <c r="E15" s="105" t="s">
        <v>31</v>
      </c>
      <c r="F15" s="105">
        <v>14200</v>
      </c>
      <c r="G15" s="105">
        <v>13700</v>
      </c>
      <c r="H15" s="105">
        <v>14600</v>
      </c>
      <c r="I15" s="120">
        <v>7.9000000000000008E-3</v>
      </c>
      <c r="J15" s="120">
        <v>7.6E-3</v>
      </c>
      <c r="K15" s="120">
        <v>8.0999999999999996E-3</v>
      </c>
      <c r="L15" s="105">
        <v>11442</v>
      </c>
      <c r="M15" s="2">
        <v>0.81</v>
      </c>
      <c r="N15" s="2">
        <v>0.78</v>
      </c>
      <c r="O15" s="2">
        <v>0.84</v>
      </c>
      <c r="P15" s="105">
        <v>9425</v>
      </c>
      <c r="Q15" s="2">
        <v>0.66</v>
      </c>
      <c r="R15" s="2">
        <v>0.65</v>
      </c>
      <c r="S15" s="2">
        <v>0.69</v>
      </c>
    </row>
    <row r="16" spans="1:19" x14ac:dyDescent="0.35">
      <c r="A16" t="str">
        <f t="shared" si="0"/>
        <v>2019/20ScotlandFemalesAll</v>
      </c>
      <c r="B16" t="s">
        <v>32</v>
      </c>
      <c r="C16" s="105" t="s">
        <v>49</v>
      </c>
      <c r="D16" s="105" t="s">
        <v>42</v>
      </c>
      <c r="E16" s="105" t="s">
        <v>31</v>
      </c>
      <c r="F16" s="105">
        <v>14600</v>
      </c>
      <c r="G16" s="105">
        <v>14100</v>
      </c>
      <c r="H16" s="105">
        <v>15200</v>
      </c>
      <c r="I16" s="120">
        <v>8.0999999999999996E-3</v>
      </c>
      <c r="J16" s="120">
        <v>7.7999999999999996E-3</v>
      </c>
      <c r="K16" s="120">
        <v>8.3999999999999995E-3</v>
      </c>
      <c r="L16" s="105">
        <v>11388</v>
      </c>
      <c r="M16" s="2">
        <v>0.78</v>
      </c>
      <c r="N16" s="2">
        <v>0.75</v>
      </c>
      <c r="O16" s="2">
        <v>0.81</v>
      </c>
      <c r="P16" s="105">
        <v>9428</v>
      </c>
      <c r="Q16" s="2">
        <v>0.65</v>
      </c>
      <c r="R16" s="2">
        <v>0.62</v>
      </c>
      <c r="S16" s="2">
        <v>0.67</v>
      </c>
    </row>
    <row r="17" spans="1:19" x14ac:dyDescent="0.35">
      <c r="A17" t="str">
        <f t="shared" si="0"/>
        <v>2020/21ScotlandFemalesAll</v>
      </c>
      <c r="B17" t="s">
        <v>32</v>
      </c>
      <c r="C17" s="105" t="s">
        <v>124</v>
      </c>
      <c r="D17" s="105" t="s">
        <v>42</v>
      </c>
      <c r="E17" s="105" t="s">
        <v>31</v>
      </c>
      <c r="F17" s="105">
        <v>14900</v>
      </c>
      <c r="G17" s="105">
        <v>14300</v>
      </c>
      <c r="H17" s="105">
        <v>15400</v>
      </c>
      <c r="I17" s="120">
        <v>8.2000000000000007E-3</v>
      </c>
      <c r="J17" s="120">
        <v>8.0000000000000002E-3</v>
      </c>
      <c r="K17" s="120">
        <v>8.6E-3</v>
      </c>
      <c r="L17" s="105">
        <v>11359</v>
      </c>
      <c r="M17" s="2">
        <v>0.76</v>
      </c>
      <c r="N17" s="2">
        <v>0.74</v>
      </c>
      <c r="O17" s="2">
        <v>0.79</v>
      </c>
      <c r="P17" s="105">
        <v>9476</v>
      </c>
      <c r="Q17" s="2">
        <v>0.64</v>
      </c>
      <c r="R17" s="2">
        <v>0.62</v>
      </c>
      <c r="S17" s="2">
        <v>0.66</v>
      </c>
    </row>
    <row r="18" spans="1:19" x14ac:dyDescent="0.35">
      <c r="A18" t="str">
        <f t="shared" si="0"/>
        <v>2021/22ScotlandFemalesAll</v>
      </c>
      <c r="B18" t="s">
        <v>32</v>
      </c>
      <c r="C18" s="105" t="s">
        <v>125</v>
      </c>
      <c r="D18" s="105" t="s">
        <v>42</v>
      </c>
      <c r="E18" s="105" t="s">
        <v>31</v>
      </c>
      <c r="F18" s="105">
        <v>14300</v>
      </c>
      <c r="G18" s="105">
        <v>13800</v>
      </c>
      <c r="H18" s="105">
        <v>14900</v>
      </c>
      <c r="I18" s="120">
        <v>7.9000000000000008E-3</v>
      </c>
      <c r="J18" s="120">
        <v>7.6E-3</v>
      </c>
      <c r="K18" s="120">
        <v>8.3000000000000001E-3</v>
      </c>
      <c r="L18" s="105">
        <v>11223</v>
      </c>
      <c r="M18" s="2">
        <v>0.78</v>
      </c>
      <c r="N18" s="2">
        <v>0.75</v>
      </c>
      <c r="O18" s="2">
        <v>0.81</v>
      </c>
      <c r="P18" s="105">
        <v>9514</v>
      </c>
      <c r="Q18" s="2">
        <v>0.67</v>
      </c>
      <c r="R18" s="2">
        <v>0.64</v>
      </c>
      <c r="S18" s="2">
        <v>0.69</v>
      </c>
    </row>
    <row r="19" spans="1:19" x14ac:dyDescent="0.35">
      <c r="A19" t="str">
        <f t="shared" si="0"/>
        <v>2022/23ScotlandFemalesAll</v>
      </c>
      <c r="B19" t="s">
        <v>32</v>
      </c>
      <c r="C19" s="105" t="s">
        <v>126</v>
      </c>
      <c r="D19" s="105" t="s">
        <v>42</v>
      </c>
      <c r="E19" s="105" t="s">
        <v>31</v>
      </c>
      <c r="F19" s="105">
        <v>13500</v>
      </c>
      <c r="G19" s="105">
        <v>13100</v>
      </c>
      <c r="H19" s="105">
        <v>14100</v>
      </c>
      <c r="I19" s="120">
        <v>7.4999999999999997E-3</v>
      </c>
      <c r="J19" s="120">
        <v>7.3000000000000001E-3</v>
      </c>
      <c r="K19" s="120">
        <v>7.7999999999999996E-3</v>
      </c>
      <c r="L19" s="105">
        <v>11040</v>
      </c>
      <c r="M19" s="2">
        <v>0.82</v>
      </c>
      <c r="N19" s="2">
        <v>0.78</v>
      </c>
      <c r="O19" s="2">
        <v>0.84</v>
      </c>
      <c r="P19" s="105">
        <v>9274</v>
      </c>
      <c r="Q19" s="2">
        <v>0.69</v>
      </c>
      <c r="R19" s="2">
        <v>0.66</v>
      </c>
      <c r="S19" s="2">
        <v>0.71</v>
      </c>
    </row>
    <row r="20" spans="1:19" x14ac:dyDescent="0.35">
      <c r="A20" t="str">
        <f t="shared" si="0"/>
        <v>2014/15ScotlandMalesAll</v>
      </c>
      <c r="B20" t="s">
        <v>32</v>
      </c>
      <c r="C20" s="105" t="s">
        <v>39</v>
      </c>
      <c r="D20" s="105" t="s">
        <v>37</v>
      </c>
      <c r="E20" s="105" t="s">
        <v>31</v>
      </c>
      <c r="F20" s="105">
        <v>33300</v>
      </c>
      <c r="G20" s="105">
        <v>31700</v>
      </c>
      <c r="H20" s="105">
        <v>35000</v>
      </c>
      <c r="I20" s="120">
        <v>1.9199999999999998E-2</v>
      </c>
      <c r="J20" s="120">
        <v>1.83E-2</v>
      </c>
      <c r="K20" s="120">
        <v>2.0199999999999999E-2</v>
      </c>
      <c r="L20" s="105">
        <v>23487</v>
      </c>
      <c r="M20" s="2">
        <v>0.71</v>
      </c>
      <c r="N20" s="2">
        <v>0.67</v>
      </c>
      <c r="O20" s="2">
        <v>0.74</v>
      </c>
      <c r="P20" s="105">
        <v>18900</v>
      </c>
      <c r="Q20" s="2">
        <v>0.56999999999999995</v>
      </c>
      <c r="R20" s="2">
        <v>0.54</v>
      </c>
      <c r="S20" s="2">
        <v>0.6</v>
      </c>
    </row>
    <row r="21" spans="1:19" x14ac:dyDescent="0.35">
      <c r="A21" t="str">
        <f t="shared" si="0"/>
        <v>2015/16ScotlandMalesAll</v>
      </c>
      <c r="B21" t="s">
        <v>32</v>
      </c>
      <c r="C21" s="105" t="s">
        <v>44</v>
      </c>
      <c r="D21" s="105" t="s">
        <v>37</v>
      </c>
      <c r="E21" s="105" t="s">
        <v>31</v>
      </c>
      <c r="F21" s="105">
        <v>32400</v>
      </c>
      <c r="G21" s="105">
        <v>31000</v>
      </c>
      <c r="H21" s="105">
        <v>33900</v>
      </c>
      <c r="I21" s="120">
        <v>1.8599999999999998E-2</v>
      </c>
      <c r="J21" s="120">
        <v>1.78E-2</v>
      </c>
      <c r="K21" s="120">
        <v>1.95E-2</v>
      </c>
      <c r="L21" s="105">
        <v>23572</v>
      </c>
      <c r="M21" s="2">
        <v>0.73</v>
      </c>
      <c r="N21" s="2">
        <v>0.7</v>
      </c>
      <c r="O21" s="2">
        <v>0.76</v>
      </c>
      <c r="P21" s="105">
        <v>19315</v>
      </c>
      <c r="Q21" s="2">
        <v>0.6</v>
      </c>
      <c r="R21" s="2">
        <v>0.56999999999999995</v>
      </c>
      <c r="S21" s="2">
        <v>0.62</v>
      </c>
    </row>
    <row r="22" spans="1:19" x14ac:dyDescent="0.35">
      <c r="A22" t="str">
        <f t="shared" si="0"/>
        <v>2016/17ScotlandMalesAll</v>
      </c>
      <c r="B22" t="s">
        <v>32</v>
      </c>
      <c r="C22" s="105" t="s">
        <v>46</v>
      </c>
      <c r="D22" s="105" t="s">
        <v>37</v>
      </c>
      <c r="E22" s="105" t="s">
        <v>31</v>
      </c>
      <c r="F22" s="105">
        <v>31900</v>
      </c>
      <c r="G22" s="105">
        <v>30700</v>
      </c>
      <c r="H22" s="105">
        <v>33200</v>
      </c>
      <c r="I22" s="120">
        <v>1.83E-2</v>
      </c>
      <c r="J22" s="120">
        <v>1.7600000000000001E-2</v>
      </c>
      <c r="K22" s="120">
        <v>1.9E-2</v>
      </c>
      <c r="L22" s="105">
        <v>23716</v>
      </c>
      <c r="M22" s="2">
        <v>0.74</v>
      </c>
      <c r="N22" s="2">
        <v>0.71</v>
      </c>
      <c r="O22" s="2">
        <v>0.77</v>
      </c>
      <c r="P22" s="105">
        <v>19659</v>
      </c>
      <c r="Q22" s="2">
        <v>0.62</v>
      </c>
      <c r="R22" s="2">
        <v>0.59</v>
      </c>
      <c r="S22" s="2">
        <v>0.64</v>
      </c>
    </row>
    <row r="23" spans="1:19" x14ac:dyDescent="0.35">
      <c r="A23" t="str">
        <f t="shared" si="0"/>
        <v>2017/18ScotlandMalesAll</v>
      </c>
      <c r="B23" t="s">
        <v>32</v>
      </c>
      <c r="C23" s="105" t="s">
        <v>47</v>
      </c>
      <c r="D23" s="105" t="s">
        <v>37</v>
      </c>
      <c r="E23" s="105" t="s">
        <v>31</v>
      </c>
      <c r="F23" s="105">
        <v>30700</v>
      </c>
      <c r="G23" s="105">
        <v>29700</v>
      </c>
      <c r="H23" s="105">
        <v>31700</v>
      </c>
      <c r="I23" s="120">
        <v>1.7600000000000001E-2</v>
      </c>
      <c r="J23" s="120">
        <v>1.7000000000000001E-2</v>
      </c>
      <c r="K23" s="120">
        <v>1.8200000000000001E-2</v>
      </c>
      <c r="L23" s="105">
        <v>23769</v>
      </c>
      <c r="M23" s="2">
        <v>0.77</v>
      </c>
      <c r="N23" s="2">
        <v>0.75</v>
      </c>
      <c r="O23" s="2">
        <v>0.8</v>
      </c>
      <c r="P23" s="105">
        <v>19809</v>
      </c>
      <c r="Q23" s="2">
        <v>0.65</v>
      </c>
      <c r="R23" s="2">
        <v>0.62</v>
      </c>
      <c r="S23" s="2">
        <v>0.67</v>
      </c>
    </row>
    <row r="24" spans="1:19" x14ac:dyDescent="0.35">
      <c r="A24" t="str">
        <f t="shared" si="0"/>
        <v>2018/19ScotlandMalesAll</v>
      </c>
      <c r="B24" t="s">
        <v>32</v>
      </c>
      <c r="C24" s="105" t="s">
        <v>48</v>
      </c>
      <c r="D24" s="105" t="s">
        <v>37</v>
      </c>
      <c r="E24" s="105" t="s">
        <v>31</v>
      </c>
      <c r="F24" s="105">
        <v>31000</v>
      </c>
      <c r="G24" s="105">
        <v>30100</v>
      </c>
      <c r="H24" s="105">
        <v>32100</v>
      </c>
      <c r="I24" s="120">
        <v>1.78E-2</v>
      </c>
      <c r="J24" s="120">
        <v>1.72E-2</v>
      </c>
      <c r="K24" s="120">
        <v>1.84E-2</v>
      </c>
      <c r="L24" s="105">
        <v>23603</v>
      </c>
      <c r="M24" s="2">
        <v>0.76</v>
      </c>
      <c r="N24" s="2">
        <v>0.74</v>
      </c>
      <c r="O24" s="2">
        <v>0.78</v>
      </c>
      <c r="P24" s="105">
        <v>19647</v>
      </c>
      <c r="Q24" s="2">
        <v>0.63</v>
      </c>
      <c r="R24" s="2">
        <v>0.61</v>
      </c>
      <c r="S24" s="2">
        <v>0.65</v>
      </c>
    </row>
    <row r="25" spans="1:19" x14ac:dyDescent="0.35">
      <c r="A25" t="str">
        <f t="shared" si="0"/>
        <v>2019/20ScotlandMalesAll</v>
      </c>
      <c r="B25" t="s">
        <v>32</v>
      </c>
      <c r="C25" s="105" t="s">
        <v>49</v>
      </c>
      <c r="D25" s="105" t="s">
        <v>37</v>
      </c>
      <c r="E25" s="105" t="s">
        <v>31</v>
      </c>
      <c r="F25" s="105">
        <v>32500</v>
      </c>
      <c r="G25" s="105">
        <v>31300</v>
      </c>
      <c r="H25" s="105">
        <v>33700</v>
      </c>
      <c r="I25" s="120">
        <v>1.8599999999999998E-2</v>
      </c>
      <c r="J25" s="120">
        <v>1.7899999999999999E-2</v>
      </c>
      <c r="K25" s="120">
        <v>1.9300000000000001E-2</v>
      </c>
      <c r="L25" s="105">
        <v>23549</v>
      </c>
      <c r="M25" s="2">
        <v>0.72</v>
      </c>
      <c r="N25" s="2">
        <v>0.7</v>
      </c>
      <c r="O25" s="2">
        <v>0.75</v>
      </c>
      <c r="P25" s="105">
        <v>19437</v>
      </c>
      <c r="Q25" s="2">
        <v>0.6</v>
      </c>
      <c r="R25" s="2">
        <v>0.57999999999999996</v>
      </c>
      <c r="S25" s="2">
        <v>0.62</v>
      </c>
    </row>
    <row r="26" spans="1:19" x14ac:dyDescent="0.35">
      <c r="A26" t="str">
        <f t="shared" si="0"/>
        <v>2020/21ScotlandMalesAll</v>
      </c>
      <c r="B26" t="s">
        <v>32</v>
      </c>
      <c r="C26" s="105" t="s">
        <v>124</v>
      </c>
      <c r="D26" s="105" t="s">
        <v>37</v>
      </c>
      <c r="E26" s="105" t="s">
        <v>31</v>
      </c>
      <c r="F26" s="105">
        <v>33200</v>
      </c>
      <c r="G26" s="105">
        <v>32100</v>
      </c>
      <c r="H26" s="105">
        <v>34500</v>
      </c>
      <c r="I26" s="120">
        <v>1.9E-2</v>
      </c>
      <c r="J26" s="120">
        <v>1.83E-2</v>
      </c>
      <c r="K26" s="120">
        <v>1.9699999999999999E-2</v>
      </c>
      <c r="L26" s="105">
        <v>23640</v>
      </c>
      <c r="M26" s="2">
        <v>0.71</v>
      </c>
      <c r="N26" s="2">
        <v>0.69</v>
      </c>
      <c r="O26" s="2">
        <v>0.74</v>
      </c>
      <c r="P26" s="105">
        <v>19575</v>
      </c>
      <c r="Q26" s="2">
        <v>0.59</v>
      </c>
      <c r="R26" s="2">
        <v>0.56999999999999995</v>
      </c>
      <c r="S26" s="2">
        <v>0.61</v>
      </c>
    </row>
    <row r="27" spans="1:19" x14ac:dyDescent="0.35">
      <c r="A27" t="str">
        <f t="shared" si="0"/>
        <v>2021/22ScotlandMalesAll</v>
      </c>
      <c r="B27" t="s">
        <v>32</v>
      </c>
      <c r="C27" s="105" t="s">
        <v>125</v>
      </c>
      <c r="D27" s="105" t="s">
        <v>37</v>
      </c>
      <c r="E27" s="105" t="s">
        <v>31</v>
      </c>
      <c r="F27" s="105">
        <v>31800</v>
      </c>
      <c r="G27" s="105">
        <v>30600</v>
      </c>
      <c r="H27" s="105">
        <v>33200</v>
      </c>
      <c r="I27" s="120">
        <v>1.8200000000000001E-2</v>
      </c>
      <c r="J27" s="120">
        <v>1.7500000000000002E-2</v>
      </c>
      <c r="K27" s="120">
        <v>1.9E-2</v>
      </c>
      <c r="L27" s="105">
        <v>23391</v>
      </c>
      <c r="M27" s="2">
        <v>0.74</v>
      </c>
      <c r="N27" s="2">
        <v>0.7</v>
      </c>
      <c r="O27" s="2">
        <v>0.76</v>
      </c>
      <c r="P27" s="105">
        <v>19698</v>
      </c>
      <c r="Q27" s="2">
        <v>0.62</v>
      </c>
      <c r="R27" s="2">
        <v>0.59</v>
      </c>
      <c r="S27" s="2">
        <v>0.64</v>
      </c>
    </row>
    <row r="28" spans="1:19" x14ac:dyDescent="0.35">
      <c r="A28" t="str">
        <f t="shared" si="0"/>
        <v>2022/23ScotlandMalesAll</v>
      </c>
      <c r="B28" t="s">
        <v>32</v>
      </c>
      <c r="C28" s="105" t="s">
        <v>126</v>
      </c>
      <c r="D28" s="105" t="s">
        <v>37</v>
      </c>
      <c r="E28" s="105" t="s">
        <v>31</v>
      </c>
      <c r="F28" s="105">
        <v>29900</v>
      </c>
      <c r="G28" s="105">
        <v>28700</v>
      </c>
      <c r="H28" s="105">
        <v>31100</v>
      </c>
      <c r="I28" s="120">
        <v>1.7399999999999999E-2</v>
      </c>
      <c r="J28" s="120">
        <v>1.67E-2</v>
      </c>
      <c r="K28" s="120">
        <v>1.8100000000000002E-2</v>
      </c>
      <c r="L28" s="105">
        <v>23079</v>
      </c>
      <c r="M28" s="2">
        <v>0.77</v>
      </c>
      <c r="N28" s="2">
        <v>0.74</v>
      </c>
      <c r="O28" s="2">
        <v>0.8</v>
      </c>
      <c r="P28" s="105">
        <v>19302</v>
      </c>
      <c r="Q28" s="2">
        <v>0.65</v>
      </c>
      <c r="R28" s="2">
        <v>0.62</v>
      </c>
      <c r="S28" s="2">
        <v>0.67</v>
      </c>
    </row>
    <row r="29" spans="1:19" x14ac:dyDescent="0.35">
      <c r="A29" t="str">
        <f t="shared" si="0"/>
        <v>2014/15NHS Greater Glasgow &amp; ClydeAllAll</v>
      </c>
      <c r="B29" t="s">
        <v>38</v>
      </c>
      <c r="C29" s="105" t="s">
        <v>39</v>
      </c>
      <c r="D29" s="105" t="s">
        <v>31</v>
      </c>
      <c r="E29" s="105" t="s">
        <v>31</v>
      </c>
      <c r="F29" s="105">
        <v>15100</v>
      </c>
      <c r="G29" s="105">
        <v>14500</v>
      </c>
      <c r="H29" s="105">
        <v>15800</v>
      </c>
      <c r="I29" s="120">
        <v>1.95E-2</v>
      </c>
      <c r="J29" s="120">
        <v>1.8700000000000001E-2</v>
      </c>
      <c r="K29" s="120">
        <v>2.0400000000000001E-2</v>
      </c>
      <c r="L29" s="105">
        <v>11574</v>
      </c>
      <c r="M29" s="2">
        <v>0.77</v>
      </c>
      <c r="N29" s="2">
        <v>0.73</v>
      </c>
      <c r="O29" s="2">
        <v>0.8</v>
      </c>
      <c r="P29" s="105">
        <v>9472</v>
      </c>
      <c r="Q29" s="2">
        <v>0.63</v>
      </c>
      <c r="R29" s="2">
        <v>0.6</v>
      </c>
      <c r="S29" s="2">
        <v>0.65</v>
      </c>
    </row>
    <row r="30" spans="1:19" x14ac:dyDescent="0.35">
      <c r="A30" t="str">
        <f t="shared" si="0"/>
        <v>2015/16NHS Greater Glasgow &amp; ClydeAllAll</v>
      </c>
      <c r="B30" t="s">
        <v>38</v>
      </c>
      <c r="C30" s="105" t="s">
        <v>44</v>
      </c>
      <c r="D30" s="105" t="s">
        <v>31</v>
      </c>
      <c r="E30" s="105" t="s">
        <v>31</v>
      </c>
      <c r="F30" s="105">
        <v>14600</v>
      </c>
      <c r="G30" s="105">
        <v>14000</v>
      </c>
      <c r="H30" s="105">
        <v>15200</v>
      </c>
      <c r="I30" s="120">
        <v>1.8700000000000001E-2</v>
      </c>
      <c r="J30" s="120">
        <v>1.7899999999999999E-2</v>
      </c>
      <c r="K30" s="120">
        <v>1.9400000000000001E-2</v>
      </c>
      <c r="L30" s="105">
        <v>11388</v>
      </c>
      <c r="M30" s="2">
        <v>0.78</v>
      </c>
      <c r="N30" s="2">
        <v>0.75</v>
      </c>
      <c r="O30" s="2">
        <v>0.81</v>
      </c>
      <c r="P30" s="105">
        <v>9442</v>
      </c>
      <c r="Q30" s="2">
        <v>0.65</v>
      </c>
      <c r="R30" s="2">
        <v>0.62</v>
      </c>
      <c r="S30" s="2">
        <v>0.67</v>
      </c>
    </row>
    <row r="31" spans="1:19" x14ac:dyDescent="0.35">
      <c r="A31" t="str">
        <f t="shared" si="0"/>
        <v>2016/17NHS Greater Glasgow &amp; ClydeAllAll</v>
      </c>
      <c r="B31" t="s">
        <v>38</v>
      </c>
      <c r="C31" s="105" t="s">
        <v>46</v>
      </c>
      <c r="D31" s="105" t="s">
        <v>31</v>
      </c>
      <c r="E31" s="105" t="s">
        <v>31</v>
      </c>
      <c r="F31" s="105">
        <v>14200</v>
      </c>
      <c r="G31" s="105">
        <v>13700</v>
      </c>
      <c r="H31" s="105">
        <v>14800</v>
      </c>
      <c r="I31" s="120">
        <v>1.7999999999999999E-2</v>
      </c>
      <c r="J31" s="120">
        <v>1.7399999999999999E-2</v>
      </c>
      <c r="K31" s="120">
        <v>1.8700000000000001E-2</v>
      </c>
      <c r="L31" s="105">
        <v>11246</v>
      </c>
      <c r="M31" s="2">
        <v>0.79</v>
      </c>
      <c r="N31" s="2">
        <v>0.76</v>
      </c>
      <c r="O31" s="2">
        <v>0.82</v>
      </c>
      <c r="P31" s="105">
        <v>9343</v>
      </c>
      <c r="Q31" s="2">
        <v>0.66</v>
      </c>
      <c r="R31" s="2">
        <v>0.63</v>
      </c>
      <c r="S31" s="2">
        <v>0.68</v>
      </c>
    </row>
    <row r="32" spans="1:19" x14ac:dyDescent="0.35">
      <c r="A32" t="str">
        <f t="shared" si="0"/>
        <v>2017/18NHS Greater Glasgow &amp; ClydeAllAll</v>
      </c>
      <c r="B32" t="s">
        <v>38</v>
      </c>
      <c r="C32" s="105" t="s">
        <v>47</v>
      </c>
      <c r="D32" s="105" t="s">
        <v>31</v>
      </c>
      <c r="E32" s="105" t="s">
        <v>31</v>
      </c>
      <c r="F32" s="105">
        <v>13600</v>
      </c>
      <c r="G32" s="105">
        <v>13100</v>
      </c>
      <c r="H32" s="105">
        <v>14000</v>
      </c>
      <c r="I32" s="120">
        <v>1.7100000000000001E-2</v>
      </c>
      <c r="J32" s="120">
        <v>1.66E-2</v>
      </c>
      <c r="K32" s="120">
        <v>1.77E-2</v>
      </c>
      <c r="L32" s="105">
        <v>11040</v>
      </c>
      <c r="M32" s="2">
        <v>0.81</v>
      </c>
      <c r="N32" s="2">
        <v>0.79</v>
      </c>
      <c r="O32" s="2">
        <v>0.84</v>
      </c>
      <c r="P32" s="105">
        <v>9264</v>
      </c>
      <c r="Q32" s="2">
        <v>0.68</v>
      </c>
      <c r="R32" s="2">
        <v>0.66</v>
      </c>
      <c r="S32" s="2">
        <v>0.71</v>
      </c>
    </row>
    <row r="33" spans="1:19" x14ac:dyDescent="0.35">
      <c r="A33" t="str">
        <f t="shared" si="0"/>
        <v>2018/19NHS Greater Glasgow &amp; ClydeAllAll</v>
      </c>
      <c r="B33" t="s">
        <v>38</v>
      </c>
      <c r="C33" s="105" t="s">
        <v>48</v>
      </c>
      <c r="D33" s="105" t="s">
        <v>31</v>
      </c>
      <c r="E33" s="105" t="s">
        <v>31</v>
      </c>
      <c r="F33" s="105">
        <v>13500</v>
      </c>
      <c r="G33" s="105">
        <v>13100</v>
      </c>
      <c r="H33" s="105">
        <v>14000</v>
      </c>
      <c r="I33" s="120">
        <v>1.7000000000000001E-2</v>
      </c>
      <c r="J33" s="120">
        <v>1.6500000000000001E-2</v>
      </c>
      <c r="K33" s="120">
        <v>1.7600000000000001E-2</v>
      </c>
      <c r="L33" s="105">
        <v>10796</v>
      </c>
      <c r="M33" s="2">
        <v>0.8</v>
      </c>
      <c r="N33" s="2">
        <v>0.77</v>
      </c>
      <c r="O33" s="2">
        <v>0.82</v>
      </c>
      <c r="P33" s="105">
        <v>9083</v>
      </c>
      <c r="Q33" s="2">
        <v>0.67</v>
      </c>
      <c r="R33" s="2">
        <v>0.65</v>
      </c>
      <c r="S33" s="2">
        <v>0.69</v>
      </c>
    </row>
    <row r="34" spans="1:19" x14ac:dyDescent="0.35">
      <c r="A34" t="str">
        <f t="shared" si="0"/>
        <v>2019/20NHS Greater Glasgow &amp; ClydeAllAll</v>
      </c>
      <c r="B34" t="s">
        <v>38</v>
      </c>
      <c r="C34" s="105" t="s">
        <v>49</v>
      </c>
      <c r="D34" s="105" t="s">
        <v>31</v>
      </c>
      <c r="E34" s="105" t="s">
        <v>31</v>
      </c>
      <c r="F34" s="105">
        <v>13900</v>
      </c>
      <c r="G34" s="105">
        <v>13400</v>
      </c>
      <c r="H34" s="105">
        <v>14500</v>
      </c>
      <c r="I34" s="120">
        <v>1.7399999999999999E-2</v>
      </c>
      <c r="J34" s="120">
        <v>1.6799999999999999E-2</v>
      </c>
      <c r="K34" s="120">
        <v>1.8100000000000002E-2</v>
      </c>
      <c r="L34" s="105">
        <v>10640</v>
      </c>
      <c r="M34" s="2">
        <v>0.77</v>
      </c>
      <c r="N34" s="2">
        <v>0.73</v>
      </c>
      <c r="O34" s="2">
        <v>0.79</v>
      </c>
      <c r="P34" s="105">
        <v>9011</v>
      </c>
      <c r="Q34" s="2">
        <v>0.65</v>
      </c>
      <c r="R34" s="2">
        <v>0.62</v>
      </c>
      <c r="S34" s="2">
        <v>0.67</v>
      </c>
    </row>
    <row r="35" spans="1:19" x14ac:dyDescent="0.35">
      <c r="A35" t="str">
        <f t="shared" si="0"/>
        <v>2020/21NHS Greater Glasgow &amp; ClydeAllAll</v>
      </c>
      <c r="B35" t="s">
        <v>38</v>
      </c>
      <c r="C35" s="105" t="s">
        <v>124</v>
      </c>
      <c r="D35" s="105" t="s">
        <v>31</v>
      </c>
      <c r="E35" s="105" t="s">
        <v>31</v>
      </c>
      <c r="F35" s="105">
        <v>14000</v>
      </c>
      <c r="G35" s="105">
        <v>13500</v>
      </c>
      <c r="H35" s="105">
        <v>14600</v>
      </c>
      <c r="I35" s="120">
        <v>1.7500000000000002E-2</v>
      </c>
      <c r="J35" s="120">
        <v>1.6799999999999999E-2</v>
      </c>
      <c r="K35" s="120">
        <v>1.8200000000000001E-2</v>
      </c>
      <c r="L35" s="105">
        <v>10456</v>
      </c>
      <c r="M35" s="2">
        <v>0.75</v>
      </c>
      <c r="N35" s="2">
        <v>0.72</v>
      </c>
      <c r="O35" s="2">
        <v>0.77</v>
      </c>
      <c r="P35" s="105">
        <v>8892</v>
      </c>
      <c r="Q35" s="2">
        <v>0.64</v>
      </c>
      <c r="R35" s="2">
        <v>0.61</v>
      </c>
      <c r="S35" s="2">
        <v>0.66</v>
      </c>
    </row>
    <row r="36" spans="1:19" x14ac:dyDescent="0.35">
      <c r="A36" t="str">
        <f t="shared" si="0"/>
        <v>2021/22NHS Greater Glasgow &amp; ClydeAllAll</v>
      </c>
      <c r="B36" t="s">
        <v>38</v>
      </c>
      <c r="C36" s="105" t="s">
        <v>125</v>
      </c>
      <c r="D36" s="105" t="s">
        <v>31</v>
      </c>
      <c r="E36" s="105" t="s">
        <v>31</v>
      </c>
      <c r="F36" s="105">
        <v>13400</v>
      </c>
      <c r="G36" s="105">
        <v>12800</v>
      </c>
      <c r="H36" s="105">
        <v>14000</v>
      </c>
      <c r="I36" s="120">
        <v>1.67E-2</v>
      </c>
      <c r="J36" s="120">
        <v>1.6E-2</v>
      </c>
      <c r="K36" s="120">
        <v>1.7500000000000002E-2</v>
      </c>
      <c r="L36" s="105">
        <v>10232</v>
      </c>
      <c r="M36" s="2">
        <v>0.76</v>
      </c>
      <c r="N36" s="2">
        <v>0.73</v>
      </c>
      <c r="O36" s="2">
        <v>0.8</v>
      </c>
      <c r="P36" s="105">
        <v>8819</v>
      </c>
      <c r="Q36" s="2">
        <v>0.66</v>
      </c>
      <c r="R36" s="2">
        <v>0.63</v>
      </c>
      <c r="S36" s="2">
        <v>0.69</v>
      </c>
    </row>
    <row r="37" spans="1:19" x14ac:dyDescent="0.35">
      <c r="A37" t="str">
        <f t="shared" si="0"/>
        <v>2022/23NHS Greater Glasgow &amp; ClydeAllAll</v>
      </c>
      <c r="B37" t="s">
        <v>38</v>
      </c>
      <c r="C37" s="105" t="s">
        <v>126</v>
      </c>
      <c r="D37" s="105" t="s">
        <v>31</v>
      </c>
      <c r="E37" s="105" t="s">
        <v>31</v>
      </c>
      <c r="F37" s="105">
        <v>12600</v>
      </c>
      <c r="G37" s="105">
        <v>12100</v>
      </c>
      <c r="H37" s="105">
        <v>13100</v>
      </c>
      <c r="I37" s="120">
        <v>1.5800000000000002E-2</v>
      </c>
      <c r="J37" s="120">
        <v>1.52E-2</v>
      </c>
      <c r="K37" s="120">
        <v>1.6500000000000001E-2</v>
      </c>
      <c r="L37" s="105">
        <v>10013</v>
      </c>
      <c r="M37" s="2">
        <v>0.79</v>
      </c>
      <c r="N37" s="2">
        <v>0.76</v>
      </c>
      <c r="O37" s="2">
        <v>0.83</v>
      </c>
      <c r="P37" s="105">
        <v>8619</v>
      </c>
      <c r="Q37" s="2">
        <v>0.68</v>
      </c>
      <c r="R37" s="2">
        <v>0.66</v>
      </c>
      <c r="S37" s="2">
        <v>0.71</v>
      </c>
    </row>
    <row r="38" spans="1:19" x14ac:dyDescent="0.35">
      <c r="A38" t="str">
        <f t="shared" si="0"/>
        <v>2014/15NHS Greater Glasgow &amp; ClydeFemalesAll</v>
      </c>
      <c r="B38" t="s">
        <v>38</v>
      </c>
      <c r="C38" s="105" t="s">
        <v>39</v>
      </c>
      <c r="D38" s="105" t="s">
        <v>42</v>
      </c>
      <c r="E38" s="105" t="s">
        <v>31</v>
      </c>
      <c r="F38" s="105">
        <v>4600</v>
      </c>
      <c r="G38" s="105">
        <v>4400</v>
      </c>
      <c r="H38" s="105">
        <v>4800</v>
      </c>
      <c r="I38" s="120">
        <v>1.15E-2</v>
      </c>
      <c r="J38" s="120">
        <v>1.0999999999999999E-2</v>
      </c>
      <c r="K38" s="120">
        <v>1.21E-2</v>
      </c>
      <c r="L38" s="105">
        <v>3683</v>
      </c>
      <c r="M38" s="2">
        <v>0.8</v>
      </c>
      <c r="N38" s="2">
        <v>0.77</v>
      </c>
      <c r="O38" s="2">
        <v>0.84</v>
      </c>
      <c r="P38" s="105">
        <v>3019</v>
      </c>
      <c r="Q38" s="2">
        <v>0.66</v>
      </c>
      <c r="R38" s="2">
        <v>0.63</v>
      </c>
      <c r="S38" s="2">
        <v>0.69</v>
      </c>
    </row>
    <row r="39" spans="1:19" x14ac:dyDescent="0.35">
      <c r="A39" t="str">
        <f t="shared" si="0"/>
        <v>2015/16NHS Greater Glasgow &amp; ClydeFemalesAll</v>
      </c>
      <c r="B39" t="s">
        <v>38</v>
      </c>
      <c r="C39" s="105" t="s">
        <v>44</v>
      </c>
      <c r="D39" s="105" t="s">
        <v>42</v>
      </c>
      <c r="E39" s="105" t="s">
        <v>31</v>
      </c>
      <c r="F39" s="105">
        <v>4400</v>
      </c>
      <c r="G39" s="105">
        <v>4200</v>
      </c>
      <c r="H39" s="105">
        <v>4600</v>
      </c>
      <c r="I39" s="120">
        <v>1.11E-2</v>
      </c>
      <c r="J39" s="120">
        <v>1.06E-2</v>
      </c>
      <c r="K39" s="120">
        <v>1.1599999999999999E-2</v>
      </c>
      <c r="L39" s="105">
        <v>3624</v>
      </c>
      <c r="M39" s="2">
        <v>0.82</v>
      </c>
      <c r="N39" s="2">
        <v>0.79</v>
      </c>
      <c r="O39" s="2">
        <v>0.86</v>
      </c>
      <c r="P39" s="105">
        <v>2980</v>
      </c>
      <c r="Q39" s="2">
        <v>0.68</v>
      </c>
      <c r="R39" s="2">
        <v>0.65</v>
      </c>
      <c r="S39" s="2">
        <v>0.71</v>
      </c>
    </row>
    <row r="40" spans="1:19" x14ac:dyDescent="0.35">
      <c r="A40" t="str">
        <f t="shared" si="0"/>
        <v>2016/17NHS Greater Glasgow &amp; ClydeFemalesAll</v>
      </c>
      <c r="B40" t="s">
        <v>38</v>
      </c>
      <c r="C40" s="105" t="s">
        <v>46</v>
      </c>
      <c r="D40" s="105" t="s">
        <v>42</v>
      </c>
      <c r="E40" s="105" t="s">
        <v>31</v>
      </c>
      <c r="F40" s="105">
        <v>4300</v>
      </c>
      <c r="G40" s="105">
        <v>4100</v>
      </c>
      <c r="H40" s="105">
        <v>4500</v>
      </c>
      <c r="I40" s="120">
        <v>1.0699999999999999E-2</v>
      </c>
      <c r="J40" s="120">
        <v>1.0200000000000001E-2</v>
      </c>
      <c r="K40" s="120">
        <v>1.12E-2</v>
      </c>
      <c r="L40" s="105">
        <v>3543</v>
      </c>
      <c r="M40" s="2">
        <v>0.82</v>
      </c>
      <c r="N40" s="2">
        <v>0.79</v>
      </c>
      <c r="O40" s="2">
        <v>0.86</v>
      </c>
      <c r="P40" s="105">
        <v>2938</v>
      </c>
      <c r="Q40" s="2">
        <v>0.68</v>
      </c>
      <c r="R40" s="2">
        <v>0.65</v>
      </c>
      <c r="S40" s="2">
        <v>0.72</v>
      </c>
    </row>
    <row r="41" spans="1:19" x14ac:dyDescent="0.35">
      <c r="A41" t="str">
        <f t="shared" si="0"/>
        <v>2017/18NHS Greater Glasgow &amp; ClydeFemalesAll</v>
      </c>
      <c r="B41" t="s">
        <v>38</v>
      </c>
      <c r="C41" s="105" t="s">
        <v>47</v>
      </c>
      <c r="D41" s="105" t="s">
        <v>42</v>
      </c>
      <c r="E41" s="105" t="s">
        <v>31</v>
      </c>
      <c r="F41" s="105">
        <v>4100</v>
      </c>
      <c r="G41" s="105">
        <v>3900</v>
      </c>
      <c r="H41" s="105">
        <v>4200</v>
      </c>
      <c r="I41" s="120">
        <v>1.01E-2</v>
      </c>
      <c r="J41" s="120">
        <v>9.7000000000000003E-3</v>
      </c>
      <c r="K41" s="120">
        <v>1.0500000000000001E-2</v>
      </c>
      <c r="L41" s="105">
        <v>3449</v>
      </c>
      <c r="M41" s="2">
        <v>0.84</v>
      </c>
      <c r="N41" s="2">
        <v>0.82</v>
      </c>
      <c r="O41" s="2">
        <v>0.88</v>
      </c>
      <c r="P41" s="105">
        <v>2877</v>
      </c>
      <c r="Q41" s="2">
        <v>0.7</v>
      </c>
      <c r="R41" s="2">
        <v>0.69</v>
      </c>
      <c r="S41" s="2">
        <v>0.74</v>
      </c>
    </row>
    <row r="42" spans="1:19" x14ac:dyDescent="0.35">
      <c r="A42" t="str">
        <f t="shared" si="0"/>
        <v>2018/19NHS Greater Glasgow &amp; ClydeFemalesAll</v>
      </c>
      <c r="B42" t="s">
        <v>38</v>
      </c>
      <c r="C42" s="105" t="s">
        <v>48</v>
      </c>
      <c r="D42" s="105" t="s">
        <v>42</v>
      </c>
      <c r="E42" s="105" t="s">
        <v>31</v>
      </c>
      <c r="F42" s="105">
        <v>4000</v>
      </c>
      <c r="G42" s="105">
        <v>3900</v>
      </c>
      <c r="H42" s="105">
        <v>4200</v>
      </c>
      <c r="I42" s="120">
        <v>9.9000000000000008E-3</v>
      </c>
      <c r="J42" s="120">
        <v>9.4999999999999998E-3</v>
      </c>
      <c r="K42" s="120">
        <v>1.04E-2</v>
      </c>
      <c r="L42" s="105">
        <v>3349</v>
      </c>
      <c r="M42" s="2">
        <v>0.84</v>
      </c>
      <c r="N42" s="2">
        <v>0.8</v>
      </c>
      <c r="O42" s="2">
        <v>0.86</v>
      </c>
      <c r="P42" s="105">
        <v>2797</v>
      </c>
      <c r="Q42" s="2">
        <v>0.7</v>
      </c>
      <c r="R42" s="2">
        <v>0.67</v>
      </c>
      <c r="S42" s="2">
        <v>0.72</v>
      </c>
    </row>
    <row r="43" spans="1:19" x14ac:dyDescent="0.35">
      <c r="A43" t="str">
        <f t="shared" si="0"/>
        <v>2019/20NHS Greater Glasgow &amp; ClydeFemalesAll</v>
      </c>
      <c r="B43" t="s">
        <v>38</v>
      </c>
      <c r="C43" s="105" t="s">
        <v>49</v>
      </c>
      <c r="D43" s="105" t="s">
        <v>42</v>
      </c>
      <c r="E43" s="105" t="s">
        <v>31</v>
      </c>
      <c r="F43" s="105">
        <v>4100</v>
      </c>
      <c r="G43" s="105">
        <v>3900</v>
      </c>
      <c r="H43" s="105">
        <v>4300</v>
      </c>
      <c r="I43" s="120">
        <v>1.01E-2</v>
      </c>
      <c r="J43" s="120">
        <v>9.5999999999999992E-3</v>
      </c>
      <c r="K43" s="120">
        <v>1.06E-2</v>
      </c>
      <c r="L43" s="105">
        <v>3293</v>
      </c>
      <c r="M43" s="2">
        <v>0.8</v>
      </c>
      <c r="N43" s="2">
        <v>0.77</v>
      </c>
      <c r="O43" s="2">
        <v>0.84</v>
      </c>
      <c r="P43" s="105">
        <v>2783</v>
      </c>
      <c r="Q43" s="2">
        <v>0.68</v>
      </c>
      <c r="R43" s="2">
        <v>0.65</v>
      </c>
      <c r="S43" s="2">
        <v>0.71</v>
      </c>
    </row>
    <row r="44" spans="1:19" x14ac:dyDescent="0.35">
      <c r="A44" t="str">
        <f t="shared" si="0"/>
        <v>2020/21NHS Greater Glasgow &amp; ClydeFemalesAll</v>
      </c>
      <c r="B44" t="s">
        <v>38</v>
      </c>
      <c r="C44" s="105" t="s">
        <v>124</v>
      </c>
      <c r="D44" s="105" t="s">
        <v>42</v>
      </c>
      <c r="E44" s="105" t="s">
        <v>31</v>
      </c>
      <c r="F44" s="105">
        <v>4100</v>
      </c>
      <c r="G44" s="105">
        <v>3900</v>
      </c>
      <c r="H44" s="105">
        <v>4300</v>
      </c>
      <c r="I44" s="120">
        <v>1.01E-2</v>
      </c>
      <c r="J44" s="120">
        <v>9.5999999999999992E-3</v>
      </c>
      <c r="K44" s="120">
        <v>1.06E-2</v>
      </c>
      <c r="L44" s="105">
        <v>3228</v>
      </c>
      <c r="M44" s="2">
        <v>0.79</v>
      </c>
      <c r="N44" s="2">
        <v>0.75</v>
      </c>
      <c r="O44" s="2">
        <v>0.83</v>
      </c>
      <c r="P44" s="105">
        <v>2767</v>
      </c>
      <c r="Q44" s="2">
        <v>0.67</v>
      </c>
      <c r="R44" s="2">
        <v>0.64</v>
      </c>
      <c r="S44" s="2">
        <v>0.71</v>
      </c>
    </row>
    <row r="45" spans="1:19" x14ac:dyDescent="0.35">
      <c r="A45" t="str">
        <f t="shared" si="0"/>
        <v>2021/22NHS Greater Glasgow &amp; ClydeFemalesAll</v>
      </c>
      <c r="B45" t="s">
        <v>38</v>
      </c>
      <c r="C45" s="105" t="s">
        <v>125</v>
      </c>
      <c r="D45" s="105" t="s">
        <v>42</v>
      </c>
      <c r="E45" s="105" t="s">
        <v>31</v>
      </c>
      <c r="F45" s="105">
        <v>3900</v>
      </c>
      <c r="G45" s="105">
        <v>3700</v>
      </c>
      <c r="H45" s="105">
        <v>4100</v>
      </c>
      <c r="I45" s="120">
        <v>9.7000000000000003E-3</v>
      </c>
      <c r="J45" s="120">
        <v>9.1999999999999998E-3</v>
      </c>
      <c r="K45" s="120">
        <v>1.0200000000000001E-2</v>
      </c>
      <c r="L45" s="105">
        <v>3145</v>
      </c>
      <c r="M45" s="2">
        <v>0.81</v>
      </c>
      <c r="N45" s="2">
        <v>0.77</v>
      </c>
      <c r="O45" s="2">
        <v>0.85</v>
      </c>
      <c r="P45" s="105">
        <v>2734</v>
      </c>
      <c r="Q45" s="2">
        <v>0.7</v>
      </c>
      <c r="R45" s="2">
        <v>0.67</v>
      </c>
      <c r="S45" s="2">
        <v>0.74</v>
      </c>
    </row>
    <row r="46" spans="1:19" x14ac:dyDescent="0.35">
      <c r="A46" t="str">
        <f t="shared" si="0"/>
        <v>2022/23NHS Greater Glasgow &amp; ClydeFemalesAll</v>
      </c>
      <c r="B46" t="s">
        <v>38</v>
      </c>
      <c r="C46" s="105" t="s">
        <v>126</v>
      </c>
      <c r="D46" s="105" t="s">
        <v>42</v>
      </c>
      <c r="E46" s="105" t="s">
        <v>31</v>
      </c>
      <c r="F46" s="105">
        <v>3700</v>
      </c>
      <c r="G46" s="105">
        <v>3500</v>
      </c>
      <c r="H46" s="105">
        <v>3900</v>
      </c>
      <c r="I46" s="120">
        <v>9.1999999999999998E-3</v>
      </c>
      <c r="J46" s="120">
        <v>8.6999999999999994E-3</v>
      </c>
      <c r="K46" s="120">
        <v>9.5999999999999992E-3</v>
      </c>
      <c r="L46" s="105">
        <v>3070</v>
      </c>
      <c r="M46" s="2">
        <v>0.83</v>
      </c>
      <c r="N46" s="2">
        <v>0.79</v>
      </c>
      <c r="O46" s="2">
        <v>0.88</v>
      </c>
      <c r="P46" s="105">
        <v>2650</v>
      </c>
      <c r="Q46" s="2">
        <v>0.72</v>
      </c>
      <c r="R46" s="2">
        <v>0.68</v>
      </c>
      <c r="S46" s="2">
        <v>0.76</v>
      </c>
    </row>
    <row r="47" spans="1:19" x14ac:dyDescent="0.35">
      <c r="A47" t="str">
        <f t="shared" si="0"/>
        <v>2014/15NHS Greater Glasgow &amp; ClydeMalesAll</v>
      </c>
      <c r="B47" t="s">
        <v>38</v>
      </c>
      <c r="C47" s="105" t="s">
        <v>39</v>
      </c>
      <c r="D47" s="105" t="s">
        <v>37</v>
      </c>
      <c r="E47" s="105" t="s">
        <v>31</v>
      </c>
      <c r="F47" s="105">
        <v>10500</v>
      </c>
      <c r="G47" s="105">
        <v>10100</v>
      </c>
      <c r="H47" s="105">
        <v>11100</v>
      </c>
      <c r="I47" s="120">
        <v>2.7799999999999998E-2</v>
      </c>
      <c r="J47" s="120">
        <v>2.6499999999999999E-2</v>
      </c>
      <c r="K47" s="120">
        <v>2.92E-2</v>
      </c>
      <c r="L47" s="105">
        <v>7891</v>
      </c>
      <c r="M47" s="2">
        <v>0.75</v>
      </c>
      <c r="N47" s="2">
        <v>0.71</v>
      </c>
      <c r="O47" s="2">
        <v>0.78</v>
      </c>
      <c r="P47" s="105">
        <v>6453</v>
      </c>
      <c r="Q47" s="2">
        <v>0.61</v>
      </c>
      <c r="R47" s="2">
        <v>0.57999999999999996</v>
      </c>
      <c r="S47" s="2">
        <v>0.64</v>
      </c>
    </row>
    <row r="48" spans="1:19" x14ac:dyDescent="0.35">
      <c r="A48" t="str">
        <f t="shared" si="0"/>
        <v>2015/16NHS Greater Glasgow &amp; ClydeMalesAll</v>
      </c>
      <c r="B48" t="s">
        <v>38</v>
      </c>
      <c r="C48" s="105" t="s">
        <v>44</v>
      </c>
      <c r="D48" s="105" t="s">
        <v>37</v>
      </c>
      <c r="E48" s="105" t="s">
        <v>31</v>
      </c>
      <c r="F48" s="105">
        <v>10100</v>
      </c>
      <c r="G48" s="105">
        <v>9700</v>
      </c>
      <c r="H48" s="105">
        <v>10600</v>
      </c>
      <c r="I48" s="120">
        <v>2.6499999999999999E-2</v>
      </c>
      <c r="J48" s="120">
        <v>2.5399999999999999E-2</v>
      </c>
      <c r="K48" s="120">
        <v>2.7799999999999998E-2</v>
      </c>
      <c r="L48" s="105">
        <v>7764</v>
      </c>
      <c r="M48" s="2">
        <v>0.77</v>
      </c>
      <c r="N48" s="2">
        <v>0.73</v>
      </c>
      <c r="O48" s="2">
        <v>0.8</v>
      </c>
      <c r="P48" s="105">
        <v>6462</v>
      </c>
      <c r="Q48" s="2">
        <v>0.64</v>
      </c>
      <c r="R48" s="2">
        <v>0.61</v>
      </c>
      <c r="S48" s="2">
        <v>0.67</v>
      </c>
    </row>
    <row r="49" spans="1:19" x14ac:dyDescent="0.35">
      <c r="A49" t="str">
        <f t="shared" si="0"/>
        <v>2016/17NHS Greater Glasgow &amp; ClydeMalesAll</v>
      </c>
      <c r="B49" t="s">
        <v>38</v>
      </c>
      <c r="C49" s="105" t="s">
        <v>46</v>
      </c>
      <c r="D49" s="105" t="s">
        <v>37</v>
      </c>
      <c r="E49" s="105" t="s">
        <v>31</v>
      </c>
      <c r="F49" s="105">
        <v>9900</v>
      </c>
      <c r="G49" s="105">
        <v>9500</v>
      </c>
      <c r="H49" s="105">
        <v>10400</v>
      </c>
      <c r="I49" s="120">
        <v>2.5700000000000001E-2</v>
      </c>
      <c r="J49" s="120">
        <v>2.47E-2</v>
      </c>
      <c r="K49" s="120">
        <v>2.6800000000000001E-2</v>
      </c>
      <c r="L49" s="105">
        <v>7703</v>
      </c>
      <c r="M49" s="2">
        <v>0.78</v>
      </c>
      <c r="N49" s="2">
        <v>0.74</v>
      </c>
      <c r="O49" s="2">
        <v>0.81</v>
      </c>
      <c r="P49" s="105">
        <v>6405</v>
      </c>
      <c r="Q49" s="2">
        <v>0.65</v>
      </c>
      <c r="R49" s="2">
        <v>0.62</v>
      </c>
      <c r="S49" s="2">
        <v>0.67</v>
      </c>
    </row>
    <row r="50" spans="1:19" x14ac:dyDescent="0.35">
      <c r="A50" t="str">
        <f t="shared" si="0"/>
        <v>2017/18NHS Greater Glasgow &amp; ClydeMalesAll</v>
      </c>
      <c r="B50" t="s">
        <v>38</v>
      </c>
      <c r="C50" s="105" t="s">
        <v>47</v>
      </c>
      <c r="D50" s="105" t="s">
        <v>37</v>
      </c>
      <c r="E50" s="105" t="s">
        <v>31</v>
      </c>
      <c r="F50" s="105">
        <v>9500</v>
      </c>
      <c r="G50" s="105">
        <v>9100</v>
      </c>
      <c r="H50" s="105">
        <v>9800</v>
      </c>
      <c r="I50" s="120">
        <v>2.4400000000000002E-2</v>
      </c>
      <c r="J50" s="120">
        <v>2.35E-2</v>
      </c>
      <c r="K50" s="120">
        <v>2.53E-2</v>
      </c>
      <c r="L50" s="105">
        <v>7591</v>
      </c>
      <c r="M50" s="2">
        <v>0.8</v>
      </c>
      <c r="N50" s="2">
        <v>0.77</v>
      </c>
      <c r="O50" s="2">
        <v>0.83</v>
      </c>
      <c r="P50" s="105">
        <v>6387</v>
      </c>
      <c r="Q50" s="2">
        <v>0.67</v>
      </c>
      <c r="R50" s="2">
        <v>0.65</v>
      </c>
      <c r="S50" s="2">
        <v>0.7</v>
      </c>
    </row>
    <row r="51" spans="1:19" x14ac:dyDescent="0.35">
      <c r="A51" t="str">
        <f t="shared" si="0"/>
        <v>2018/19NHS Greater Glasgow &amp; ClydeMalesAll</v>
      </c>
      <c r="B51" t="s">
        <v>38</v>
      </c>
      <c r="C51" s="105" t="s">
        <v>48</v>
      </c>
      <c r="D51" s="105" t="s">
        <v>37</v>
      </c>
      <c r="E51" s="105" t="s">
        <v>31</v>
      </c>
      <c r="F51" s="105">
        <v>9500</v>
      </c>
      <c r="G51" s="105">
        <v>9200</v>
      </c>
      <c r="H51" s="105">
        <v>9900</v>
      </c>
      <c r="I51" s="120">
        <v>2.4299999999999999E-2</v>
      </c>
      <c r="J51" s="120">
        <v>2.3400000000000001E-2</v>
      </c>
      <c r="K51" s="120">
        <v>2.52E-2</v>
      </c>
      <c r="L51" s="105">
        <v>7447</v>
      </c>
      <c r="M51" s="2">
        <v>0.78</v>
      </c>
      <c r="N51" s="2">
        <v>0.75</v>
      </c>
      <c r="O51" s="2">
        <v>0.81</v>
      </c>
      <c r="P51" s="105">
        <v>6286</v>
      </c>
      <c r="Q51" s="2">
        <v>0.66</v>
      </c>
      <c r="R51" s="2">
        <v>0.63</v>
      </c>
      <c r="S51" s="2">
        <v>0.68</v>
      </c>
    </row>
    <row r="52" spans="1:19" x14ac:dyDescent="0.35">
      <c r="A52" t="str">
        <f t="shared" si="0"/>
        <v>2019/20NHS Greater Glasgow &amp; ClydeMalesAll</v>
      </c>
      <c r="B52" t="s">
        <v>38</v>
      </c>
      <c r="C52" s="105" t="s">
        <v>49</v>
      </c>
      <c r="D52" s="105" t="s">
        <v>37</v>
      </c>
      <c r="E52" s="105" t="s">
        <v>31</v>
      </c>
      <c r="F52" s="105">
        <v>9800</v>
      </c>
      <c r="G52" s="105">
        <v>9400</v>
      </c>
      <c r="H52" s="105">
        <v>10200</v>
      </c>
      <c r="I52" s="120">
        <v>2.4899999999999999E-2</v>
      </c>
      <c r="J52" s="120">
        <v>2.3900000000000001E-2</v>
      </c>
      <c r="K52" s="120">
        <v>2.5999999999999999E-2</v>
      </c>
      <c r="L52" s="105">
        <v>7347</v>
      </c>
      <c r="M52" s="2">
        <v>0.75</v>
      </c>
      <c r="N52" s="2">
        <v>0.72</v>
      </c>
      <c r="O52" s="2">
        <v>0.78</v>
      </c>
      <c r="P52" s="105">
        <v>6228</v>
      </c>
      <c r="Q52" s="2">
        <v>0.64</v>
      </c>
      <c r="R52" s="2">
        <v>0.61</v>
      </c>
      <c r="S52" s="2">
        <v>0.66</v>
      </c>
    </row>
    <row r="53" spans="1:19" x14ac:dyDescent="0.35">
      <c r="A53" t="str">
        <f t="shared" si="0"/>
        <v>2020/21NHS Greater Glasgow &amp; ClydeMalesAll</v>
      </c>
      <c r="B53" t="s">
        <v>38</v>
      </c>
      <c r="C53" s="105" t="s">
        <v>124</v>
      </c>
      <c r="D53" s="105" t="s">
        <v>37</v>
      </c>
      <c r="E53" s="105" t="s">
        <v>31</v>
      </c>
      <c r="F53" s="105">
        <v>9900</v>
      </c>
      <c r="G53" s="105">
        <v>9500</v>
      </c>
      <c r="H53" s="105">
        <v>10400</v>
      </c>
      <c r="I53" s="120">
        <v>2.5100000000000001E-2</v>
      </c>
      <c r="J53" s="120">
        <v>2.4E-2</v>
      </c>
      <c r="K53" s="120">
        <v>2.6200000000000001E-2</v>
      </c>
      <c r="L53" s="105">
        <v>7228</v>
      </c>
      <c r="M53" s="2">
        <v>0.73</v>
      </c>
      <c r="N53" s="2">
        <v>0.7</v>
      </c>
      <c r="O53" s="2">
        <v>0.76</v>
      </c>
      <c r="P53" s="105">
        <v>6125</v>
      </c>
      <c r="Q53" s="2">
        <v>0.62</v>
      </c>
      <c r="R53" s="2">
        <v>0.59</v>
      </c>
      <c r="S53" s="2">
        <v>0.64</v>
      </c>
    </row>
    <row r="54" spans="1:19" x14ac:dyDescent="0.35">
      <c r="A54" t="str">
        <f t="shared" si="0"/>
        <v>2021/22NHS Greater Glasgow &amp; ClydeMalesAll</v>
      </c>
      <c r="B54" t="s">
        <v>38</v>
      </c>
      <c r="C54" s="105" t="s">
        <v>125</v>
      </c>
      <c r="D54" s="105" t="s">
        <v>37</v>
      </c>
      <c r="E54" s="105" t="s">
        <v>31</v>
      </c>
      <c r="F54" s="105">
        <v>9500</v>
      </c>
      <c r="G54" s="105">
        <v>9000</v>
      </c>
      <c r="H54" s="105">
        <v>9900</v>
      </c>
      <c r="I54" s="120">
        <v>2.3900000000000001E-2</v>
      </c>
      <c r="J54" s="120">
        <v>2.29E-2</v>
      </c>
      <c r="K54" s="120">
        <v>2.5100000000000001E-2</v>
      </c>
      <c r="L54" s="105">
        <v>7087</v>
      </c>
      <c r="M54" s="2">
        <v>0.75</v>
      </c>
      <c r="N54" s="2">
        <v>0.72</v>
      </c>
      <c r="O54" s="2">
        <v>0.79</v>
      </c>
      <c r="P54" s="105">
        <v>6085</v>
      </c>
      <c r="Q54" s="2">
        <v>0.64</v>
      </c>
      <c r="R54" s="2">
        <v>0.61</v>
      </c>
      <c r="S54" s="2">
        <v>0.68</v>
      </c>
    </row>
    <row r="55" spans="1:19" x14ac:dyDescent="0.35">
      <c r="A55" t="str">
        <f t="shared" si="0"/>
        <v>2022/23NHS Greater Glasgow &amp; ClydeMalesAll</v>
      </c>
      <c r="B55" t="s">
        <v>38</v>
      </c>
      <c r="C55" s="105" t="s">
        <v>126</v>
      </c>
      <c r="D55" s="105" t="s">
        <v>37</v>
      </c>
      <c r="E55" s="105" t="s">
        <v>31</v>
      </c>
      <c r="F55" s="105">
        <v>8900</v>
      </c>
      <c r="G55" s="105">
        <v>8500</v>
      </c>
      <c r="H55" s="105">
        <v>9300</v>
      </c>
      <c r="I55" s="120">
        <v>2.2800000000000001E-2</v>
      </c>
      <c r="J55" s="120">
        <v>2.18E-2</v>
      </c>
      <c r="K55" s="120">
        <v>2.3800000000000002E-2</v>
      </c>
      <c r="L55" s="105">
        <v>6943</v>
      </c>
      <c r="M55" s="2">
        <v>0.78</v>
      </c>
      <c r="N55" s="2">
        <v>0.75</v>
      </c>
      <c r="O55" s="2">
        <v>0.82</v>
      </c>
      <c r="P55" s="105">
        <v>5969</v>
      </c>
      <c r="Q55" s="2">
        <v>0.67</v>
      </c>
      <c r="R55" s="2">
        <v>0.64</v>
      </c>
      <c r="S55" s="2">
        <v>0.7</v>
      </c>
    </row>
    <row r="56" spans="1:19" x14ac:dyDescent="0.35">
      <c r="A56" t="str">
        <f t="shared" si="0"/>
        <v>2014/15NHS LothianAllAll</v>
      </c>
      <c r="B56" t="s">
        <v>43</v>
      </c>
      <c r="C56" s="105" t="s">
        <v>39</v>
      </c>
      <c r="D56" s="105" t="s">
        <v>31</v>
      </c>
      <c r="E56" s="105" t="s">
        <v>31</v>
      </c>
      <c r="F56" s="105">
        <v>7600</v>
      </c>
      <c r="G56" s="105">
        <v>7200</v>
      </c>
      <c r="H56" s="105">
        <v>8000</v>
      </c>
      <c r="I56" s="120">
        <v>1.2999999999999999E-2</v>
      </c>
      <c r="J56" s="120">
        <v>1.23E-2</v>
      </c>
      <c r="K56" s="120">
        <v>1.37E-2</v>
      </c>
      <c r="L56" s="105">
        <v>5457</v>
      </c>
      <c r="M56" s="2">
        <v>0.72</v>
      </c>
      <c r="N56" s="2">
        <v>0.68</v>
      </c>
      <c r="O56" s="2">
        <v>0.76</v>
      </c>
      <c r="P56" s="105">
        <v>4542</v>
      </c>
      <c r="Q56" s="2">
        <v>0.6</v>
      </c>
      <c r="R56" s="2">
        <v>0.56999999999999995</v>
      </c>
      <c r="S56" s="2">
        <v>0.63</v>
      </c>
    </row>
    <row r="57" spans="1:19" x14ac:dyDescent="0.35">
      <c r="A57" t="str">
        <f t="shared" si="0"/>
        <v>2015/16NHS LothianAllAll</v>
      </c>
      <c r="B57" t="s">
        <v>43</v>
      </c>
      <c r="C57" s="105" t="s">
        <v>44</v>
      </c>
      <c r="D57" s="105" t="s">
        <v>31</v>
      </c>
      <c r="E57" s="105" t="s">
        <v>31</v>
      </c>
      <c r="F57" s="105">
        <v>7400</v>
      </c>
      <c r="G57" s="105">
        <v>7100</v>
      </c>
      <c r="H57" s="105">
        <v>7900</v>
      </c>
      <c r="I57" s="120">
        <v>1.26E-2</v>
      </c>
      <c r="J57" s="120">
        <v>1.2E-2</v>
      </c>
      <c r="K57" s="120">
        <v>1.3299999999999999E-2</v>
      </c>
      <c r="L57" s="105">
        <v>5526</v>
      </c>
      <c r="M57" s="2">
        <v>0.75</v>
      </c>
      <c r="N57" s="2">
        <v>0.7</v>
      </c>
      <c r="O57" s="2">
        <v>0.78</v>
      </c>
      <c r="P57" s="105">
        <v>4537</v>
      </c>
      <c r="Q57" s="2">
        <v>0.61</v>
      </c>
      <c r="R57" s="2">
        <v>0.56999999999999995</v>
      </c>
      <c r="S57" s="2">
        <v>0.64</v>
      </c>
    </row>
    <row r="58" spans="1:19" x14ac:dyDescent="0.35">
      <c r="A58" t="str">
        <f t="shared" si="0"/>
        <v>2016/17NHS LothianAllAll</v>
      </c>
      <c r="B58" t="s">
        <v>43</v>
      </c>
      <c r="C58" s="105" t="s">
        <v>46</v>
      </c>
      <c r="D58" s="105" t="s">
        <v>31</v>
      </c>
      <c r="E58" s="105" t="s">
        <v>31</v>
      </c>
      <c r="F58" s="105">
        <v>7300</v>
      </c>
      <c r="G58" s="105">
        <v>7000</v>
      </c>
      <c r="H58" s="105">
        <v>7700</v>
      </c>
      <c r="I58" s="120">
        <v>1.23E-2</v>
      </c>
      <c r="J58" s="120">
        <v>1.17E-2</v>
      </c>
      <c r="K58" s="120">
        <v>1.29E-2</v>
      </c>
      <c r="L58" s="105">
        <v>5542</v>
      </c>
      <c r="M58" s="2">
        <v>0.76</v>
      </c>
      <c r="N58" s="2">
        <v>0.72</v>
      </c>
      <c r="O58" s="2">
        <v>0.79</v>
      </c>
      <c r="P58" s="105">
        <v>4569</v>
      </c>
      <c r="Q58" s="2">
        <v>0.63</v>
      </c>
      <c r="R58" s="2">
        <v>0.59</v>
      </c>
      <c r="S58" s="2">
        <v>0.65</v>
      </c>
    </row>
    <row r="59" spans="1:19" x14ac:dyDescent="0.35">
      <c r="A59" t="str">
        <f t="shared" si="0"/>
        <v>2017/18NHS LothianAllAll</v>
      </c>
      <c r="B59" t="s">
        <v>43</v>
      </c>
      <c r="C59" s="105" t="s">
        <v>47</v>
      </c>
      <c r="D59" s="105" t="s">
        <v>31</v>
      </c>
      <c r="E59" s="105" t="s">
        <v>31</v>
      </c>
      <c r="F59" s="105">
        <v>7100</v>
      </c>
      <c r="G59" s="105">
        <v>6800</v>
      </c>
      <c r="H59" s="105">
        <v>7400</v>
      </c>
      <c r="I59" s="120">
        <v>1.18E-2</v>
      </c>
      <c r="J59" s="120">
        <v>1.1299999999999999E-2</v>
      </c>
      <c r="K59" s="120">
        <v>1.23E-2</v>
      </c>
      <c r="L59" s="105">
        <v>5596</v>
      </c>
      <c r="M59" s="2">
        <v>0.79</v>
      </c>
      <c r="N59" s="2">
        <v>0.76</v>
      </c>
      <c r="O59" s="2">
        <v>0.82</v>
      </c>
      <c r="P59" s="105">
        <v>4612</v>
      </c>
      <c r="Q59" s="2">
        <v>0.65</v>
      </c>
      <c r="R59" s="2">
        <v>0.62</v>
      </c>
      <c r="S59" s="2">
        <v>0.68</v>
      </c>
    </row>
    <row r="60" spans="1:19" x14ac:dyDescent="0.35">
      <c r="A60" t="str">
        <f t="shared" si="0"/>
        <v>2018/19NHS LothianAllAll</v>
      </c>
      <c r="B60" t="s">
        <v>43</v>
      </c>
      <c r="C60" s="105" t="s">
        <v>48</v>
      </c>
      <c r="D60" s="105" t="s">
        <v>31</v>
      </c>
      <c r="E60" s="105" t="s">
        <v>31</v>
      </c>
      <c r="F60" s="105">
        <v>7300</v>
      </c>
      <c r="G60" s="105">
        <v>7000</v>
      </c>
      <c r="H60" s="105">
        <v>7600</v>
      </c>
      <c r="I60" s="120">
        <v>1.1900000000000001E-2</v>
      </c>
      <c r="J60" s="120">
        <v>1.14E-2</v>
      </c>
      <c r="K60" s="120">
        <v>1.2500000000000001E-2</v>
      </c>
      <c r="L60" s="105">
        <v>5584</v>
      </c>
      <c r="M60" s="2">
        <v>0.76</v>
      </c>
      <c r="N60" s="2">
        <v>0.73</v>
      </c>
      <c r="O60" s="2">
        <v>0.8</v>
      </c>
      <c r="P60" s="105">
        <v>4622</v>
      </c>
      <c r="Q60" s="2">
        <v>0.63</v>
      </c>
      <c r="R60" s="2">
        <v>0.61</v>
      </c>
      <c r="S60" s="2">
        <v>0.66</v>
      </c>
    </row>
    <row r="61" spans="1:19" x14ac:dyDescent="0.35">
      <c r="A61" t="str">
        <f t="shared" si="0"/>
        <v>2019/20NHS LothianAllAll</v>
      </c>
      <c r="B61" t="s">
        <v>43</v>
      </c>
      <c r="C61" s="105" t="s">
        <v>49</v>
      </c>
      <c r="D61" s="105" t="s">
        <v>31</v>
      </c>
      <c r="E61" s="105" t="s">
        <v>31</v>
      </c>
      <c r="F61" s="105">
        <v>7600</v>
      </c>
      <c r="G61" s="105">
        <v>7300</v>
      </c>
      <c r="H61" s="105">
        <v>8000</v>
      </c>
      <c r="I61" s="120">
        <v>1.24E-2</v>
      </c>
      <c r="J61" s="120">
        <v>1.18E-2</v>
      </c>
      <c r="K61" s="120">
        <v>1.2999999999999999E-2</v>
      </c>
      <c r="L61" s="105">
        <v>5602</v>
      </c>
      <c r="M61" s="2">
        <v>0.74</v>
      </c>
      <c r="N61" s="2">
        <v>0.7</v>
      </c>
      <c r="O61" s="2">
        <v>0.77</v>
      </c>
      <c r="P61" s="105">
        <v>4752</v>
      </c>
      <c r="Q61" s="2">
        <v>0.63</v>
      </c>
      <c r="R61" s="2">
        <v>0.59</v>
      </c>
      <c r="S61" s="2">
        <v>0.65</v>
      </c>
    </row>
    <row r="62" spans="1:19" x14ac:dyDescent="0.35">
      <c r="A62" t="str">
        <f t="shared" si="0"/>
        <v>2020/21NHS LothianAllAll</v>
      </c>
      <c r="B62" t="s">
        <v>43</v>
      </c>
      <c r="C62" s="105" t="s">
        <v>124</v>
      </c>
      <c r="D62" s="105" t="s">
        <v>31</v>
      </c>
      <c r="E62" s="105" t="s">
        <v>31</v>
      </c>
      <c r="F62" s="105">
        <v>7800</v>
      </c>
      <c r="G62" s="105">
        <v>7400</v>
      </c>
      <c r="H62" s="105">
        <v>8200</v>
      </c>
      <c r="I62" s="120">
        <v>1.26E-2</v>
      </c>
      <c r="J62" s="120">
        <v>1.2E-2</v>
      </c>
      <c r="K62" s="120">
        <v>1.32E-2</v>
      </c>
      <c r="L62" s="105">
        <v>5578</v>
      </c>
      <c r="M62" s="2">
        <v>0.72</v>
      </c>
      <c r="N62" s="2">
        <v>0.68</v>
      </c>
      <c r="O62" s="2">
        <v>0.75</v>
      </c>
      <c r="P62" s="105">
        <v>4767</v>
      </c>
      <c r="Q62" s="2">
        <v>0.61</v>
      </c>
      <c r="R62" s="2">
        <v>0.57999999999999996</v>
      </c>
      <c r="S62" s="2">
        <v>0.64</v>
      </c>
    </row>
    <row r="63" spans="1:19" x14ac:dyDescent="0.35">
      <c r="A63" t="str">
        <f t="shared" si="0"/>
        <v>2021/22NHS LothianAllAll</v>
      </c>
      <c r="B63" t="s">
        <v>43</v>
      </c>
      <c r="C63" s="105" t="s">
        <v>125</v>
      </c>
      <c r="D63" s="105" t="s">
        <v>31</v>
      </c>
      <c r="E63" s="105" t="s">
        <v>31</v>
      </c>
      <c r="F63" s="105">
        <v>7400</v>
      </c>
      <c r="G63" s="105">
        <v>7100</v>
      </c>
      <c r="H63" s="105">
        <v>7800</v>
      </c>
      <c r="I63" s="120">
        <v>1.2E-2</v>
      </c>
      <c r="J63" s="120">
        <v>1.14E-2</v>
      </c>
      <c r="K63" s="120">
        <v>1.2699999999999999E-2</v>
      </c>
      <c r="L63" s="105">
        <v>5482</v>
      </c>
      <c r="M63" s="2">
        <v>0.74</v>
      </c>
      <c r="N63" s="2">
        <v>0.7</v>
      </c>
      <c r="O63" s="2">
        <v>0.77</v>
      </c>
      <c r="P63" s="105">
        <v>4622</v>
      </c>
      <c r="Q63" s="2">
        <v>0.62</v>
      </c>
      <c r="R63" s="2">
        <v>0.59</v>
      </c>
      <c r="S63" s="2">
        <v>0.65</v>
      </c>
    </row>
    <row r="64" spans="1:19" x14ac:dyDescent="0.35">
      <c r="A64" t="str">
        <f t="shared" si="0"/>
        <v>2022/23NHS LothianAllAll</v>
      </c>
      <c r="B64" t="s">
        <v>43</v>
      </c>
      <c r="C64" s="105" t="s">
        <v>126</v>
      </c>
      <c r="D64" s="105" t="s">
        <v>31</v>
      </c>
      <c r="E64" s="105" t="s">
        <v>31</v>
      </c>
      <c r="F64" s="105">
        <v>7000</v>
      </c>
      <c r="G64" s="105">
        <v>6600</v>
      </c>
      <c r="H64" s="105">
        <v>7300</v>
      </c>
      <c r="I64" s="120">
        <v>1.14E-2</v>
      </c>
      <c r="J64" s="120">
        <v>1.09E-2</v>
      </c>
      <c r="K64" s="120">
        <v>1.2E-2</v>
      </c>
      <c r="L64" s="105">
        <v>5382</v>
      </c>
      <c r="M64" s="2">
        <v>0.77</v>
      </c>
      <c r="N64" s="2">
        <v>0.74</v>
      </c>
      <c r="O64" s="2">
        <v>0.82</v>
      </c>
      <c r="P64" s="105">
        <v>4466</v>
      </c>
      <c r="Q64" s="2">
        <v>0.64</v>
      </c>
      <c r="R64" s="2">
        <v>0.61</v>
      </c>
      <c r="S64" s="2">
        <v>0.68</v>
      </c>
    </row>
    <row r="65" spans="1:19" x14ac:dyDescent="0.35">
      <c r="A65" t="str">
        <f t="shared" si="0"/>
        <v>2014/15NHS LothianFemalesAll</v>
      </c>
      <c r="B65" t="s">
        <v>43</v>
      </c>
      <c r="C65" s="105" t="s">
        <v>39</v>
      </c>
      <c r="D65" s="105" t="s">
        <v>42</v>
      </c>
      <c r="E65" s="105" t="s">
        <v>31</v>
      </c>
      <c r="F65" s="105">
        <v>2500</v>
      </c>
      <c r="G65" s="105">
        <v>2300</v>
      </c>
      <c r="H65" s="105">
        <v>2700</v>
      </c>
      <c r="I65" s="120">
        <v>8.3000000000000001E-3</v>
      </c>
      <c r="J65" s="120">
        <v>7.7999999999999996E-3</v>
      </c>
      <c r="K65" s="120">
        <v>8.8999999999999999E-3</v>
      </c>
      <c r="L65" s="105">
        <v>1836</v>
      </c>
      <c r="M65" s="2">
        <v>0.73</v>
      </c>
      <c r="N65" s="2">
        <v>0.68</v>
      </c>
      <c r="O65" s="2">
        <v>0.8</v>
      </c>
      <c r="P65" s="105">
        <v>1531</v>
      </c>
      <c r="Q65" s="2">
        <v>0.61</v>
      </c>
      <c r="R65" s="2">
        <v>0.56999999999999995</v>
      </c>
      <c r="S65" s="2">
        <v>0.67</v>
      </c>
    </row>
    <row r="66" spans="1:19" x14ac:dyDescent="0.35">
      <c r="A66" t="str">
        <f t="shared" si="0"/>
        <v>2015/16NHS LothianFemalesAll</v>
      </c>
      <c r="B66" t="s">
        <v>43</v>
      </c>
      <c r="C66" s="105" t="s">
        <v>44</v>
      </c>
      <c r="D66" s="105" t="s">
        <v>42</v>
      </c>
      <c r="E66" s="105" t="s">
        <v>31</v>
      </c>
      <c r="F66" s="105">
        <v>2400</v>
      </c>
      <c r="G66" s="105">
        <v>2300</v>
      </c>
      <c r="H66" s="105">
        <v>2600</v>
      </c>
      <c r="I66" s="120">
        <v>8.0999999999999996E-3</v>
      </c>
      <c r="J66" s="120">
        <v>7.6E-3</v>
      </c>
      <c r="K66" s="120">
        <v>8.6E-3</v>
      </c>
      <c r="L66" s="105">
        <v>1856</v>
      </c>
      <c r="M66" s="2">
        <v>0.77</v>
      </c>
      <c r="N66" s="2">
        <v>0.71</v>
      </c>
      <c r="O66" s="2">
        <v>0.81</v>
      </c>
      <c r="P66" s="105">
        <v>1521</v>
      </c>
      <c r="Q66" s="2">
        <v>0.63</v>
      </c>
      <c r="R66" s="2">
        <v>0.59</v>
      </c>
      <c r="S66" s="2">
        <v>0.66</v>
      </c>
    </row>
    <row r="67" spans="1:19" x14ac:dyDescent="0.35">
      <c r="A67" t="str">
        <f t="shared" ref="A67:A130" si="1">C67&amp;B67&amp;D67&amp;E67</f>
        <v>2016/17NHS LothianFemalesAll</v>
      </c>
      <c r="B67" t="s">
        <v>43</v>
      </c>
      <c r="C67" s="105" t="s">
        <v>46</v>
      </c>
      <c r="D67" s="105" t="s">
        <v>42</v>
      </c>
      <c r="E67" s="105" t="s">
        <v>31</v>
      </c>
      <c r="F67" s="105">
        <v>2400</v>
      </c>
      <c r="G67" s="105">
        <v>2200</v>
      </c>
      <c r="H67" s="105">
        <v>2500</v>
      </c>
      <c r="I67" s="120">
        <v>7.7999999999999996E-3</v>
      </c>
      <c r="J67" s="120">
        <v>7.4000000000000003E-3</v>
      </c>
      <c r="K67" s="120">
        <v>8.3000000000000001E-3</v>
      </c>
      <c r="L67" s="105">
        <v>1848</v>
      </c>
      <c r="M67" s="2">
        <v>0.77</v>
      </c>
      <c r="N67" s="2">
        <v>0.74</v>
      </c>
      <c r="O67" s="2">
        <v>0.84</v>
      </c>
      <c r="P67" s="105">
        <v>1513</v>
      </c>
      <c r="Q67" s="2">
        <v>0.63</v>
      </c>
      <c r="R67" s="2">
        <v>0.61</v>
      </c>
      <c r="S67" s="2">
        <v>0.69</v>
      </c>
    </row>
    <row r="68" spans="1:19" x14ac:dyDescent="0.35">
      <c r="A68" t="str">
        <f t="shared" si="1"/>
        <v>2017/18NHS LothianFemalesAll</v>
      </c>
      <c r="B68" t="s">
        <v>43</v>
      </c>
      <c r="C68" s="105" t="s">
        <v>47</v>
      </c>
      <c r="D68" s="105" t="s">
        <v>42</v>
      </c>
      <c r="E68" s="105" t="s">
        <v>31</v>
      </c>
      <c r="F68" s="105">
        <v>2300</v>
      </c>
      <c r="G68" s="105">
        <v>2200</v>
      </c>
      <c r="H68" s="105">
        <v>2400</v>
      </c>
      <c r="I68" s="120">
        <v>7.4999999999999997E-3</v>
      </c>
      <c r="J68" s="120">
        <v>7.1000000000000004E-3</v>
      </c>
      <c r="K68" s="120">
        <v>7.9000000000000008E-3</v>
      </c>
      <c r="L68" s="105">
        <v>1851</v>
      </c>
      <c r="M68" s="2">
        <v>0.8</v>
      </c>
      <c r="N68" s="2">
        <v>0.77</v>
      </c>
      <c r="O68" s="2">
        <v>0.84</v>
      </c>
      <c r="P68" s="105">
        <v>1526</v>
      </c>
      <c r="Q68" s="2">
        <v>0.66</v>
      </c>
      <c r="R68" s="2">
        <v>0.64</v>
      </c>
      <c r="S68" s="2">
        <v>0.69</v>
      </c>
    </row>
    <row r="69" spans="1:19" x14ac:dyDescent="0.35">
      <c r="A69" t="str">
        <f t="shared" si="1"/>
        <v>2018/19NHS LothianFemalesAll</v>
      </c>
      <c r="B69" t="s">
        <v>43</v>
      </c>
      <c r="C69" s="105" t="s">
        <v>48</v>
      </c>
      <c r="D69" s="105" t="s">
        <v>42</v>
      </c>
      <c r="E69" s="105" t="s">
        <v>31</v>
      </c>
      <c r="F69" s="105">
        <v>2400</v>
      </c>
      <c r="G69" s="105">
        <v>2200</v>
      </c>
      <c r="H69" s="105">
        <v>2500</v>
      </c>
      <c r="I69" s="120">
        <v>7.6E-3</v>
      </c>
      <c r="J69" s="120">
        <v>7.1999999999999998E-3</v>
      </c>
      <c r="K69" s="120">
        <v>8.0000000000000002E-3</v>
      </c>
      <c r="L69" s="105">
        <v>1849</v>
      </c>
      <c r="M69" s="2">
        <v>0.77</v>
      </c>
      <c r="N69" s="2">
        <v>0.74</v>
      </c>
      <c r="O69" s="2">
        <v>0.84</v>
      </c>
      <c r="P69" s="105">
        <v>1525</v>
      </c>
      <c r="Q69" s="2">
        <v>0.64</v>
      </c>
      <c r="R69" s="2">
        <v>0.61</v>
      </c>
      <c r="S69" s="2">
        <v>0.69</v>
      </c>
    </row>
    <row r="70" spans="1:19" x14ac:dyDescent="0.35">
      <c r="A70" t="str">
        <f t="shared" si="1"/>
        <v>2019/20NHS LothianFemalesAll</v>
      </c>
      <c r="B70" t="s">
        <v>43</v>
      </c>
      <c r="C70" s="105" t="s">
        <v>49</v>
      </c>
      <c r="D70" s="105" t="s">
        <v>42</v>
      </c>
      <c r="E70" s="105" t="s">
        <v>31</v>
      </c>
      <c r="F70" s="105">
        <v>2500</v>
      </c>
      <c r="G70" s="105">
        <v>2300</v>
      </c>
      <c r="H70" s="105">
        <v>2600</v>
      </c>
      <c r="I70" s="120">
        <v>7.9000000000000008E-3</v>
      </c>
      <c r="J70" s="120">
        <v>7.4000000000000003E-3</v>
      </c>
      <c r="K70" s="120">
        <v>8.3999999999999995E-3</v>
      </c>
      <c r="L70" s="105">
        <v>1860</v>
      </c>
      <c r="M70" s="2">
        <v>0.74</v>
      </c>
      <c r="N70" s="2">
        <v>0.72</v>
      </c>
      <c r="O70" s="2">
        <v>0.81</v>
      </c>
      <c r="P70" s="105">
        <v>1575</v>
      </c>
      <c r="Q70" s="2">
        <v>0.63</v>
      </c>
      <c r="R70" s="2">
        <v>0.61</v>
      </c>
      <c r="S70" s="2">
        <v>0.68</v>
      </c>
    </row>
    <row r="71" spans="1:19" x14ac:dyDescent="0.35">
      <c r="A71" t="str">
        <f t="shared" si="1"/>
        <v>2020/21NHS LothianFemalesAll</v>
      </c>
      <c r="B71" t="s">
        <v>43</v>
      </c>
      <c r="C71" s="105" t="s">
        <v>124</v>
      </c>
      <c r="D71" s="105" t="s">
        <v>42</v>
      </c>
      <c r="E71" s="105" t="s">
        <v>31</v>
      </c>
      <c r="F71" s="105">
        <v>2500</v>
      </c>
      <c r="G71" s="105">
        <v>2300</v>
      </c>
      <c r="H71" s="105">
        <v>2700</v>
      </c>
      <c r="I71" s="120">
        <v>7.9000000000000008E-3</v>
      </c>
      <c r="J71" s="120">
        <v>7.4000000000000003E-3</v>
      </c>
      <c r="K71" s="120">
        <v>8.5000000000000006E-3</v>
      </c>
      <c r="L71" s="105">
        <v>1831</v>
      </c>
      <c r="M71" s="2">
        <v>0.73</v>
      </c>
      <c r="N71" s="2">
        <v>0.68</v>
      </c>
      <c r="O71" s="2">
        <v>0.8</v>
      </c>
      <c r="P71" s="105">
        <v>1563</v>
      </c>
      <c r="Q71" s="2">
        <v>0.63</v>
      </c>
      <c r="R71" s="2">
        <v>0.57999999999999996</v>
      </c>
      <c r="S71" s="2">
        <v>0.68</v>
      </c>
    </row>
    <row r="72" spans="1:19" x14ac:dyDescent="0.35">
      <c r="A72" t="str">
        <f t="shared" si="1"/>
        <v>2021/22NHS LothianFemalesAll</v>
      </c>
      <c r="B72" t="s">
        <v>43</v>
      </c>
      <c r="C72" s="105" t="s">
        <v>125</v>
      </c>
      <c r="D72" s="105" t="s">
        <v>42</v>
      </c>
      <c r="E72" s="105" t="s">
        <v>31</v>
      </c>
      <c r="F72" s="105">
        <v>2400</v>
      </c>
      <c r="G72" s="105">
        <v>2200</v>
      </c>
      <c r="H72" s="105">
        <v>2600</v>
      </c>
      <c r="I72" s="120">
        <v>7.6E-3</v>
      </c>
      <c r="J72" s="120">
        <v>7.1000000000000004E-3</v>
      </c>
      <c r="K72" s="120">
        <v>8.0999999999999996E-3</v>
      </c>
      <c r="L72" s="105">
        <v>1809</v>
      </c>
      <c r="M72" s="2">
        <v>0.75</v>
      </c>
      <c r="N72" s="2">
        <v>0.7</v>
      </c>
      <c r="O72" s="2">
        <v>0.82</v>
      </c>
      <c r="P72" s="105">
        <v>1526</v>
      </c>
      <c r="Q72" s="2">
        <v>0.64</v>
      </c>
      <c r="R72" s="2">
        <v>0.59</v>
      </c>
      <c r="S72" s="2">
        <v>0.69</v>
      </c>
    </row>
    <row r="73" spans="1:19" x14ac:dyDescent="0.35">
      <c r="A73" t="str">
        <f t="shared" si="1"/>
        <v>2022/23NHS LothianFemalesAll</v>
      </c>
      <c r="B73" t="s">
        <v>43</v>
      </c>
      <c r="C73" s="105" t="s">
        <v>126</v>
      </c>
      <c r="D73" s="105" t="s">
        <v>42</v>
      </c>
      <c r="E73" s="105" t="s">
        <v>31</v>
      </c>
      <c r="F73" s="105">
        <v>2200</v>
      </c>
      <c r="G73" s="105">
        <v>2100</v>
      </c>
      <c r="H73" s="105">
        <v>2400</v>
      </c>
      <c r="I73" s="120">
        <v>7.1999999999999998E-3</v>
      </c>
      <c r="J73" s="120">
        <v>6.7000000000000002E-3</v>
      </c>
      <c r="K73" s="120">
        <v>7.7000000000000002E-3</v>
      </c>
      <c r="L73" s="105">
        <v>1767</v>
      </c>
      <c r="M73" s="2">
        <v>0.8</v>
      </c>
      <c r="N73" s="2">
        <v>0.74</v>
      </c>
      <c r="O73" s="2">
        <v>0.84</v>
      </c>
      <c r="P73" s="105">
        <v>1452</v>
      </c>
      <c r="Q73" s="2">
        <v>0.66</v>
      </c>
      <c r="R73" s="2">
        <v>0.61</v>
      </c>
      <c r="S73" s="2">
        <v>0.69</v>
      </c>
    </row>
    <row r="74" spans="1:19" x14ac:dyDescent="0.35">
      <c r="A74" t="str">
        <f t="shared" si="1"/>
        <v>2014/15NHS LothianMalesAll</v>
      </c>
      <c r="B74" t="s">
        <v>43</v>
      </c>
      <c r="C74" s="105" t="s">
        <v>39</v>
      </c>
      <c r="D74" s="105" t="s">
        <v>37</v>
      </c>
      <c r="E74" s="105" t="s">
        <v>31</v>
      </c>
      <c r="F74" s="105">
        <v>5100</v>
      </c>
      <c r="G74" s="105">
        <v>4800</v>
      </c>
      <c r="H74" s="105">
        <v>5400</v>
      </c>
      <c r="I74" s="120">
        <v>1.78E-2</v>
      </c>
      <c r="J74" s="120">
        <v>1.67E-2</v>
      </c>
      <c r="K74" s="120">
        <v>1.89E-2</v>
      </c>
      <c r="L74" s="105">
        <v>3621</v>
      </c>
      <c r="M74">
        <v>0.71</v>
      </c>
      <c r="N74">
        <v>0.67</v>
      </c>
      <c r="O74">
        <v>0.75</v>
      </c>
      <c r="P74" s="105">
        <v>3011</v>
      </c>
      <c r="Q74">
        <v>0.59</v>
      </c>
      <c r="R74">
        <v>0.56000000000000005</v>
      </c>
      <c r="S74">
        <v>0.63</v>
      </c>
    </row>
    <row r="75" spans="1:19" x14ac:dyDescent="0.35">
      <c r="A75" t="str">
        <f t="shared" si="1"/>
        <v>2015/16NHS LothianMalesAll</v>
      </c>
      <c r="B75" t="s">
        <v>43</v>
      </c>
      <c r="C75" s="105" t="s">
        <v>44</v>
      </c>
      <c r="D75" s="105" t="s">
        <v>37</v>
      </c>
      <c r="E75" s="105" t="s">
        <v>31</v>
      </c>
      <c r="F75" s="105">
        <v>5000</v>
      </c>
      <c r="G75" s="105">
        <v>4700</v>
      </c>
      <c r="H75" s="105">
        <v>5300</v>
      </c>
      <c r="I75" s="120">
        <v>1.7299999999999999E-2</v>
      </c>
      <c r="J75" s="120">
        <v>1.6299999999999999E-2</v>
      </c>
      <c r="K75" s="120">
        <v>1.83E-2</v>
      </c>
      <c r="L75" s="105">
        <v>3670</v>
      </c>
      <c r="M75">
        <v>0.73</v>
      </c>
      <c r="N75">
        <v>0.69</v>
      </c>
      <c r="O75">
        <v>0.78</v>
      </c>
      <c r="P75" s="105">
        <v>3016</v>
      </c>
      <c r="Q75">
        <v>0.6</v>
      </c>
      <c r="R75">
        <v>0.56999999999999995</v>
      </c>
      <c r="S75">
        <v>0.64</v>
      </c>
    </row>
    <row r="76" spans="1:19" x14ac:dyDescent="0.35">
      <c r="A76" t="str">
        <f t="shared" si="1"/>
        <v>2016/17NHS LothianMalesAll</v>
      </c>
      <c r="B76" t="s">
        <v>43</v>
      </c>
      <c r="C76" s="105" t="s">
        <v>46</v>
      </c>
      <c r="D76" s="105" t="s">
        <v>37</v>
      </c>
      <c r="E76" s="105" t="s">
        <v>31</v>
      </c>
      <c r="F76" s="105">
        <v>5000</v>
      </c>
      <c r="G76" s="105">
        <v>4700</v>
      </c>
      <c r="H76" s="105">
        <v>5200</v>
      </c>
      <c r="I76" s="120">
        <v>1.6899999999999998E-2</v>
      </c>
      <c r="J76" s="120">
        <v>1.6E-2</v>
      </c>
      <c r="K76" s="120">
        <v>1.78E-2</v>
      </c>
      <c r="L76" s="105">
        <v>3694</v>
      </c>
      <c r="M76">
        <v>0.74</v>
      </c>
      <c r="N76">
        <v>0.71</v>
      </c>
      <c r="O76">
        <v>0.79</v>
      </c>
      <c r="P76" s="105">
        <v>3056</v>
      </c>
      <c r="Q76">
        <v>0.61</v>
      </c>
      <c r="R76">
        <v>0.59</v>
      </c>
      <c r="S76">
        <v>0.65</v>
      </c>
    </row>
    <row r="77" spans="1:19" x14ac:dyDescent="0.35">
      <c r="A77" t="str">
        <f t="shared" si="1"/>
        <v>2017/18NHS LothianMalesAll</v>
      </c>
      <c r="B77" t="s">
        <v>43</v>
      </c>
      <c r="C77" s="105" t="s">
        <v>47</v>
      </c>
      <c r="D77" s="105" t="s">
        <v>37</v>
      </c>
      <c r="E77" s="105" t="s">
        <v>31</v>
      </c>
      <c r="F77" s="105">
        <v>4800</v>
      </c>
      <c r="G77" s="105">
        <v>4600</v>
      </c>
      <c r="H77" s="105">
        <v>5000</v>
      </c>
      <c r="I77" s="120">
        <v>1.6199999999999999E-2</v>
      </c>
      <c r="J77" s="120">
        <v>1.55E-2</v>
      </c>
      <c r="K77" s="120">
        <v>1.7000000000000001E-2</v>
      </c>
      <c r="L77" s="105">
        <v>3745</v>
      </c>
      <c r="M77">
        <v>0.78</v>
      </c>
      <c r="N77">
        <v>0.75</v>
      </c>
      <c r="O77">
        <v>0.81</v>
      </c>
      <c r="P77" s="105">
        <v>3086</v>
      </c>
      <c r="Q77">
        <v>0.64</v>
      </c>
      <c r="R77">
        <v>0.62</v>
      </c>
      <c r="S77">
        <v>0.67</v>
      </c>
    </row>
    <row r="78" spans="1:19" x14ac:dyDescent="0.35">
      <c r="A78" t="str">
        <f t="shared" si="1"/>
        <v>2018/19NHS LothianMalesAll</v>
      </c>
      <c r="B78" t="s">
        <v>43</v>
      </c>
      <c r="C78" s="105" t="s">
        <v>48</v>
      </c>
      <c r="D78" s="105" t="s">
        <v>37</v>
      </c>
      <c r="E78" s="105" t="s">
        <v>31</v>
      </c>
      <c r="F78" s="105">
        <v>4900</v>
      </c>
      <c r="G78" s="105">
        <v>4700</v>
      </c>
      <c r="H78" s="105">
        <v>5100</v>
      </c>
      <c r="I78" s="120">
        <v>1.6400000000000001E-2</v>
      </c>
      <c r="J78" s="120">
        <v>1.5699999999999999E-2</v>
      </c>
      <c r="K78" s="120">
        <v>1.72E-2</v>
      </c>
      <c r="L78" s="105">
        <v>3735</v>
      </c>
      <c r="M78">
        <v>0.76</v>
      </c>
      <c r="N78">
        <v>0.73</v>
      </c>
      <c r="O78">
        <v>0.79</v>
      </c>
      <c r="P78" s="105">
        <v>3097</v>
      </c>
      <c r="Q78">
        <v>0.63</v>
      </c>
      <c r="R78">
        <v>0.61</v>
      </c>
      <c r="S78">
        <v>0.66</v>
      </c>
    </row>
    <row r="79" spans="1:19" x14ac:dyDescent="0.35">
      <c r="A79" t="str">
        <f t="shared" si="1"/>
        <v>2019/20NHS LothianMalesAll</v>
      </c>
      <c r="B79" t="s">
        <v>43</v>
      </c>
      <c r="C79" s="105" t="s">
        <v>49</v>
      </c>
      <c r="D79" s="105" t="s">
        <v>37</v>
      </c>
      <c r="E79" s="105" t="s">
        <v>31</v>
      </c>
      <c r="F79" s="105">
        <v>5100</v>
      </c>
      <c r="G79" s="105">
        <v>4900</v>
      </c>
      <c r="H79" s="105">
        <v>5400</v>
      </c>
      <c r="I79" s="120">
        <v>1.7000000000000001E-2</v>
      </c>
      <c r="J79" s="120">
        <v>1.6199999999999999E-2</v>
      </c>
      <c r="K79" s="120">
        <v>1.7999999999999999E-2</v>
      </c>
      <c r="L79" s="105">
        <v>3742</v>
      </c>
      <c r="M79">
        <v>0.73</v>
      </c>
      <c r="N79">
        <v>0.69</v>
      </c>
      <c r="O79">
        <v>0.76</v>
      </c>
      <c r="P79" s="105">
        <v>3177</v>
      </c>
      <c r="Q79">
        <v>0.62</v>
      </c>
      <c r="R79">
        <v>0.59</v>
      </c>
      <c r="S79">
        <v>0.65</v>
      </c>
    </row>
    <row r="80" spans="1:19" x14ac:dyDescent="0.35">
      <c r="A80" t="str">
        <f t="shared" si="1"/>
        <v>2020/21NHS LothianMalesAll</v>
      </c>
      <c r="B80" t="s">
        <v>43</v>
      </c>
      <c r="C80" s="105" t="s">
        <v>124</v>
      </c>
      <c r="D80" s="105" t="s">
        <v>37</v>
      </c>
      <c r="E80" s="105" t="s">
        <v>31</v>
      </c>
      <c r="F80" s="105">
        <v>5300</v>
      </c>
      <c r="G80" s="105">
        <v>5000</v>
      </c>
      <c r="H80" s="105">
        <v>5600</v>
      </c>
      <c r="I80" s="120">
        <v>1.7399999999999999E-2</v>
      </c>
      <c r="J80" s="120">
        <v>1.6500000000000001E-2</v>
      </c>
      <c r="K80" s="120">
        <v>1.84E-2</v>
      </c>
      <c r="L80" s="105">
        <v>3747</v>
      </c>
      <c r="M80">
        <v>0.71</v>
      </c>
      <c r="N80">
        <v>0.67</v>
      </c>
      <c r="O80">
        <v>0.75</v>
      </c>
      <c r="P80" s="105">
        <v>3204</v>
      </c>
      <c r="Q80">
        <v>0.6</v>
      </c>
      <c r="R80">
        <v>0.56999999999999995</v>
      </c>
      <c r="S80">
        <v>0.64</v>
      </c>
    </row>
    <row r="81" spans="1:19" x14ac:dyDescent="0.35">
      <c r="A81" t="str">
        <f t="shared" si="1"/>
        <v>2021/22NHS LothianMalesAll</v>
      </c>
      <c r="B81" t="s">
        <v>43</v>
      </c>
      <c r="C81" s="105" t="s">
        <v>125</v>
      </c>
      <c r="D81" s="105" t="s">
        <v>37</v>
      </c>
      <c r="E81" s="105" t="s">
        <v>31</v>
      </c>
      <c r="F81" s="105">
        <v>5000</v>
      </c>
      <c r="G81" s="105">
        <v>4800</v>
      </c>
      <c r="H81" s="105">
        <v>5300</v>
      </c>
      <c r="I81" s="120">
        <v>1.66E-2</v>
      </c>
      <c r="J81" s="120">
        <v>1.5699999999999999E-2</v>
      </c>
      <c r="K81" s="120">
        <v>1.7500000000000002E-2</v>
      </c>
      <c r="L81" s="105">
        <v>3673</v>
      </c>
      <c r="M81">
        <v>0.73</v>
      </c>
      <c r="N81">
        <v>0.69</v>
      </c>
      <c r="O81">
        <v>0.77</v>
      </c>
      <c r="P81" s="105">
        <v>3096</v>
      </c>
      <c r="Q81">
        <v>0.62</v>
      </c>
      <c r="R81">
        <v>0.57999999999999996</v>
      </c>
      <c r="S81">
        <v>0.65</v>
      </c>
    </row>
    <row r="82" spans="1:19" x14ac:dyDescent="0.35">
      <c r="A82" t="str">
        <f t="shared" si="1"/>
        <v>2022/23NHS LothianMalesAll</v>
      </c>
      <c r="B82" t="s">
        <v>43</v>
      </c>
      <c r="C82" s="105" t="s">
        <v>126</v>
      </c>
      <c r="D82" s="105" t="s">
        <v>37</v>
      </c>
      <c r="E82" s="105" t="s">
        <v>31</v>
      </c>
      <c r="F82" s="105">
        <v>4700</v>
      </c>
      <c r="G82" s="105">
        <v>4500</v>
      </c>
      <c r="H82" s="105">
        <v>5000</v>
      </c>
      <c r="I82" s="120">
        <v>1.5900000000000001E-2</v>
      </c>
      <c r="J82" s="120">
        <v>1.5100000000000001E-2</v>
      </c>
      <c r="K82" s="120">
        <v>1.6799999999999999E-2</v>
      </c>
      <c r="L82" s="105">
        <v>3615</v>
      </c>
      <c r="M82">
        <v>0.77</v>
      </c>
      <c r="N82">
        <v>0.72</v>
      </c>
      <c r="O82">
        <v>0.8</v>
      </c>
      <c r="P82" s="105">
        <v>3014</v>
      </c>
      <c r="Q82">
        <v>0.64</v>
      </c>
      <c r="R82">
        <v>0.6</v>
      </c>
      <c r="S82">
        <v>0.67</v>
      </c>
    </row>
    <row r="83" spans="1:19" x14ac:dyDescent="0.35">
      <c r="A83" t="str">
        <f t="shared" si="1"/>
        <v>2014/15NHS LanarkshireAllAll</v>
      </c>
      <c r="B83" t="s">
        <v>127</v>
      </c>
      <c r="C83" s="105" t="s">
        <v>39</v>
      </c>
      <c r="D83" s="105" t="s">
        <v>31</v>
      </c>
      <c r="E83" s="105" t="s">
        <v>31</v>
      </c>
      <c r="F83" s="105">
        <v>5500</v>
      </c>
      <c r="G83" s="105">
        <v>5100</v>
      </c>
      <c r="H83" s="105">
        <v>5900</v>
      </c>
      <c r="I83" s="120">
        <v>1.2699999999999999E-2</v>
      </c>
      <c r="J83" s="120">
        <v>1.1900000000000001E-2</v>
      </c>
      <c r="K83" s="120">
        <v>1.38E-2</v>
      </c>
      <c r="L83" s="105">
        <v>3558</v>
      </c>
      <c r="M83">
        <v>0.65</v>
      </c>
      <c r="N83">
        <v>0.6</v>
      </c>
      <c r="O83">
        <v>0.7</v>
      </c>
      <c r="P83" s="105">
        <v>2891</v>
      </c>
      <c r="Q83">
        <v>0.53</v>
      </c>
      <c r="R83">
        <v>0.49</v>
      </c>
      <c r="S83">
        <v>0.56999999999999995</v>
      </c>
    </row>
    <row r="84" spans="1:19" x14ac:dyDescent="0.35">
      <c r="A84" t="str">
        <f t="shared" si="1"/>
        <v>2015/16NHS LanarkshireAllAll</v>
      </c>
      <c r="B84" t="s">
        <v>127</v>
      </c>
      <c r="C84" s="105" t="s">
        <v>44</v>
      </c>
      <c r="D84" s="105" t="s">
        <v>31</v>
      </c>
      <c r="E84" s="105" t="s">
        <v>31</v>
      </c>
      <c r="F84" s="105">
        <v>5300</v>
      </c>
      <c r="G84" s="105">
        <v>4900</v>
      </c>
      <c r="H84" s="105">
        <v>5700</v>
      </c>
      <c r="I84" s="120">
        <v>1.23E-2</v>
      </c>
      <c r="J84" s="120">
        <v>1.15E-2</v>
      </c>
      <c r="K84" s="120">
        <v>1.32E-2</v>
      </c>
      <c r="L84" s="105">
        <v>3569</v>
      </c>
      <c r="M84">
        <v>0.67</v>
      </c>
      <c r="N84">
        <v>0.63</v>
      </c>
      <c r="O84">
        <v>0.73</v>
      </c>
      <c r="P84" s="105">
        <v>2907</v>
      </c>
      <c r="Q84">
        <v>0.55000000000000004</v>
      </c>
      <c r="R84">
        <v>0.51</v>
      </c>
      <c r="S84">
        <v>0.59</v>
      </c>
    </row>
    <row r="85" spans="1:19" x14ac:dyDescent="0.35">
      <c r="A85" t="str">
        <f t="shared" si="1"/>
        <v>2016/17NHS LanarkshireAllAll</v>
      </c>
      <c r="B85" t="s">
        <v>127</v>
      </c>
      <c r="C85" s="105" t="s">
        <v>46</v>
      </c>
      <c r="D85" s="105" t="s">
        <v>31</v>
      </c>
      <c r="E85" s="105" t="s">
        <v>31</v>
      </c>
      <c r="F85" s="105">
        <v>5100</v>
      </c>
      <c r="G85" s="105">
        <v>4800</v>
      </c>
      <c r="H85" s="105">
        <v>5500</v>
      </c>
      <c r="I85" s="120">
        <v>1.2E-2</v>
      </c>
      <c r="J85" s="120">
        <v>1.1299999999999999E-2</v>
      </c>
      <c r="K85" s="120">
        <v>1.2699999999999999E-2</v>
      </c>
      <c r="L85" s="105">
        <v>3580</v>
      </c>
      <c r="M85">
        <v>0.7</v>
      </c>
      <c r="N85">
        <v>0.65</v>
      </c>
      <c r="O85">
        <v>0.75</v>
      </c>
      <c r="P85" s="105">
        <v>2924</v>
      </c>
      <c r="Q85">
        <v>0.56999999999999995</v>
      </c>
      <c r="R85">
        <v>0.53</v>
      </c>
      <c r="S85">
        <v>0.61</v>
      </c>
    </row>
    <row r="86" spans="1:19" x14ac:dyDescent="0.35">
      <c r="A86" t="str">
        <f t="shared" si="1"/>
        <v>2017/18NHS LanarkshireAllAll</v>
      </c>
      <c r="B86" t="s">
        <v>127</v>
      </c>
      <c r="C86" s="105" t="s">
        <v>47</v>
      </c>
      <c r="D86" s="105" t="s">
        <v>31</v>
      </c>
      <c r="E86" s="105" t="s">
        <v>31</v>
      </c>
      <c r="F86" s="105">
        <v>5000</v>
      </c>
      <c r="G86" s="105">
        <v>4700</v>
      </c>
      <c r="H86" s="105">
        <v>5200</v>
      </c>
      <c r="I86" s="120">
        <v>1.15E-2</v>
      </c>
      <c r="J86" s="120">
        <v>1.09E-2</v>
      </c>
      <c r="K86" s="120">
        <v>1.2200000000000001E-2</v>
      </c>
      <c r="L86" s="105">
        <v>3617</v>
      </c>
      <c r="M86">
        <v>0.72</v>
      </c>
      <c r="N86">
        <v>0.7</v>
      </c>
      <c r="O86">
        <v>0.77</v>
      </c>
      <c r="P86" s="105">
        <v>2910</v>
      </c>
      <c r="Q86">
        <v>0.57999999999999996</v>
      </c>
      <c r="R86">
        <v>0.56000000000000005</v>
      </c>
      <c r="S86">
        <v>0.62</v>
      </c>
    </row>
    <row r="87" spans="1:19" x14ac:dyDescent="0.35">
      <c r="A87" t="str">
        <f t="shared" si="1"/>
        <v>2018/19NHS LanarkshireAllAll</v>
      </c>
      <c r="B87" t="s">
        <v>127</v>
      </c>
      <c r="C87" s="105" t="s">
        <v>48</v>
      </c>
      <c r="D87" s="105" t="s">
        <v>31</v>
      </c>
      <c r="E87" s="105" t="s">
        <v>31</v>
      </c>
      <c r="F87" s="105">
        <v>5100</v>
      </c>
      <c r="G87" s="105">
        <v>4800</v>
      </c>
      <c r="H87" s="105">
        <v>5300</v>
      </c>
      <c r="I87" s="120">
        <v>1.18E-2</v>
      </c>
      <c r="J87" s="120">
        <v>1.12E-2</v>
      </c>
      <c r="K87" s="120">
        <v>1.2500000000000001E-2</v>
      </c>
      <c r="L87" s="105">
        <v>3634</v>
      </c>
      <c r="M87">
        <v>0.71</v>
      </c>
      <c r="N87">
        <v>0.69</v>
      </c>
      <c r="O87">
        <v>0.76</v>
      </c>
      <c r="P87" s="105">
        <v>2942</v>
      </c>
      <c r="Q87">
        <v>0.57999999999999996</v>
      </c>
      <c r="R87">
        <v>0.56000000000000005</v>
      </c>
      <c r="S87">
        <v>0.61</v>
      </c>
    </row>
    <row r="88" spans="1:19" x14ac:dyDescent="0.35">
      <c r="A88" t="str">
        <f t="shared" si="1"/>
        <v>2019/20NHS LanarkshireAllAll</v>
      </c>
      <c r="B88" t="s">
        <v>127</v>
      </c>
      <c r="C88" s="105" t="s">
        <v>49</v>
      </c>
      <c r="D88" s="105" t="s">
        <v>31</v>
      </c>
      <c r="E88" s="105" t="s">
        <v>31</v>
      </c>
      <c r="F88" s="105">
        <v>5300</v>
      </c>
      <c r="G88" s="105">
        <v>5000</v>
      </c>
      <c r="H88" s="105">
        <v>5700</v>
      </c>
      <c r="I88" s="120">
        <v>1.24E-2</v>
      </c>
      <c r="J88" s="120">
        <v>1.17E-2</v>
      </c>
      <c r="K88" s="120">
        <v>1.32E-2</v>
      </c>
      <c r="L88" s="105">
        <v>3615</v>
      </c>
      <c r="M88">
        <v>0.68</v>
      </c>
      <c r="N88">
        <v>0.63</v>
      </c>
      <c r="O88">
        <v>0.72</v>
      </c>
      <c r="P88" s="105">
        <v>2729</v>
      </c>
      <c r="Q88">
        <v>0.51</v>
      </c>
      <c r="R88">
        <v>0.48</v>
      </c>
      <c r="S88">
        <v>0.55000000000000004</v>
      </c>
    </row>
    <row r="89" spans="1:19" x14ac:dyDescent="0.35">
      <c r="A89" t="str">
        <f t="shared" si="1"/>
        <v>2020/21NHS LanarkshireAllAll</v>
      </c>
      <c r="B89" t="s">
        <v>127</v>
      </c>
      <c r="C89" s="105" t="s">
        <v>124</v>
      </c>
      <c r="D89" s="105" t="s">
        <v>31</v>
      </c>
      <c r="E89" s="105" t="s">
        <v>31</v>
      </c>
      <c r="F89" s="105">
        <v>5400</v>
      </c>
      <c r="G89" s="105">
        <v>5100</v>
      </c>
      <c r="H89" s="105">
        <v>5800</v>
      </c>
      <c r="I89" s="120">
        <v>1.2699999999999999E-2</v>
      </c>
      <c r="J89" s="120">
        <v>1.1900000000000001E-2</v>
      </c>
      <c r="K89" s="120">
        <v>1.35E-2</v>
      </c>
      <c r="L89" s="105">
        <v>3597</v>
      </c>
      <c r="M89">
        <v>0.67</v>
      </c>
      <c r="N89">
        <v>0.62</v>
      </c>
      <c r="O89">
        <v>0.71</v>
      </c>
      <c r="P89" s="105">
        <v>2644</v>
      </c>
      <c r="Q89">
        <v>0.49</v>
      </c>
      <c r="R89">
        <v>0.46</v>
      </c>
      <c r="S89">
        <v>0.52</v>
      </c>
    </row>
    <row r="90" spans="1:19" x14ac:dyDescent="0.35">
      <c r="A90" t="str">
        <f t="shared" si="1"/>
        <v>2021/22NHS LanarkshireAllAll</v>
      </c>
      <c r="B90" t="s">
        <v>127</v>
      </c>
      <c r="C90" s="105" t="s">
        <v>125</v>
      </c>
      <c r="D90" s="105" t="s">
        <v>31</v>
      </c>
      <c r="E90" s="105" t="s">
        <v>31</v>
      </c>
      <c r="F90" s="105">
        <v>5200</v>
      </c>
      <c r="G90" s="105">
        <v>4800</v>
      </c>
      <c r="H90" s="105">
        <v>5500</v>
      </c>
      <c r="I90" s="120">
        <v>1.2E-2</v>
      </c>
      <c r="J90" s="120">
        <v>1.1299999999999999E-2</v>
      </c>
      <c r="K90" s="120">
        <v>1.2800000000000001E-2</v>
      </c>
      <c r="L90" s="105">
        <v>3558</v>
      </c>
      <c r="M90">
        <v>0.68</v>
      </c>
      <c r="N90">
        <v>0.65</v>
      </c>
      <c r="O90">
        <v>0.74</v>
      </c>
      <c r="P90" s="105">
        <v>2875</v>
      </c>
      <c r="Q90">
        <v>0.55000000000000004</v>
      </c>
      <c r="R90">
        <v>0.52</v>
      </c>
      <c r="S90">
        <v>0.6</v>
      </c>
    </row>
    <row r="91" spans="1:19" x14ac:dyDescent="0.35">
      <c r="A91" t="str">
        <f t="shared" si="1"/>
        <v>2022/23NHS LanarkshireAllAll</v>
      </c>
      <c r="B91" t="s">
        <v>127</v>
      </c>
      <c r="C91" s="105" t="s">
        <v>126</v>
      </c>
      <c r="D91" s="105" t="s">
        <v>31</v>
      </c>
      <c r="E91" s="105" t="s">
        <v>31</v>
      </c>
      <c r="F91" s="105">
        <v>4800</v>
      </c>
      <c r="G91" s="105">
        <v>4500</v>
      </c>
      <c r="H91" s="105">
        <v>5100</v>
      </c>
      <c r="I91" s="120">
        <v>1.11E-2</v>
      </c>
      <c r="J91" s="120">
        <v>1.0500000000000001E-2</v>
      </c>
      <c r="K91" s="120">
        <v>1.18E-2</v>
      </c>
      <c r="L91" s="105">
        <v>3507</v>
      </c>
      <c r="M91">
        <v>0.73</v>
      </c>
      <c r="N91">
        <v>0.69</v>
      </c>
      <c r="O91">
        <v>0.78</v>
      </c>
      <c r="P91" s="105">
        <v>2827</v>
      </c>
      <c r="Q91">
        <v>0.59</v>
      </c>
      <c r="R91">
        <v>0.55000000000000004</v>
      </c>
      <c r="S91">
        <v>0.63</v>
      </c>
    </row>
    <row r="92" spans="1:19" x14ac:dyDescent="0.35">
      <c r="A92" t="str">
        <f t="shared" si="1"/>
        <v>2014/15NHS LanarkshireFemalesAll</v>
      </c>
      <c r="B92" t="s">
        <v>127</v>
      </c>
      <c r="C92" s="105" t="s">
        <v>39</v>
      </c>
      <c r="D92" s="105" t="s">
        <v>42</v>
      </c>
      <c r="E92" s="105" t="s">
        <v>31</v>
      </c>
      <c r="F92" s="105">
        <v>1700</v>
      </c>
      <c r="G92" s="105">
        <v>1600</v>
      </c>
      <c r="H92" s="105">
        <v>1900</v>
      </c>
      <c r="I92" s="120">
        <v>7.7000000000000002E-3</v>
      </c>
      <c r="J92" s="120">
        <v>7.1000000000000004E-3</v>
      </c>
      <c r="K92" s="120">
        <v>8.3999999999999995E-3</v>
      </c>
      <c r="L92" s="105">
        <v>1165</v>
      </c>
      <c r="M92">
        <v>0.69</v>
      </c>
      <c r="N92">
        <v>0.61</v>
      </c>
      <c r="O92">
        <v>0.73</v>
      </c>
      <c r="P92" s="105">
        <v>976</v>
      </c>
      <c r="Q92">
        <v>0.56999999999999995</v>
      </c>
      <c r="R92">
        <v>0.51</v>
      </c>
      <c r="S92">
        <v>0.61</v>
      </c>
    </row>
    <row r="93" spans="1:19" x14ac:dyDescent="0.35">
      <c r="A93" t="str">
        <f t="shared" si="1"/>
        <v>2015/16NHS LanarkshireFemalesAll</v>
      </c>
      <c r="B93" t="s">
        <v>127</v>
      </c>
      <c r="C93" s="105" t="s">
        <v>44</v>
      </c>
      <c r="D93" s="105" t="s">
        <v>42</v>
      </c>
      <c r="E93" s="105" t="s">
        <v>31</v>
      </c>
      <c r="F93" s="105">
        <v>1600</v>
      </c>
      <c r="G93" s="105">
        <v>1500</v>
      </c>
      <c r="H93" s="105">
        <v>1800</v>
      </c>
      <c r="I93" s="120">
        <v>7.4999999999999997E-3</v>
      </c>
      <c r="J93" s="120">
        <v>6.8999999999999999E-3</v>
      </c>
      <c r="K93" s="120">
        <v>8.0999999999999996E-3</v>
      </c>
      <c r="L93" s="105">
        <v>1167</v>
      </c>
      <c r="M93">
        <v>0.73</v>
      </c>
      <c r="N93">
        <v>0.65</v>
      </c>
      <c r="O93">
        <v>0.78</v>
      </c>
      <c r="P93" s="105">
        <v>925</v>
      </c>
      <c r="Q93">
        <v>0.57999999999999996</v>
      </c>
      <c r="R93">
        <v>0.51</v>
      </c>
      <c r="S93">
        <v>0.62</v>
      </c>
    </row>
    <row r="94" spans="1:19" x14ac:dyDescent="0.35">
      <c r="A94" t="str">
        <f t="shared" si="1"/>
        <v>2016/17NHS LanarkshireFemalesAll</v>
      </c>
      <c r="B94" t="s">
        <v>127</v>
      </c>
      <c r="C94" s="105" t="s">
        <v>46</v>
      </c>
      <c r="D94" s="105" t="s">
        <v>42</v>
      </c>
      <c r="E94" s="105" t="s">
        <v>31</v>
      </c>
      <c r="F94" s="105">
        <v>1600</v>
      </c>
      <c r="G94" s="105">
        <v>1500</v>
      </c>
      <c r="H94" s="105">
        <v>1700</v>
      </c>
      <c r="I94" s="120">
        <v>7.1999999999999998E-3</v>
      </c>
      <c r="J94" s="120">
        <v>6.7000000000000002E-3</v>
      </c>
      <c r="K94" s="120">
        <v>7.7999999999999996E-3</v>
      </c>
      <c r="L94" s="105">
        <v>1158</v>
      </c>
      <c r="M94">
        <v>0.72</v>
      </c>
      <c r="N94">
        <v>0.68</v>
      </c>
      <c r="O94">
        <v>0.77</v>
      </c>
      <c r="P94" s="105">
        <v>933</v>
      </c>
      <c r="Q94">
        <v>0.57999999999999996</v>
      </c>
      <c r="R94">
        <v>0.55000000000000004</v>
      </c>
      <c r="S94">
        <v>0.62</v>
      </c>
    </row>
    <row r="95" spans="1:19" x14ac:dyDescent="0.35">
      <c r="A95" t="str">
        <f t="shared" si="1"/>
        <v>2017/18NHS LanarkshireFemalesAll</v>
      </c>
      <c r="B95" t="s">
        <v>127</v>
      </c>
      <c r="C95" s="105" t="s">
        <v>47</v>
      </c>
      <c r="D95" s="105" t="s">
        <v>42</v>
      </c>
      <c r="E95" s="105" t="s">
        <v>31</v>
      </c>
      <c r="F95" s="105">
        <v>1500</v>
      </c>
      <c r="G95" s="105">
        <v>1400</v>
      </c>
      <c r="H95" s="105">
        <v>1700</v>
      </c>
      <c r="I95" s="120">
        <v>7.0000000000000001E-3</v>
      </c>
      <c r="J95" s="120">
        <v>6.4999999999999997E-3</v>
      </c>
      <c r="K95" s="120">
        <v>7.4999999999999997E-3</v>
      </c>
      <c r="L95" s="105">
        <v>1171</v>
      </c>
      <c r="M95">
        <v>0.78</v>
      </c>
      <c r="N95">
        <v>0.69</v>
      </c>
      <c r="O95">
        <v>0.84</v>
      </c>
      <c r="P95" s="105">
        <v>931</v>
      </c>
      <c r="Q95">
        <v>0.62</v>
      </c>
      <c r="R95">
        <v>0.55000000000000004</v>
      </c>
      <c r="S95">
        <v>0.67</v>
      </c>
    </row>
    <row r="96" spans="1:19" x14ac:dyDescent="0.35">
      <c r="A96" t="str">
        <f t="shared" si="1"/>
        <v>2018/19NHS LanarkshireFemalesAll</v>
      </c>
      <c r="B96" t="s">
        <v>127</v>
      </c>
      <c r="C96" s="105" t="s">
        <v>48</v>
      </c>
      <c r="D96" s="105" t="s">
        <v>42</v>
      </c>
      <c r="E96" s="105" t="s">
        <v>31</v>
      </c>
      <c r="F96" s="105">
        <v>1600</v>
      </c>
      <c r="G96" s="105">
        <v>1500</v>
      </c>
      <c r="H96" s="105">
        <v>1700</v>
      </c>
      <c r="I96" s="120">
        <v>7.1000000000000004E-3</v>
      </c>
      <c r="J96" s="120">
        <v>6.7000000000000002E-3</v>
      </c>
      <c r="K96" s="120">
        <v>7.7000000000000002E-3</v>
      </c>
      <c r="L96" s="105">
        <v>1172</v>
      </c>
      <c r="M96">
        <v>0.73</v>
      </c>
      <c r="N96">
        <v>0.69</v>
      </c>
      <c r="O96">
        <v>0.78</v>
      </c>
      <c r="P96" s="105">
        <v>935</v>
      </c>
      <c r="Q96">
        <v>0.57999999999999996</v>
      </c>
      <c r="R96">
        <v>0.55000000000000004</v>
      </c>
      <c r="S96">
        <v>0.62</v>
      </c>
    </row>
    <row r="97" spans="1:19" x14ac:dyDescent="0.35">
      <c r="A97" t="str">
        <f t="shared" si="1"/>
        <v>2019/20NHS LanarkshireFemalesAll</v>
      </c>
      <c r="B97" t="s">
        <v>127</v>
      </c>
      <c r="C97" s="105" t="s">
        <v>49</v>
      </c>
      <c r="D97" s="105" t="s">
        <v>42</v>
      </c>
      <c r="E97" s="105" t="s">
        <v>31</v>
      </c>
      <c r="F97" s="105">
        <v>1600</v>
      </c>
      <c r="G97" s="105">
        <v>1500</v>
      </c>
      <c r="H97" s="105">
        <v>1800</v>
      </c>
      <c r="I97" s="120">
        <v>7.4000000000000003E-3</v>
      </c>
      <c r="J97" s="120">
        <v>6.8999999999999999E-3</v>
      </c>
      <c r="K97" s="120">
        <v>8.0000000000000002E-3</v>
      </c>
      <c r="L97" s="105">
        <v>1160</v>
      </c>
      <c r="M97">
        <v>0.73</v>
      </c>
      <c r="N97">
        <v>0.64</v>
      </c>
      <c r="O97">
        <v>0.77</v>
      </c>
      <c r="P97" s="105">
        <v>871</v>
      </c>
      <c r="Q97">
        <v>0.54</v>
      </c>
      <c r="R97">
        <v>0.48</v>
      </c>
      <c r="S97">
        <v>0.57999999999999996</v>
      </c>
    </row>
    <row r="98" spans="1:19" x14ac:dyDescent="0.35">
      <c r="A98" t="str">
        <f t="shared" si="1"/>
        <v>2020/21NHS LanarkshireFemalesAll</v>
      </c>
      <c r="B98" t="s">
        <v>127</v>
      </c>
      <c r="C98" s="105" t="s">
        <v>124</v>
      </c>
      <c r="D98" s="105" t="s">
        <v>42</v>
      </c>
      <c r="E98" s="105" t="s">
        <v>31</v>
      </c>
      <c r="F98" s="105">
        <v>1700</v>
      </c>
      <c r="G98" s="105">
        <v>1500</v>
      </c>
      <c r="H98" s="105">
        <v>1800</v>
      </c>
      <c r="I98" s="120">
        <v>7.6E-3</v>
      </c>
      <c r="J98" s="120">
        <v>7.0000000000000001E-3</v>
      </c>
      <c r="K98" s="120">
        <v>8.2000000000000007E-3</v>
      </c>
      <c r="L98" s="105">
        <v>1153</v>
      </c>
      <c r="M98">
        <v>0.68</v>
      </c>
      <c r="N98">
        <v>0.64</v>
      </c>
      <c r="O98">
        <v>0.77</v>
      </c>
      <c r="P98" s="105">
        <v>829</v>
      </c>
      <c r="Q98">
        <v>0.49</v>
      </c>
      <c r="R98">
        <v>0.46</v>
      </c>
      <c r="S98">
        <v>0.55000000000000004</v>
      </c>
    </row>
    <row r="99" spans="1:19" x14ac:dyDescent="0.35">
      <c r="A99" t="str">
        <f t="shared" si="1"/>
        <v>2021/22NHS LanarkshireFemalesAll</v>
      </c>
      <c r="B99" t="s">
        <v>127</v>
      </c>
      <c r="C99" s="105" t="s">
        <v>125</v>
      </c>
      <c r="D99" s="105" t="s">
        <v>42</v>
      </c>
      <c r="E99" s="105" t="s">
        <v>31</v>
      </c>
      <c r="F99" s="105">
        <v>1600</v>
      </c>
      <c r="G99" s="105">
        <v>1500</v>
      </c>
      <c r="H99" s="105">
        <v>1700</v>
      </c>
      <c r="I99" s="120">
        <v>7.1999999999999998E-3</v>
      </c>
      <c r="J99" s="120">
        <v>6.7000000000000002E-3</v>
      </c>
      <c r="K99" s="120">
        <v>7.7999999999999996E-3</v>
      </c>
      <c r="L99" s="105">
        <v>1136</v>
      </c>
      <c r="M99">
        <v>0.71</v>
      </c>
      <c r="N99">
        <v>0.67</v>
      </c>
      <c r="O99">
        <v>0.76</v>
      </c>
      <c r="P99" s="105">
        <v>904</v>
      </c>
      <c r="Q99">
        <v>0.56999999999999995</v>
      </c>
      <c r="R99">
        <v>0.53</v>
      </c>
      <c r="S99">
        <v>0.6</v>
      </c>
    </row>
    <row r="100" spans="1:19" x14ac:dyDescent="0.35">
      <c r="A100" t="str">
        <f t="shared" si="1"/>
        <v>2022/23NHS LanarkshireFemalesAll</v>
      </c>
      <c r="B100" t="s">
        <v>127</v>
      </c>
      <c r="C100" s="105" t="s">
        <v>126</v>
      </c>
      <c r="D100" s="105" t="s">
        <v>42</v>
      </c>
      <c r="E100" s="105" t="s">
        <v>31</v>
      </c>
      <c r="F100" s="105">
        <v>1500</v>
      </c>
      <c r="G100" s="105">
        <v>1400</v>
      </c>
      <c r="H100" s="105">
        <v>1600</v>
      </c>
      <c r="I100" s="120">
        <v>6.7000000000000002E-3</v>
      </c>
      <c r="J100" s="120">
        <v>6.3E-3</v>
      </c>
      <c r="K100" s="120">
        <v>7.3000000000000001E-3</v>
      </c>
      <c r="L100" s="105">
        <v>1132</v>
      </c>
      <c r="M100">
        <v>0.75</v>
      </c>
      <c r="N100">
        <v>0.71</v>
      </c>
      <c r="O100">
        <v>0.81</v>
      </c>
      <c r="P100" s="105">
        <v>894</v>
      </c>
      <c r="Q100">
        <v>0.6</v>
      </c>
      <c r="R100">
        <v>0.56000000000000005</v>
      </c>
      <c r="S100">
        <v>0.64</v>
      </c>
    </row>
    <row r="101" spans="1:19" x14ac:dyDescent="0.35">
      <c r="A101" t="str">
        <f t="shared" si="1"/>
        <v>2014/15NHS LanarkshireMalesAll</v>
      </c>
      <c r="B101" t="s">
        <v>127</v>
      </c>
      <c r="C101" s="105" t="s">
        <v>39</v>
      </c>
      <c r="D101" s="105" t="s">
        <v>37</v>
      </c>
      <c r="E101" s="105" t="s">
        <v>31</v>
      </c>
      <c r="F101" s="105">
        <v>3800</v>
      </c>
      <c r="G101" s="105">
        <v>3500</v>
      </c>
      <c r="H101" s="105">
        <v>4100</v>
      </c>
      <c r="I101" s="120">
        <v>1.7999999999999999E-2</v>
      </c>
      <c r="J101" s="120">
        <v>1.67E-2</v>
      </c>
      <c r="K101" s="120">
        <v>1.95E-2</v>
      </c>
      <c r="L101" s="105">
        <v>2393</v>
      </c>
      <c r="M101">
        <v>0.63</v>
      </c>
      <c r="N101">
        <v>0.57999999999999996</v>
      </c>
      <c r="O101">
        <v>0.68</v>
      </c>
      <c r="P101" s="105">
        <v>1915</v>
      </c>
      <c r="Q101">
        <v>0.5</v>
      </c>
      <c r="R101">
        <v>0.47</v>
      </c>
      <c r="S101">
        <v>0.55000000000000004</v>
      </c>
    </row>
    <row r="102" spans="1:19" x14ac:dyDescent="0.35">
      <c r="A102" t="str">
        <f t="shared" si="1"/>
        <v>2015/16NHS LanarkshireMalesAll</v>
      </c>
      <c r="B102" t="s">
        <v>127</v>
      </c>
      <c r="C102" s="105" t="s">
        <v>44</v>
      </c>
      <c r="D102" s="105" t="s">
        <v>37</v>
      </c>
      <c r="E102" s="105" t="s">
        <v>31</v>
      </c>
      <c r="F102" s="105">
        <v>3600</v>
      </c>
      <c r="G102" s="105">
        <v>3400</v>
      </c>
      <c r="H102" s="105">
        <v>3900</v>
      </c>
      <c r="I102" s="120">
        <v>1.7399999999999999E-2</v>
      </c>
      <c r="J102" s="120">
        <v>1.61E-2</v>
      </c>
      <c r="K102" s="120">
        <v>1.8700000000000001E-2</v>
      </c>
      <c r="L102" s="105">
        <v>2402</v>
      </c>
      <c r="M102">
        <v>0.67</v>
      </c>
      <c r="N102">
        <v>0.62</v>
      </c>
      <c r="O102">
        <v>0.71</v>
      </c>
      <c r="P102" s="105">
        <v>1982</v>
      </c>
      <c r="Q102">
        <v>0.55000000000000004</v>
      </c>
      <c r="R102">
        <v>0.51</v>
      </c>
      <c r="S102">
        <v>0.57999999999999996</v>
      </c>
    </row>
    <row r="103" spans="1:19" x14ac:dyDescent="0.35">
      <c r="A103" t="str">
        <f t="shared" si="1"/>
        <v>2016/17NHS LanarkshireMalesAll</v>
      </c>
      <c r="B103" t="s">
        <v>127</v>
      </c>
      <c r="C103" s="105" t="s">
        <v>46</v>
      </c>
      <c r="D103" s="105" t="s">
        <v>37</v>
      </c>
      <c r="E103" s="105" t="s">
        <v>31</v>
      </c>
      <c r="F103" s="105">
        <v>3600</v>
      </c>
      <c r="G103" s="105">
        <v>3300</v>
      </c>
      <c r="H103" s="105">
        <v>3800</v>
      </c>
      <c r="I103" s="120">
        <v>1.6899999999999998E-2</v>
      </c>
      <c r="J103" s="120">
        <v>1.5900000000000001E-2</v>
      </c>
      <c r="K103" s="120">
        <v>1.8100000000000002E-2</v>
      </c>
      <c r="L103" s="105">
        <v>2422</v>
      </c>
      <c r="M103">
        <v>0.67</v>
      </c>
      <c r="N103">
        <v>0.64</v>
      </c>
      <c r="O103">
        <v>0.73</v>
      </c>
      <c r="P103" s="105">
        <v>1991</v>
      </c>
      <c r="Q103">
        <v>0.55000000000000004</v>
      </c>
      <c r="R103">
        <v>0.52</v>
      </c>
      <c r="S103">
        <v>0.6</v>
      </c>
    </row>
    <row r="104" spans="1:19" x14ac:dyDescent="0.35">
      <c r="A104" t="str">
        <f t="shared" si="1"/>
        <v>2017/18NHS LanarkshireMalesAll</v>
      </c>
      <c r="B104" t="s">
        <v>127</v>
      </c>
      <c r="C104" s="105" t="s">
        <v>47</v>
      </c>
      <c r="D104" s="105" t="s">
        <v>37</v>
      </c>
      <c r="E104" s="105" t="s">
        <v>31</v>
      </c>
      <c r="F104" s="105">
        <v>3400</v>
      </c>
      <c r="G104" s="105">
        <v>3200</v>
      </c>
      <c r="H104" s="105">
        <v>3600</v>
      </c>
      <c r="I104" s="120">
        <v>1.6299999999999999E-2</v>
      </c>
      <c r="J104" s="120">
        <v>1.5299999999999999E-2</v>
      </c>
      <c r="K104" s="120">
        <v>1.7299999999999999E-2</v>
      </c>
      <c r="L104" s="105">
        <v>2446</v>
      </c>
      <c r="M104">
        <v>0.72</v>
      </c>
      <c r="N104">
        <v>0.68</v>
      </c>
      <c r="O104">
        <v>0.76</v>
      </c>
      <c r="P104" s="105">
        <v>1979</v>
      </c>
      <c r="Q104">
        <v>0.57999999999999996</v>
      </c>
      <c r="R104">
        <v>0.55000000000000004</v>
      </c>
      <c r="S104">
        <v>0.62</v>
      </c>
    </row>
    <row r="105" spans="1:19" x14ac:dyDescent="0.35">
      <c r="A105" t="str">
        <f t="shared" si="1"/>
        <v>2018/19NHS LanarkshireMalesAll</v>
      </c>
      <c r="B105" t="s">
        <v>127</v>
      </c>
      <c r="C105" s="105" t="s">
        <v>48</v>
      </c>
      <c r="D105" s="105" t="s">
        <v>37</v>
      </c>
      <c r="E105" s="105" t="s">
        <v>31</v>
      </c>
      <c r="F105" s="105">
        <v>3500</v>
      </c>
      <c r="G105" s="105">
        <v>3300</v>
      </c>
      <c r="H105" s="105">
        <v>3700</v>
      </c>
      <c r="I105" s="120">
        <v>1.67E-2</v>
      </c>
      <c r="J105" s="120">
        <v>1.5699999999999999E-2</v>
      </c>
      <c r="K105" s="120">
        <v>1.77E-2</v>
      </c>
      <c r="L105" s="105">
        <v>2462</v>
      </c>
      <c r="M105">
        <v>0.7</v>
      </c>
      <c r="N105">
        <v>0.67</v>
      </c>
      <c r="O105">
        <v>0.75</v>
      </c>
      <c r="P105" s="105">
        <v>2007</v>
      </c>
      <c r="Q105">
        <v>0.56999999999999995</v>
      </c>
      <c r="R105">
        <v>0.54</v>
      </c>
      <c r="S105">
        <v>0.61</v>
      </c>
    </row>
    <row r="106" spans="1:19" x14ac:dyDescent="0.35">
      <c r="A106" t="str">
        <f t="shared" si="1"/>
        <v>2019/20NHS LanarkshireMalesAll</v>
      </c>
      <c r="B106" t="s">
        <v>127</v>
      </c>
      <c r="C106" s="105" t="s">
        <v>49</v>
      </c>
      <c r="D106" s="105" t="s">
        <v>37</v>
      </c>
      <c r="E106" s="105" t="s">
        <v>31</v>
      </c>
      <c r="F106" s="105">
        <v>3700</v>
      </c>
      <c r="G106" s="105">
        <v>3500</v>
      </c>
      <c r="H106" s="105">
        <v>3900</v>
      </c>
      <c r="I106" s="120">
        <v>1.7600000000000001E-2</v>
      </c>
      <c r="J106" s="120">
        <v>1.6500000000000001E-2</v>
      </c>
      <c r="K106" s="120">
        <v>1.8800000000000001E-2</v>
      </c>
      <c r="L106" s="105">
        <v>2455</v>
      </c>
      <c r="M106">
        <v>0.66</v>
      </c>
      <c r="N106">
        <v>0.63</v>
      </c>
      <c r="O106">
        <v>0.7</v>
      </c>
      <c r="P106" s="105">
        <v>1858</v>
      </c>
      <c r="Q106">
        <v>0.5</v>
      </c>
      <c r="R106">
        <v>0.48</v>
      </c>
      <c r="S106">
        <v>0.53</v>
      </c>
    </row>
    <row r="107" spans="1:19" x14ac:dyDescent="0.35">
      <c r="A107" t="str">
        <f t="shared" si="1"/>
        <v>2020/21NHS LanarkshireMalesAll</v>
      </c>
      <c r="B107" t="s">
        <v>127</v>
      </c>
      <c r="C107" s="105" t="s">
        <v>124</v>
      </c>
      <c r="D107" s="105" t="s">
        <v>37</v>
      </c>
      <c r="E107" s="105" t="s">
        <v>31</v>
      </c>
      <c r="F107" s="105">
        <v>3800</v>
      </c>
      <c r="G107" s="105">
        <v>3500</v>
      </c>
      <c r="H107" s="105">
        <v>4000</v>
      </c>
      <c r="I107" s="120">
        <v>1.7999999999999999E-2</v>
      </c>
      <c r="J107" s="120">
        <v>1.6899999999999998E-2</v>
      </c>
      <c r="K107" s="120">
        <v>1.9199999999999998E-2</v>
      </c>
      <c r="L107" s="105">
        <v>2444</v>
      </c>
      <c r="M107">
        <v>0.64</v>
      </c>
      <c r="N107">
        <v>0.61</v>
      </c>
      <c r="O107">
        <v>0.7</v>
      </c>
      <c r="P107" s="105">
        <v>1815</v>
      </c>
      <c r="Q107">
        <v>0.48</v>
      </c>
      <c r="R107">
        <v>0.45</v>
      </c>
      <c r="S107">
        <v>0.52</v>
      </c>
    </row>
    <row r="108" spans="1:19" x14ac:dyDescent="0.35">
      <c r="A108" t="str">
        <f t="shared" si="1"/>
        <v>2021/22NHS LanarkshireMalesAll</v>
      </c>
      <c r="B108" t="s">
        <v>127</v>
      </c>
      <c r="C108" s="105" t="s">
        <v>125</v>
      </c>
      <c r="D108" s="105" t="s">
        <v>37</v>
      </c>
      <c r="E108" s="105" t="s">
        <v>31</v>
      </c>
      <c r="F108" s="105">
        <v>3600</v>
      </c>
      <c r="G108" s="105">
        <v>3300</v>
      </c>
      <c r="H108" s="105">
        <v>3800</v>
      </c>
      <c r="I108" s="120">
        <v>1.7000000000000001E-2</v>
      </c>
      <c r="J108" s="120">
        <v>1.5900000000000001E-2</v>
      </c>
      <c r="K108" s="120">
        <v>1.83E-2</v>
      </c>
      <c r="L108" s="105">
        <v>2422</v>
      </c>
      <c r="M108">
        <v>0.67</v>
      </c>
      <c r="N108">
        <v>0.64</v>
      </c>
      <c r="O108">
        <v>0.73</v>
      </c>
      <c r="P108" s="105">
        <v>1971</v>
      </c>
      <c r="Q108">
        <v>0.55000000000000004</v>
      </c>
      <c r="R108">
        <v>0.52</v>
      </c>
      <c r="S108">
        <v>0.6</v>
      </c>
    </row>
    <row r="109" spans="1:19" x14ac:dyDescent="0.35">
      <c r="A109" t="str">
        <f t="shared" si="1"/>
        <v>2022/23NHS LanarkshireMalesAll</v>
      </c>
      <c r="B109" t="s">
        <v>127</v>
      </c>
      <c r="C109" s="105" t="s">
        <v>126</v>
      </c>
      <c r="D109" s="105" t="s">
        <v>37</v>
      </c>
      <c r="E109" s="105" t="s">
        <v>31</v>
      </c>
      <c r="F109" s="105">
        <v>3300</v>
      </c>
      <c r="G109" s="105">
        <v>3100</v>
      </c>
      <c r="H109" s="105">
        <v>3500</v>
      </c>
      <c r="I109" s="120">
        <v>1.5699999999999999E-2</v>
      </c>
      <c r="J109" s="120">
        <v>1.47E-2</v>
      </c>
      <c r="K109" s="120">
        <v>1.6799999999999999E-2</v>
      </c>
      <c r="L109" s="105">
        <v>2375</v>
      </c>
      <c r="M109">
        <v>0.72</v>
      </c>
      <c r="N109">
        <v>0.68</v>
      </c>
      <c r="O109">
        <v>0.77</v>
      </c>
      <c r="P109" s="105">
        <v>1933</v>
      </c>
      <c r="Q109">
        <v>0.59</v>
      </c>
      <c r="R109">
        <v>0.55000000000000004</v>
      </c>
      <c r="S109">
        <v>0.62</v>
      </c>
    </row>
    <row r="110" spans="1:19" x14ac:dyDescent="0.35">
      <c r="A110" t="str">
        <f t="shared" si="1"/>
        <v>2014/15NHS GrampianAllAll</v>
      </c>
      <c r="B110" t="s">
        <v>128</v>
      </c>
      <c r="C110" s="105" t="s">
        <v>39</v>
      </c>
      <c r="D110" s="105" t="s">
        <v>31</v>
      </c>
      <c r="E110" s="105" t="s">
        <v>31</v>
      </c>
      <c r="F110" s="105">
        <v>4300</v>
      </c>
      <c r="G110" s="105">
        <v>4100</v>
      </c>
      <c r="H110" s="105">
        <v>4500</v>
      </c>
      <c r="I110" s="120">
        <v>1.0999999999999999E-2</v>
      </c>
      <c r="J110" s="120">
        <v>1.04E-2</v>
      </c>
      <c r="K110" s="120">
        <v>1.1599999999999999E-2</v>
      </c>
      <c r="L110" s="105">
        <v>3435</v>
      </c>
      <c r="M110">
        <v>0.8</v>
      </c>
      <c r="N110">
        <v>0.76</v>
      </c>
      <c r="O110">
        <v>0.84</v>
      </c>
      <c r="P110" s="105">
        <v>2594</v>
      </c>
      <c r="Q110">
        <v>0.6</v>
      </c>
      <c r="R110">
        <v>0.57999999999999996</v>
      </c>
      <c r="S110">
        <v>0.63</v>
      </c>
    </row>
    <row r="111" spans="1:19" x14ac:dyDescent="0.35">
      <c r="A111" t="str">
        <f t="shared" si="1"/>
        <v>2015/16NHS GrampianAllAll</v>
      </c>
      <c r="B111" t="s">
        <v>128</v>
      </c>
      <c r="C111" s="105" t="s">
        <v>44</v>
      </c>
      <c r="D111" s="105" t="s">
        <v>31</v>
      </c>
      <c r="E111" s="105" t="s">
        <v>31</v>
      </c>
      <c r="F111" s="105">
        <v>4200</v>
      </c>
      <c r="G111" s="105">
        <v>4000</v>
      </c>
      <c r="H111" s="105">
        <v>4400</v>
      </c>
      <c r="I111" s="120">
        <v>1.0699999999999999E-2</v>
      </c>
      <c r="J111" s="120">
        <v>1.0200000000000001E-2</v>
      </c>
      <c r="K111" s="120">
        <v>1.1299999999999999E-2</v>
      </c>
      <c r="L111" s="105">
        <v>3391</v>
      </c>
      <c r="M111">
        <v>0.81</v>
      </c>
      <c r="N111">
        <v>0.77</v>
      </c>
      <c r="O111">
        <v>0.85</v>
      </c>
      <c r="P111" s="105">
        <v>2635</v>
      </c>
      <c r="Q111">
        <v>0.63</v>
      </c>
      <c r="R111">
        <v>0.6</v>
      </c>
      <c r="S111">
        <v>0.66</v>
      </c>
    </row>
    <row r="112" spans="1:19" x14ac:dyDescent="0.35">
      <c r="A112" t="str">
        <f t="shared" si="1"/>
        <v>2016/17NHS GrampianAllAll</v>
      </c>
      <c r="B112" t="s">
        <v>128</v>
      </c>
      <c r="C112" s="105" t="s">
        <v>46</v>
      </c>
      <c r="D112" s="105" t="s">
        <v>31</v>
      </c>
      <c r="E112" s="105" t="s">
        <v>31</v>
      </c>
      <c r="F112" s="105">
        <v>4300</v>
      </c>
      <c r="G112" s="105">
        <v>4100</v>
      </c>
      <c r="H112" s="105">
        <v>4500</v>
      </c>
      <c r="I112" s="120">
        <v>1.09E-2</v>
      </c>
      <c r="J112" s="120">
        <v>1.0500000000000001E-2</v>
      </c>
      <c r="K112" s="120">
        <v>1.15E-2</v>
      </c>
      <c r="L112" s="105">
        <v>3533</v>
      </c>
      <c r="M112">
        <v>0.82</v>
      </c>
      <c r="N112">
        <v>0.79</v>
      </c>
      <c r="O112">
        <v>0.86</v>
      </c>
      <c r="P112" s="105">
        <v>3011</v>
      </c>
      <c r="Q112">
        <v>0.7</v>
      </c>
      <c r="R112">
        <v>0.67</v>
      </c>
      <c r="S112">
        <v>0.73</v>
      </c>
    </row>
    <row r="113" spans="1:19" x14ac:dyDescent="0.35">
      <c r="A113" t="str">
        <f t="shared" si="1"/>
        <v>2017/18NHS GrampianAllAll</v>
      </c>
      <c r="B113" t="s">
        <v>128</v>
      </c>
      <c r="C113" s="105" t="s">
        <v>47</v>
      </c>
      <c r="D113" s="105" t="s">
        <v>31</v>
      </c>
      <c r="E113" s="105" t="s">
        <v>31</v>
      </c>
      <c r="F113" s="105">
        <v>4200</v>
      </c>
      <c r="G113" s="105">
        <v>4100</v>
      </c>
      <c r="H113" s="105">
        <v>4400</v>
      </c>
      <c r="I113" s="120">
        <v>1.09E-2</v>
      </c>
      <c r="J113" s="120">
        <v>1.0500000000000001E-2</v>
      </c>
      <c r="K113" s="120">
        <v>1.14E-2</v>
      </c>
      <c r="L113" s="105">
        <v>3606</v>
      </c>
      <c r="M113">
        <v>0.86</v>
      </c>
      <c r="N113">
        <v>0.82</v>
      </c>
      <c r="O113">
        <v>0.88</v>
      </c>
      <c r="P113" s="105">
        <v>3118</v>
      </c>
      <c r="Q113">
        <v>0.74</v>
      </c>
      <c r="R113">
        <v>0.71</v>
      </c>
      <c r="S113">
        <v>0.76</v>
      </c>
    </row>
    <row r="114" spans="1:19" x14ac:dyDescent="0.35">
      <c r="A114" t="str">
        <f t="shared" si="1"/>
        <v>2018/19NHS GrampianAllAll</v>
      </c>
      <c r="B114" t="s">
        <v>128</v>
      </c>
      <c r="C114" s="105" t="s">
        <v>48</v>
      </c>
      <c r="D114" s="105" t="s">
        <v>31</v>
      </c>
      <c r="E114" s="105" t="s">
        <v>31</v>
      </c>
      <c r="F114" s="105">
        <v>4300</v>
      </c>
      <c r="G114" s="105">
        <v>4100</v>
      </c>
      <c r="H114" s="105">
        <v>4400</v>
      </c>
      <c r="I114" s="120">
        <v>1.11E-2</v>
      </c>
      <c r="J114" s="120">
        <v>1.06E-2</v>
      </c>
      <c r="K114" s="120">
        <v>1.1599999999999999E-2</v>
      </c>
      <c r="L114" s="105">
        <v>3580</v>
      </c>
      <c r="M114">
        <v>0.83</v>
      </c>
      <c r="N114">
        <v>0.81</v>
      </c>
      <c r="O114">
        <v>0.87</v>
      </c>
      <c r="P114" s="105">
        <v>3024</v>
      </c>
      <c r="Q114">
        <v>0.7</v>
      </c>
      <c r="R114">
        <v>0.69</v>
      </c>
      <c r="S114">
        <v>0.74</v>
      </c>
    </row>
    <row r="115" spans="1:19" x14ac:dyDescent="0.35">
      <c r="A115" t="str">
        <f t="shared" si="1"/>
        <v>2019/20NHS GrampianAllAll</v>
      </c>
      <c r="B115" t="s">
        <v>128</v>
      </c>
      <c r="C115" s="105" t="s">
        <v>49</v>
      </c>
      <c r="D115" s="105" t="s">
        <v>31</v>
      </c>
      <c r="E115" s="105" t="s">
        <v>31</v>
      </c>
      <c r="F115" s="105">
        <v>4400</v>
      </c>
      <c r="G115" s="105">
        <v>4200</v>
      </c>
      <c r="H115" s="105">
        <v>4600</v>
      </c>
      <c r="I115" s="120">
        <v>1.14E-2</v>
      </c>
      <c r="J115" s="120">
        <v>1.09E-2</v>
      </c>
      <c r="K115" s="120">
        <v>1.1900000000000001E-2</v>
      </c>
      <c r="L115" s="105">
        <v>3547</v>
      </c>
      <c r="M115">
        <v>0.81</v>
      </c>
      <c r="N115">
        <v>0.77</v>
      </c>
      <c r="O115">
        <v>0.84</v>
      </c>
      <c r="P115" s="105">
        <v>2866</v>
      </c>
      <c r="Q115">
        <v>0.65</v>
      </c>
      <c r="R115">
        <v>0.62</v>
      </c>
      <c r="S115">
        <v>0.68</v>
      </c>
    </row>
    <row r="116" spans="1:19" x14ac:dyDescent="0.35">
      <c r="A116" t="str">
        <f t="shared" si="1"/>
        <v>2020/21NHS GrampianAllAll</v>
      </c>
      <c r="B116" t="s">
        <v>128</v>
      </c>
      <c r="C116" s="105" t="s">
        <v>124</v>
      </c>
      <c r="D116" s="105" t="s">
        <v>31</v>
      </c>
      <c r="E116" s="105" t="s">
        <v>31</v>
      </c>
      <c r="F116" s="105">
        <v>4400</v>
      </c>
      <c r="G116" s="105">
        <v>4200</v>
      </c>
      <c r="H116" s="105">
        <v>4700</v>
      </c>
      <c r="I116" s="120">
        <v>1.17E-2</v>
      </c>
      <c r="J116" s="120">
        <v>1.11E-2</v>
      </c>
      <c r="K116" s="120">
        <v>1.2200000000000001E-2</v>
      </c>
      <c r="L116" s="105">
        <v>3577</v>
      </c>
      <c r="M116">
        <v>0.81</v>
      </c>
      <c r="N116">
        <v>0.76</v>
      </c>
      <c r="O116">
        <v>0.85</v>
      </c>
      <c r="P116" s="105">
        <v>2808</v>
      </c>
      <c r="Q116">
        <v>0.64</v>
      </c>
      <c r="R116">
        <v>0.6</v>
      </c>
      <c r="S116">
        <v>0.67</v>
      </c>
    </row>
    <row r="117" spans="1:19" x14ac:dyDescent="0.35">
      <c r="A117" t="str">
        <f t="shared" si="1"/>
        <v>2021/22NHS GrampianAllAll</v>
      </c>
      <c r="B117" t="s">
        <v>128</v>
      </c>
      <c r="C117" s="105" t="s">
        <v>125</v>
      </c>
      <c r="D117" s="105" t="s">
        <v>31</v>
      </c>
      <c r="E117" s="105" t="s">
        <v>31</v>
      </c>
      <c r="F117" s="105">
        <v>4300</v>
      </c>
      <c r="G117" s="105">
        <v>4100</v>
      </c>
      <c r="H117" s="105">
        <v>4500</v>
      </c>
      <c r="I117" s="120">
        <v>1.1299999999999999E-2</v>
      </c>
      <c r="J117" s="120">
        <v>1.0800000000000001E-2</v>
      </c>
      <c r="K117" s="120">
        <v>1.1900000000000001E-2</v>
      </c>
      <c r="L117" s="105">
        <v>3549</v>
      </c>
      <c r="M117">
        <v>0.83</v>
      </c>
      <c r="N117">
        <v>0.79</v>
      </c>
      <c r="O117">
        <v>0.87</v>
      </c>
      <c r="P117" s="105">
        <v>2849</v>
      </c>
      <c r="Q117">
        <v>0.66</v>
      </c>
      <c r="R117">
        <v>0.63</v>
      </c>
      <c r="S117">
        <v>0.69</v>
      </c>
    </row>
    <row r="118" spans="1:19" x14ac:dyDescent="0.35">
      <c r="A118" t="str">
        <f t="shared" si="1"/>
        <v>2022/23NHS GrampianAllAll</v>
      </c>
      <c r="B118" t="s">
        <v>128</v>
      </c>
      <c r="C118" s="105" t="s">
        <v>126</v>
      </c>
      <c r="D118" s="105" t="s">
        <v>31</v>
      </c>
      <c r="E118" s="105" t="s">
        <v>31</v>
      </c>
      <c r="F118" s="105">
        <v>4100</v>
      </c>
      <c r="G118" s="105">
        <v>3900</v>
      </c>
      <c r="H118" s="105">
        <v>4300</v>
      </c>
      <c r="I118" s="120">
        <v>1.0999999999999999E-2</v>
      </c>
      <c r="J118" s="120">
        <v>1.0500000000000001E-2</v>
      </c>
      <c r="K118" s="120">
        <v>1.15E-2</v>
      </c>
      <c r="L118" s="105">
        <v>3494</v>
      </c>
      <c r="M118">
        <v>0.85</v>
      </c>
      <c r="N118">
        <v>0.81</v>
      </c>
      <c r="O118">
        <v>0.9</v>
      </c>
      <c r="P118" s="105">
        <v>2971</v>
      </c>
      <c r="Q118">
        <v>0.72</v>
      </c>
      <c r="R118">
        <v>0.69</v>
      </c>
      <c r="S118">
        <v>0.76</v>
      </c>
    </row>
    <row r="119" spans="1:19" x14ac:dyDescent="0.35">
      <c r="A119" t="str">
        <f t="shared" si="1"/>
        <v>2014/15NHS GrampianFemalesAll</v>
      </c>
      <c r="B119" t="s">
        <v>128</v>
      </c>
      <c r="C119" s="105" t="s">
        <v>39</v>
      </c>
      <c r="D119" s="105" t="s">
        <v>42</v>
      </c>
      <c r="E119" s="105" t="s">
        <v>31</v>
      </c>
      <c r="F119" s="105">
        <v>1400</v>
      </c>
      <c r="G119" s="105">
        <v>1300</v>
      </c>
      <c r="H119" s="105">
        <v>1500</v>
      </c>
      <c r="I119" s="120">
        <v>7.0000000000000001E-3</v>
      </c>
      <c r="J119" s="120">
        <v>6.6E-3</v>
      </c>
      <c r="K119" s="120">
        <v>7.6E-3</v>
      </c>
      <c r="L119" s="105">
        <v>1140</v>
      </c>
      <c r="M119">
        <v>0.81</v>
      </c>
      <c r="N119">
        <v>0.76</v>
      </c>
      <c r="O119">
        <v>0.88</v>
      </c>
      <c r="P119" s="105">
        <v>874</v>
      </c>
      <c r="Q119">
        <v>0.62</v>
      </c>
      <c r="R119">
        <v>0.57999999999999996</v>
      </c>
      <c r="S119">
        <v>0.67</v>
      </c>
    </row>
    <row r="120" spans="1:19" x14ac:dyDescent="0.35">
      <c r="A120" t="str">
        <f t="shared" si="1"/>
        <v>2015/16NHS GrampianFemalesAll</v>
      </c>
      <c r="B120" t="s">
        <v>128</v>
      </c>
      <c r="C120" s="105" t="s">
        <v>44</v>
      </c>
      <c r="D120" s="105" t="s">
        <v>42</v>
      </c>
      <c r="E120" s="105" t="s">
        <v>31</v>
      </c>
      <c r="F120" s="105">
        <v>1300</v>
      </c>
      <c r="G120" s="105">
        <v>1300</v>
      </c>
      <c r="H120" s="105">
        <v>1400</v>
      </c>
      <c r="I120" s="120">
        <v>6.8999999999999999E-3</v>
      </c>
      <c r="J120" s="120">
        <v>6.4999999999999997E-3</v>
      </c>
      <c r="K120" s="120">
        <v>7.4000000000000003E-3</v>
      </c>
      <c r="L120" s="105">
        <v>1136</v>
      </c>
      <c r="M120">
        <v>0.87</v>
      </c>
      <c r="N120">
        <v>0.81</v>
      </c>
      <c r="O120">
        <v>0.87</v>
      </c>
      <c r="P120" s="105">
        <v>865</v>
      </c>
      <c r="Q120">
        <v>0.67</v>
      </c>
      <c r="R120">
        <v>0.62</v>
      </c>
      <c r="S120">
        <v>0.67</v>
      </c>
    </row>
    <row r="121" spans="1:19" x14ac:dyDescent="0.35">
      <c r="A121" t="str">
        <f t="shared" si="1"/>
        <v>2016/17NHS GrampianFemalesAll</v>
      </c>
      <c r="B121" t="s">
        <v>128</v>
      </c>
      <c r="C121" s="105" t="s">
        <v>46</v>
      </c>
      <c r="D121" s="105" t="s">
        <v>42</v>
      </c>
      <c r="E121" s="105" t="s">
        <v>31</v>
      </c>
      <c r="F121" s="105">
        <v>1400</v>
      </c>
      <c r="G121" s="105">
        <v>1300</v>
      </c>
      <c r="H121" s="105">
        <v>1500</v>
      </c>
      <c r="I121" s="120">
        <v>7.0000000000000001E-3</v>
      </c>
      <c r="J121" s="120">
        <v>6.6E-3</v>
      </c>
      <c r="K121" s="120">
        <v>7.4999999999999997E-3</v>
      </c>
      <c r="L121" s="105">
        <v>1172</v>
      </c>
      <c r="M121">
        <v>0.84</v>
      </c>
      <c r="N121">
        <v>0.78</v>
      </c>
      <c r="O121">
        <v>0.9</v>
      </c>
      <c r="P121" s="105">
        <v>994</v>
      </c>
      <c r="Q121">
        <v>0.71</v>
      </c>
      <c r="R121">
        <v>0.66</v>
      </c>
      <c r="S121">
        <v>0.76</v>
      </c>
    </row>
    <row r="122" spans="1:19" x14ac:dyDescent="0.35">
      <c r="A122" t="str">
        <f t="shared" si="1"/>
        <v>2017/18NHS GrampianFemalesAll</v>
      </c>
      <c r="B122" t="s">
        <v>128</v>
      </c>
      <c r="C122" s="105" t="s">
        <v>47</v>
      </c>
      <c r="D122" s="105" t="s">
        <v>42</v>
      </c>
      <c r="E122" s="105" t="s">
        <v>31</v>
      </c>
      <c r="F122" s="105">
        <v>1400</v>
      </c>
      <c r="G122" s="105">
        <v>1300</v>
      </c>
      <c r="H122" s="105">
        <v>1400</v>
      </c>
      <c r="I122" s="120">
        <v>7.0000000000000001E-3</v>
      </c>
      <c r="J122" s="120">
        <v>6.6E-3</v>
      </c>
      <c r="K122" s="120">
        <v>7.4999999999999997E-3</v>
      </c>
      <c r="L122" s="105">
        <v>1191</v>
      </c>
      <c r="M122">
        <v>0.85</v>
      </c>
      <c r="N122">
        <v>0.85</v>
      </c>
      <c r="O122">
        <v>0.92</v>
      </c>
      <c r="P122" s="105">
        <v>1032</v>
      </c>
      <c r="Q122">
        <v>0.74</v>
      </c>
      <c r="R122">
        <v>0.74</v>
      </c>
      <c r="S122">
        <v>0.79</v>
      </c>
    </row>
    <row r="123" spans="1:19" x14ac:dyDescent="0.35">
      <c r="A123" t="str">
        <f t="shared" si="1"/>
        <v>2018/19NHS GrampianFemalesAll</v>
      </c>
      <c r="B123" t="s">
        <v>128</v>
      </c>
      <c r="C123" s="105" t="s">
        <v>48</v>
      </c>
      <c r="D123" s="105" t="s">
        <v>42</v>
      </c>
      <c r="E123" s="105" t="s">
        <v>31</v>
      </c>
      <c r="F123" s="105">
        <v>1300</v>
      </c>
      <c r="G123" s="105">
        <v>1300</v>
      </c>
      <c r="H123" s="105">
        <v>1400</v>
      </c>
      <c r="I123" s="120">
        <v>7.1000000000000004E-3</v>
      </c>
      <c r="J123" s="120">
        <v>6.7000000000000002E-3</v>
      </c>
      <c r="K123" s="120">
        <v>7.4999999999999997E-3</v>
      </c>
      <c r="L123" s="105">
        <v>1173</v>
      </c>
      <c r="M123">
        <v>0.9</v>
      </c>
      <c r="N123">
        <v>0.84</v>
      </c>
      <c r="O123">
        <v>0.9</v>
      </c>
      <c r="P123" s="105">
        <v>998</v>
      </c>
      <c r="Q123">
        <v>0.77</v>
      </c>
      <c r="R123">
        <v>0.71</v>
      </c>
      <c r="S123">
        <v>0.77</v>
      </c>
    </row>
    <row r="124" spans="1:19" x14ac:dyDescent="0.35">
      <c r="A124" t="str">
        <f t="shared" si="1"/>
        <v>2019/20NHS GrampianFemalesAll</v>
      </c>
      <c r="B124" t="s">
        <v>128</v>
      </c>
      <c r="C124" s="105" t="s">
        <v>49</v>
      </c>
      <c r="D124" s="105" t="s">
        <v>42</v>
      </c>
      <c r="E124" s="105" t="s">
        <v>31</v>
      </c>
      <c r="F124" s="105">
        <v>1400</v>
      </c>
      <c r="G124" s="105">
        <v>1300</v>
      </c>
      <c r="H124" s="105">
        <v>1400</v>
      </c>
      <c r="I124" s="120">
        <v>7.1000000000000004E-3</v>
      </c>
      <c r="J124" s="120">
        <v>6.7000000000000002E-3</v>
      </c>
      <c r="K124" s="120">
        <v>7.6E-3</v>
      </c>
      <c r="L124" s="105">
        <v>1149</v>
      </c>
      <c r="M124">
        <v>0.82</v>
      </c>
      <c r="N124">
        <v>0.82</v>
      </c>
      <c r="O124">
        <v>0.88</v>
      </c>
      <c r="P124" s="105">
        <v>933</v>
      </c>
      <c r="Q124">
        <v>0.67</v>
      </c>
      <c r="R124">
        <v>0.67</v>
      </c>
      <c r="S124">
        <v>0.72</v>
      </c>
    </row>
    <row r="125" spans="1:19" x14ac:dyDescent="0.35">
      <c r="A125" t="str">
        <f t="shared" si="1"/>
        <v>2020/21NHS GrampianFemalesAll</v>
      </c>
      <c r="B125" t="s">
        <v>128</v>
      </c>
      <c r="C125" s="105" t="s">
        <v>124</v>
      </c>
      <c r="D125" s="105" t="s">
        <v>42</v>
      </c>
      <c r="E125" s="105" t="s">
        <v>31</v>
      </c>
      <c r="F125" s="105">
        <v>1400</v>
      </c>
      <c r="G125" s="105">
        <v>1300</v>
      </c>
      <c r="H125" s="105">
        <v>1500</v>
      </c>
      <c r="I125" s="120">
        <v>7.3000000000000001E-3</v>
      </c>
      <c r="J125" s="120">
        <v>6.8999999999999999E-3</v>
      </c>
      <c r="K125" s="120">
        <v>7.7999999999999996E-3</v>
      </c>
      <c r="L125" s="105">
        <v>1161</v>
      </c>
      <c r="M125">
        <v>0.83</v>
      </c>
      <c r="N125">
        <v>0.77</v>
      </c>
      <c r="O125">
        <v>0.89</v>
      </c>
      <c r="P125" s="105">
        <v>919</v>
      </c>
      <c r="Q125">
        <v>0.66</v>
      </c>
      <c r="R125">
        <v>0.61</v>
      </c>
      <c r="S125">
        <v>0.71</v>
      </c>
    </row>
    <row r="126" spans="1:19" x14ac:dyDescent="0.35">
      <c r="A126" t="str">
        <f t="shared" si="1"/>
        <v>2021/22NHS GrampianFemalesAll</v>
      </c>
      <c r="B126" t="s">
        <v>128</v>
      </c>
      <c r="C126" s="105" t="s">
        <v>125</v>
      </c>
      <c r="D126" s="105" t="s">
        <v>42</v>
      </c>
      <c r="E126" s="105" t="s">
        <v>31</v>
      </c>
      <c r="F126" s="105">
        <v>1300</v>
      </c>
      <c r="G126" s="105">
        <v>1300</v>
      </c>
      <c r="H126" s="105">
        <v>1400</v>
      </c>
      <c r="I126" s="120">
        <v>7.1000000000000004E-3</v>
      </c>
      <c r="J126" s="120">
        <v>6.7000000000000002E-3</v>
      </c>
      <c r="K126" s="120">
        <v>7.6E-3</v>
      </c>
      <c r="L126" s="105">
        <v>1149</v>
      </c>
      <c r="M126">
        <v>0.88</v>
      </c>
      <c r="N126">
        <v>0.82</v>
      </c>
      <c r="O126">
        <v>0.88</v>
      </c>
      <c r="P126" s="105">
        <v>924</v>
      </c>
      <c r="Q126">
        <v>0.71</v>
      </c>
      <c r="R126">
        <v>0.66</v>
      </c>
      <c r="S126">
        <v>0.71</v>
      </c>
    </row>
    <row r="127" spans="1:19" x14ac:dyDescent="0.35">
      <c r="A127" t="str">
        <f t="shared" si="1"/>
        <v>2022/23NHS GrampianFemalesAll</v>
      </c>
      <c r="B127" t="s">
        <v>128</v>
      </c>
      <c r="C127" s="105" t="s">
        <v>126</v>
      </c>
      <c r="D127" s="105" t="s">
        <v>42</v>
      </c>
      <c r="E127" s="105" t="s">
        <v>31</v>
      </c>
      <c r="F127" s="105">
        <v>1300</v>
      </c>
      <c r="G127" s="105">
        <v>1200</v>
      </c>
      <c r="H127" s="105">
        <v>1400</v>
      </c>
      <c r="I127" s="120">
        <v>6.8999999999999999E-3</v>
      </c>
      <c r="J127" s="120">
        <v>6.4000000000000003E-3</v>
      </c>
      <c r="K127" s="120">
        <v>7.3000000000000001E-3</v>
      </c>
      <c r="L127" s="105">
        <v>1135</v>
      </c>
      <c r="M127">
        <v>0.87</v>
      </c>
      <c r="N127">
        <v>0.81</v>
      </c>
      <c r="O127">
        <v>0.95</v>
      </c>
      <c r="P127" s="105">
        <v>978</v>
      </c>
      <c r="Q127">
        <v>0.75</v>
      </c>
      <c r="R127">
        <v>0.7</v>
      </c>
      <c r="S127">
        <v>0.82</v>
      </c>
    </row>
    <row r="128" spans="1:19" x14ac:dyDescent="0.35">
      <c r="A128" t="str">
        <f t="shared" si="1"/>
        <v>2014/15NHS GrampianMalesAll</v>
      </c>
      <c r="B128" t="s">
        <v>128</v>
      </c>
      <c r="C128" s="105" t="s">
        <v>39</v>
      </c>
      <c r="D128" s="105" t="s">
        <v>37</v>
      </c>
      <c r="E128" s="105" t="s">
        <v>31</v>
      </c>
      <c r="F128" s="105">
        <v>2900</v>
      </c>
      <c r="G128" s="105">
        <v>2800</v>
      </c>
      <c r="H128" s="105">
        <v>3100</v>
      </c>
      <c r="I128" s="120">
        <v>1.4800000000000001E-2</v>
      </c>
      <c r="J128" s="120">
        <v>1.3899999999999999E-2</v>
      </c>
      <c r="K128" s="120">
        <v>1.5800000000000002E-2</v>
      </c>
      <c r="L128" s="105">
        <v>2295</v>
      </c>
      <c r="M128">
        <v>0.79</v>
      </c>
      <c r="N128">
        <v>0.74</v>
      </c>
      <c r="O128">
        <v>0.82</v>
      </c>
      <c r="P128" s="105">
        <v>1720</v>
      </c>
      <c r="Q128">
        <v>0.59</v>
      </c>
      <c r="R128">
        <v>0.55000000000000004</v>
      </c>
      <c r="S128">
        <v>0.61</v>
      </c>
    </row>
    <row r="129" spans="1:19" x14ac:dyDescent="0.35">
      <c r="A129" t="str">
        <f t="shared" si="1"/>
        <v>2015/16NHS GrampianMalesAll</v>
      </c>
      <c r="B129" t="s">
        <v>128</v>
      </c>
      <c r="C129" s="105" t="s">
        <v>44</v>
      </c>
      <c r="D129" s="105" t="s">
        <v>37</v>
      </c>
      <c r="E129" s="105" t="s">
        <v>31</v>
      </c>
      <c r="F129" s="105">
        <v>2900</v>
      </c>
      <c r="G129" s="105">
        <v>2700</v>
      </c>
      <c r="H129" s="105">
        <v>3000</v>
      </c>
      <c r="I129" s="120">
        <v>1.44E-2</v>
      </c>
      <c r="J129" s="120">
        <v>1.37E-2</v>
      </c>
      <c r="K129" s="120">
        <v>1.5299999999999999E-2</v>
      </c>
      <c r="L129" s="105">
        <v>2255</v>
      </c>
      <c r="M129">
        <v>0.78</v>
      </c>
      <c r="N129">
        <v>0.75</v>
      </c>
      <c r="O129">
        <v>0.84</v>
      </c>
      <c r="P129" s="105">
        <v>1770</v>
      </c>
      <c r="Q129">
        <v>0.61</v>
      </c>
      <c r="R129">
        <v>0.59</v>
      </c>
      <c r="S129">
        <v>0.66</v>
      </c>
    </row>
    <row r="130" spans="1:19" x14ac:dyDescent="0.35">
      <c r="A130" t="str">
        <f t="shared" si="1"/>
        <v>2016/17NHS GrampianMalesAll</v>
      </c>
      <c r="B130" t="s">
        <v>128</v>
      </c>
      <c r="C130" s="105" t="s">
        <v>46</v>
      </c>
      <c r="D130" s="105" t="s">
        <v>37</v>
      </c>
      <c r="E130" s="105" t="s">
        <v>31</v>
      </c>
      <c r="F130" s="105">
        <v>2900</v>
      </c>
      <c r="G130" s="105">
        <v>2800</v>
      </c>
      <c r="H130" s="105">
        <v>3100</v>
      </c>
      <c r="I130" s="120">
        <v>1.4800000000000001E-2</v>
      </c>
      <c r="J130" s="120">
        <v>1.4E-2</v>
      </c>
      <c r="K130" s="120">
        <v>1.5599999999999999E-2</v>
      </c>
      <c r="L130" s="105">
        <v>2361</v>
      </c>
      <c r="M130">
        <v>0.81</v>
      </c>
      <c r="N130">
        <v>0.76</v>
      </c>
      <c r="O130">
        <v>0.84</v>
      </c>
      <c r="P130" s="105">
        <v>2017</v>
      </c>
      <c r="Q130">
        <v>0.7</v>
      </c>
      <c r="R130">
        <v>0.65</v>
      </c>
      <c r="S130">
        <v>0.72</v>
      </c>
    </row>
    <row r="131" spans="1:19" x14ac:dyDescent="0.35">
      <c r="A131" t="str">
        <f t="shared" ref="A131:A194" si="2">C131&amp;B131&amp;D131&amp;E131</f>
        <v>2017/18NHS GrampianMalesAll</v>
      </c>
      <c r="B131" t="s">
        <v>128</v>
      </c>
      <c r="C131" s="105" t="s">
        <v>47</v>
      </c>
      <c r="D131" s="105" t="s">
        <v>37</v>
      </c>
      <c r="E131" s="105" t="s">
        <v>31</v>
      </c>
      <c r="F131" s="105">
        <v>2900</v>
      </c>
      <c r="G131" s="105">
        <v>2800</v>
      </c>
      <c r="H131" s="105">
        <v>3000</v>
      </c>
      <c r="I131" s="120">
        <v>1.4800000000000001E-2</v>
      </c>
      <c r="J131" s="120">
        <v>1.41E-2</v>
      </c>
      <c r="K131" s="120">
        <v>1.55E-2</v>
      </c>
      <c r="L131" s="105">
        <v>2415</v>
      </c>
      <c r="M131">
        <v>0.83</v>
      </c>
      <c r="N131">
        <v>0.81</v>
      </c>
      <c r="O131">
        <v>0.86</v>
      </c>
      <c r="P131" s="105">
        <v>2086</v>
      </c>
      <c r="Q131">
        <v>0.72</v>
      </c>
      <c r="R131">
        <v>0.7</v>
      </c>
      <c r="S131">
        <v>0.75</v>
      </c>
    </row>
    <row r="132" spans="1:19" x14ac:dyDescent="0.35">
      <c r="A132" t="str">
        <f t="shared" si="2"/>
        <v>2018/19NHS GrampianMalesAll</v>
      </c>
      <c r="B132" t="s">
        <v>128</v>
      </c>
      <c r="C132" s="105" t="s">
        <v>48</v>
      </c>
      <c r="D132" s="105" t="s">
        <v>37</v>
      </c>
      <c r="E132" s="105" t="s">
        <v>31</v>
      </c>
      <c r="F132" s="105">
        <v>2900</v>
      </c>
      <c r="G132" s="105">
        <v>2800</v>
      </c>
      <c r="H132" s="105">
        <v>3100</v>
      </c>
      <c r="I132" s="120">
        <v>1.4999999999999999E-2</v>
      </c>
      <c r="J132" s="120">
        <v>1.43E-2</v>
      </c>
      <c r="K132" s="120">
        <v>1.5800000000000002E-2</v>
      </c>
      <c r="L132" s="105">
        <v>2407</v>
      </c>
      <c r="M132">
        <v>0.83</v>
      </c>
      <c r="N132">
        <v>0.78</v>
      </c>
      <c r="O132">
        <v>0.86</v>
      </c>
      <c r="P132" s="105">
        <v>2026</v>
      </c>
      <c r="Q132">
        <v>0.7</v>
      </c>
      <c r="R132">
        <v>0.65</v>
      </c>
      <c r="S132">
        <v>0.72</v>
      </c>
    </row>
    <row r="133" spans="1:19" x14ac:dyDescent="0.35">
      <c r="A133" t="str">
        <f t="shared" si="2"/>
        <v>2019/20NHS GrampianMalesAll</v>
      </c>
      <c r="B133" t="s">
        <v>128</v>
      </c>
      <c r="C133" s="105" t="s">
        <v>49</v>
      </c>
      <c r="D133" s="105" t="s">
        <v>37</v>
      </c>
      <c r="E133" s="105" t="s">
        <v>31</v>
      </c>
      <c r="F133" s="105">
        <v>3000</v>
      </c>
      <c r="G133" s="105">
        <v>2800</v>
      </c>
      <c r="H133" s="105">
        <v>3200</v>
      </c>
      <c r="I133" s="120">
        <v>1.55E-2</v>
      </c>
      <c r="J133" s="120">
        <v>1.47E-2</v>
      </c>
      <c r="K133" s="120">
        <v>1.6400000000000001E-2</v>
      </c>
      <c r="L133" s="105">
        <v>2398</v>
      </c>
      <c r="M133">
        <v>0.8</v>
      </c>
      <c r="N133">
        <v>0.75</v>
      </c>
      <c r="O133">
        <v>0.86</v>
      </c>
      <c r="P133" s="105">
        <v>1933</v>
      </c>
      <c r="Q133">
        <v>0.64</v>
      </c>
      <c r="R133">
        <v>0.6</v>
      </c>
      <c r="S133">
        <v>0.69</v>
      </c>
    </row>
    <row r="134" spans="1:19" x14ac:dyDescent="0.35">
      <c r="A134" t="str">
        <f t="shared" si="2"/>
        <v>2020/21NHS GrampianMalesAll</v>
      </c>
      <c r="B134" t="s">
        <v>128</v>
      </c>
      <c r="C134" s="105" t="s">
        <v>124</v>
      </c>
      <c r="D134" s="105" t="s">
        <v>37</v>
      </c>
      <c r="E134" s="105" t="s">
        <v>31</v>
      </c>
      <c r="F134" s="105">
        <v>3100</v>
      </c>
      <c r="G134" s="105">
        <v>2900</v>
      </c>
      <c r="H134" s="105">
        <v>3200</v>
      </c>
      <c r="I134" s="120">
        <v>1.5900000000000001E-2</v>
      </c>
      <c r="J134" s="120">
        <v>1.5100000000000001E-2</v>
      </c>
      <c r="K134" s="120">
        <v>1.6799999999999999E-2</v>
      </c>
      <c r="L134" s="105">
        <v>2416</v>
      </c>
      <c r="M134">
        <v>0.78</v>
      </c>
      <c r="N134">
        <v>0.76</v>
      </c>
      <c r="O134">
        <v>0.83</v>
      </c>
      <c r="P134" s="105">
        <v>1889</v>
      </c>
      <c r="Q134">
        <v>0.61</v>
      </c>
      <c r="R134">
        <v>0.59</v>
      </c>
      <c r="S134">
        <v>0.65</v>
      </c>
    </row>
    <row r="135" spans="1:19" x14ac:dyDescent="0.35">
      <c r="A135" t="str">
        <f t="shared" si="2"/>
        <v>2021/22NHS GrampianMalesAll</v>
      </c>
      <c r="B135" t="s">
        <v>128</v>
      </c>
      <c r="C135" s="105" t="s">
        <v>125</v>
      </c>
      <c r="D135" s="105" t="s">
        <v>37</v>
      </c>
      <c r="E135" s="105" t="s">
        <v>31</v>
      </c>
      <c r="F135" s="105">
        <v>3000</v>
      </c>
      <c r="G135" s="105">
        <v>2800</v>
      </c>
      <c r="H135" s="105">
        <v>3100</v>
      </c>
      <c r="I135" s="120">
        <v>1.55E-2</v>
      </c>
      <c r="J135" s="120">
        <v>1.47E-2</v>
      </c>
      <c r="K135" s="120">
        <v>1.6400000000000001E-2</v>
      </c>
      <c r="L135" s="105">
        <v>2400</v>
      </c>
      <c r="M135">
        <v>0.8</v>
      </c>
      <c r="N135">
        <v>0.77</v>
      </c>
      <c r="O135">
        <v>0.86</v>
      </c>
      <c r="P135" s="105">
        <v>1925</v>
      </c>
      <c r="Q135">
        <v>0.64</v>
      </c>
      <c r="R135">
        <v>0.62</v>
      </c>
      <c r="S135">
        <v>0.69</v>
      </c>
    </row>
    <row r="136" spans="1:19" x14ac:dyDescent="0.35">
      <c r="A136" t="str">
        <f t="shared" si="2"/>
        <v>2022/23NHS GrampianMalesAll</v>
      </c>
      <c r="B136" t="s">
        <v>128</v>
      </c>
      <c r="C136" s="105" t="s">
        <v>126</v>
      </c>
      <c r="D136" s="105" t="s">
        <v>37</v>
      </c>
      <c r="E136" s="105" t="s">
        <v>31</v>
      </c>
      <c r="F136" s="105">
        <v>2800</v>
      </c>
      <c r="G136" s="105">
        <v>2700</v>
      </c>
      <c r="H136" s="105">
        <v>3000</v>
      </c>
      <c r="I136" s="120">
        <v>1.52E-2</v>
      </c>
      <c r="J136" s="120">
        <v>1.4500000000000001E-2</v>
      </c>
      <c r="K136" s="120">
        <v>1.6E-2</v>
      </c>
      <c r="L136" s="105">
        <v>2359</v>
      </c>
      <c r="M136">
        <v>0.84</v>
      </c>
      <c r="N136">
        <v>0.79</v>
      </c>
      <c r="O136">
        <v>0.87</v>
      </c>
      <c r="P136" s="105">
        <v>1993</v>
      </c>
      <c r="Q136">
        <v>0.71</v>
      </c>
      <c r="R136">
        <v>0.66</v>
      </c>
      <c r="S136">
        <v>0.74</v>
      </c>
    </row>
    <row r="137" spans="1:19" x14ac:dyDescent="0.35">
      <c r="A137" t="str">
        <f t="shared" si="2"/>
        <v>2014/15NHS TaysideAllAll</v>
      </c>
      <c r="B137" t="s">
        <v>45</v>
      </c>
      <c r="C137" s="105" t="s">
        <v>39</v>
      </c>
      <c r="D137" s="105" t="s">
        <v>31</v>
      </c>
      <c r="E137" s="105" t="s">
        <v>31</v>
      </c>
      <c r="F137" s="105">
        <v>3800</v>
      </c>
      <c r="G137" s="105">
        <v>3600</v>
      </c>
      <c r="H137" s="105">
        <v>4100</v>
      </c>
      <c r="I137" s="120">
        <v>1.43E-2</v>
      </c>
      <c r="J137" s="120">
        <v>1.35E-2</v>
      </c>
      <c r="K137" s="120">
        <v>1.5299999999999999E-2</v>
      </c>
      <c r="L137" s="105">
        <v>2847</v>
      </c>
      <c r="M137">
        <v>0.75</v>
      </c>
      <c r="N137">
        <v>0.69</v>
      </c>
      <c r="O137">
        <v>0.79</v>
      </c>
      <c r="P137" s="105">
        <v>2363</v>
      </c>
      <c r="Q137">
        <v>0.62</v>
      </c>
      <c r="R137">
        <v>0.57999999999999996</v>
      </c>
      <c r="S137">
        <v>0.66</v>
      </c>
    </row>
    <row r="138" spans="1:19" x14ac:dyDescent="0.35">
      <c r="A138" t="str">
        <f t="shared" si="2"/>
        <v>2015/16NHS TaysideAllAll</v>
      </c>
      <c r="B138" t="s">
        <v>45</v>
      </c>
      <c r="C138" s="105" t="s">
        <v>44</v>
      </c>
      <c r="D138" s="105" t="s">
        <v>31</v>
      </c>
      <c r="E138" s="105" t="s">
        <v>31</v>
      </c>
      <c r="F138" s="105">
        <v>3700</v>
      </c>
      <c r="G138" s="105">
        <v>3500</v>
      </c>
      <c r="H138" s="105">
        <v>3900</v>
      </c>
      <c r="I138" s="120">
        <v>1.3899999999999999E-2</v>
      </c>
      <c r="J138" s="120">
        <v>1.3100000000000001E-2</v>
      </c>
      <c r="K138" s="120">
        <v>1.47E-2</v>
      </c>
      <c r="L138" s="105">
        <v>2834</v>
      </c>
      <c r="M138">
        <v>0.77</v>
      </c>
      <c r="N138">
        <v>0.73</v>
      </c>
      <c r="O138">
        <v>0.81</v>
      </c>
      <c r="P138" s="105">
        <v>2279</v>
      </c>
      <c r="Q138">
        <v>0.62</v>
      </c>
      <c r="R138">
        <v>0.57999999999999996</v>
      </c>
      <c r="S138">
        <v>0.65</v>
      </c>
    </row>
    <row r="139" spans="1:19" x14ac:dyDescent="0.35">
      <c r="A139" t="str">
        <f t="shared" si="2"/>
        <v>2016/17NHS TaysideAllAll</v>
      </c>
      <c r="B139" t="s">
        <v>45</v>
      </c>
      <c r="C139" s="105" t="s">
        <v>46</v>
      </c>
      <c r="D139" s="105" t="s">
        <v>31</v>
      </c>
      <c r="E139" s="105" t="s">
        <v>31</v>
      </c>
      <c r="F139" s="105">
        <v>3600</v>
      </c>
      <c r="G139" s="105">
        <v>3400</v>
      </c>
      <c r="H139" s="105">
        <v>3800</v>
      </c>
      <c r="I139" s="120">
        <v>1.37E-2</v>
      </c>
      <c r="J139" s="120">
        <v>1.2999999999999999E-2</v>
      </c>
      <c r="K139" s="120">
        <v>1.44E-2</v>
      </c>
      <c r="L139" s="105">
        <v>2832</v>
      </c>
      <c r="M139">
        <v>0.79</v>
      </c>
      <c r="N139">
        <v>0.75</v>
      </c>
      <c r="O139">
        <v>0.83</v>
      </c>
      <c r="P139" s="105">
        <v>2243</v>
      </c>
      <c r="Q139">
        <v>0.62</v>
      </c>
      <c r="R139">
        <v>0.59</v>
      </c>
      <c r="S139">
        <v>0.66</v>
      </c>
    </row>
    <row r="140" spans="1:19" x14ac:dyDescent="0.35">
      <c r="A140" t="str">
        <f t="shared" si="2"/>
        <v>2017/18NHS TaysideAllAll</v>
      </c>
      <c r="B140" t="s">
        <v>45</v>
      </c>
      <c r="C140" s="105" t="s">
        <v>47</v>
      </c>
      <c r="D140" s="105" t="s">
        <v>31</v>
      </c>
      <c r="E140" s="105" t="s">
        <v>31</v>
      </c>
      <c r="F140" s="105">
        <v>3500</v>
      </c>
      <c r="G140" s="105">
        <v>3300</v>
      </c>
      <c r="H140" s="105">
        <v>3700</v>
      </c>
      <c r="I140" s="120">
        <v>1.3100000000000001E-2</v>
      </c>
      <c r="J140" s="120">
        <v>1.2500000000000001E-2</v>
      </c>
      <c r="K140" s="120">
        <v>1.38E-2</v>
      </c>
      <c r="L140" s="105">
        <v>2810</v>
      </c>
      <c r="M140">
        <v>0.8</v>
      </c>
      <c r="N140">
        <v>0.76</v>
      </c>
      <c r="O140">
        <v>0.85</v>
      </c>
      <c r="P140" s="105">
        <v>2222</v>
      </c>
      <c r="Q140">
        <v>0.63</v>
      </c>
      <c r="R140">
        <v>0.6</v>
      </c>
      <c r="S140">
        <v>0.67</v>
      </c>
    </row>
    <row r="141" spans="1:19" x14ac:dyDescent="0.35">
      <c r="A141" t="str">
        <f t="shared" si="2"/>
        <v>2018/19NHS TaysideAllAll</v>
      </c>
      <c r="B141" t="s">
        <v>45</v>
      </c>
      <c r="C141" s="105" t="s">
        <v>48</v>
      </c>
      <c r="D141" s="105" t="s">
        <v>31</v>
      </c>
      <c r="E141" s="105" t="s">
        <v>31</v>
      </c>
      <c r="F141" s="105">
        <v>3500</v>
      </c>
      <c r="G141" s="105">
        <v>3300</v>
      </c>
      <c r="H141" s="105">
        <v>3700</v>
      </c>
      <c r="I141" s="120">
        <v>1.32E-2</v>
      </c>
      <c r="J141" s="120">
        <v>1.26E-2</v>
      </c>
      <c r="K141" s="120">
        <v>1.3899999999999999E-2</v>
      </c>
      <c r="L141" s="105">
        <v>2768</v>
      </c>
      <c r="M141">
        <v>0.79</v>
      </c>
      <c r="N141">
        <v>0.75</v>
      </c>
      <c r="O141">
        <v>0.84</v>
      </c>
      <c r="P141" s="105">
        <v>2196</v>
      </c>
      <c r="Q141">
        <v>0.63</v>
      </c>
      <c r="R141">
        <v>0.59</v>
      </c>
      <c r="S141">
        <v>0.67</v>
      </c>
    </row>
    <row r="142" spans="1:19" x14ac:dyDescent="0.35">
      <c r="A142" t="str">
        <f t="shared" si="2"/>
        <v>2019/20NHS TaysideAllAll</v>
      </c>
      <c r="B142" t="s">
        <v>45</v>
      </c>
      <c r="C142" s="105" t="s">
        <v>49</v>
      </c>
      <c r="D142" s="105" t="s">
        <v>31</v>
      </c>
      <c r="E142" s="105" t="s">
        <v>31</v>
      </c>
      <c r="F142" s="105">
        <v>3700</v>
      </c>
      <c r="G142" s="105">
        <v>3500</v>
      </c>
      <c r="H142" s="105">
        <v>3900</v>
      </c>
      <c r="I142" s="120">
        <v>1.3899999999999999E-2</v>
      </c>
      <c r="J142" s="120">
        <v>1.32E-2</v>
      </c>
      <c r="K142" s="120">
        <v>1.46E-2</v>
      </c>
      <c r="L142" s="105">
        <v>2802</v>
      </c>
      <c r="M142">
        <v>0.76</v>
      </c>
      <c r="N142">
        <v>0.72</v>
      </c>
      <c r="O142">
        <v>0.8</v>
      </c>
      <c r="P142" s="105">
        <v>2264</v>
      </c>
      <c r="Q142">
        <v>0.61</v>
      </c>
      <c r="R142">
        <v>0.57999999999999996</v>
      </c>
      <c r="S142">
        <v>0.65</v>
      </c>
    </row>
    <row r="143" spans="1:19" x14ac:dyDescent="0.35">
      <c r="A143" t="str">
        <f t="shared" si="2"/>
        <v>2020/21NHS TaysideAllAll</v>
      </c>
      <c r="B143" t="s">
        <v>45</v>
      </c>
      <c r="C143" s="105" t="s">
        <v>124</v>
      </c>
      <c r="D143" s="105" t="s">
        <v>31</v>
      </c>
      <c r="E143" s="105" t="s">
        <v>31</v>
      </c>
      <c r="F143" s="105">
        <v>3800</v>
      </c>
      <c r="G143" s="105">
        <v>3600</v>
      </c>
      <c r="H143" s="105">
        <v>4000</v>
      </c>
      <c r="I143" s="120">
        <v>1.43E-2</v>
      </c>
      <c r="J143" s="120">
        <v>1.35E-2</v>
      </c>
      <c r="K143" s="120">
        <v>1.5100000000000001E-2</v>
      </c>
      <c r="L143" s="105">
        <v>2823</v>
      </c>
      <c r="M143">
        <v>0.74</v>
      </c>
      <c r="N143">
        <v>0.71</v>
      </c>
      <c r="O143">
        <v>0.78</v>
      </c>
      <c r="P143" s="105">
        <v>2359</v>
      </c>
      <c r="Q143">
        <v>0.62</v>
      </c>
      <c r="R143">
        <v>0.59</v>
      </c>
      <c r="S143">
        <v>0.66</v>
      </c>
    </row>
    <row r="144" spans="1:19" x14ac:dyDescent="0.35">
      <c r="A144" t="str">
        <f t="shared" si="2"/>
        <v>2021/22NHS TaysideAllAll</v>
      </c>
      <c r="B144" t="s">
        <v>45</v>
      </c>
      <c r="C144" s="105" t="s">
        <v>125</v>
      </c>
      <c r="D144" s="105" t="s">
        <v>31</v>
      </c>
      <c r="E144" s="105" t="s">
        <v>31</v>
      </c>
      <c r="F144" s="105">
        <v>3600</v>
      </c>
      <c r="G144" s="105">
        <v>3400</v>
      </c>
      <c r="H144" s="105">
        <v>3800</v>
      </c>
      <c r="I144" s="120">
        <v>1.37E-2</v>
      </c>
      <c r="J144" s="120">
        <v>1.29E-2</v>
      </c>
      <c r="K144" s="120">
        <v>1.44E-2</v>
      </c>
      <c r="L144" s="105">
        <v>2775</v>
      </c>
      <c r="M144">
        <v>0.77</v>
      </c>
      <c r="N144">
        <v>0.73</v>
      </c>
      <c r="O144">
        <v>0.82</v>
      </c>
      <c r="P144" s="105">
        <v>2345</v>
      </c>
      <c r="Q144">
        <v>0.65</v>
      </c>
      <c r="R144">
        <v>0.62</v>
      </c>
      <c r="S144">
        <v>0.69</v>
      </c>
    </row>
    <row r="145" spans="1:19" x14ac:dyDescent="0.35">
      <c r="A145" t="str">
        <f t="shared" si="2"/>
        <v>2022/23NHS TaysideAllAll</v>
      </c>
      <c r="B145" t="s">
        <v>45</v>
      </c>
      <c r="C145" s="105" t="s">
        <v>126</v>
      </c>
      <c r="D145" s="105" t="s">
        <v>31</v>
      </c>
      <c r="E145" s="105" t="s">
        <v>31</v>
      </c>
      <c r="F145" s="105">
        <v>3400</v>
      </c>
      <c r="G145" s="105">
        <v>3200</v>
      </c>
      <c r="H145" s="105">
        <v>3600</v>
      </c>
      <c r="I145" s="120">
        <v>1.3100000000000001E-2</v>
      </c>
      <c r="J145" s="120">
        <v>1.24E-2</v>
      </c>
      <c r="K145" s="120">
        <v>1.38E-2</v>
      </c>
      <c r="L145" s="105">
        <v>2722</v>
      </c>
      <c r="M145">
        <v>0.8</v>
      </c>
      <c r="N145">
        <v>0.76</v>
      </c>
      <c r="O145">
        <v>0.85</v>
      </c>
      <c r="P145" s="105">
        <v>2203</v>
      </c>
      <c r="Q145">
        <v>0.65</v>
      </c>
      <c r="R145">
        <v>0.61</v>
      </c>
      <c r="S145">
        <v>0.69</v>
      </c>
    </row>
    <row r="146" spans="1:19" x14ac:dyDescent="0.35">
      <c r="A146" t="str">
        <f t="shared" si="2"/>
        <v>2014/15NHS TaysideFemalesAll</v>
      </c>
      <c r="B146" t="s">
        <v>45</v>
      </c>
      <c r="C146" s="105" t="s">
        <v>39</v>
      </c>
      <c r="D146" s="105" t="s">
        <v>42</v>
      </c>
      <c r="E146" s="105" t="s">
        <v>31</v>
      </c>
      <c r="F146" s="105">
        <v>1300</v>
      </c>
      <c r="G146" s="105">
        <v>1200</v>
      </c>
      <c r="H146" s="105">
        <v>1400</v>
      </c>
      <c r="I146" s="120">
        <v>9.4999999999999998E-3</v>
      </c>
      <c r="J146" s="120">
        <v>8.8999999999999999E-3</v>
      </c>
      <c r="K146" s="120">
        <v>1.0200000000000001E-2</v>
      </c>
      <c r="L146" s="105">
        <v>1026</v>
      </c>
      <c r="M146">
        <v>0.79</v>
      </c>
      <c r="N146">
        <v>0.73</v>
      </c>
      <c r="O146">
        <v>0.86</v>
      </c>
      <c r="P146" s="105">
        <v>845</v>
      </c>
      <c r="Q146">
        <v>0.65</v>
      </c>
      <c r="R146">
        <v>0.6</v>
      </c>
      <c r="S146">
        <v>0.7</v>
      </c>
    </row>
    <row r="147" spans="1:19" x14ac:dyDescent="0.35">
      <c r="A147" t="str">
        <f t="shared" si="2"/>
        <v>2015/16NHS TaysideFemalesAll</v>
      </c>
      <c r="B147" t="s">
        <v>45</v>
      </c>
      <c r="C147" s="105" t="s">
        <v>44</v>
      </c>
      <c r="D147" s="105" t="s">
        <v>42</v>
      </c>
      <c r="E147" s="105" t="s">
        <v>31</v>
      </c>
      <c r="F147" s="105">
        <v>1300</v>
      </c>
      <c r="G147" s="105">
        <v>1200</v>
      </c>
      <c r="H147" s="105">
        <v>1300</v>
      </c>
      <c r="I147" s="120">
        <v>9.2999999999999992E-3</v>
      </c>
      <c r="J147" s="120">
        <v>8.6999999999999994E-3</v>
      </c>
      <c r="K147" s="120">
        <v>0.01</v>
      </c>
      <c r="L147" s="105">
        <v>1021</v>
      </c>
      <c r="M147">
        <v>0.79</v>
      </c>
      <c r="N147">
        <v>0.79</v>
      </c>
      <c r="O147">
        <v>0.85</v>
      </c>
      <c r="P147" s="105">
        <v>818</v>
      </c>
      <c r="Q147">
        <v>0.63</v>
      </c>
      <c r="R147">
        <v>0.63</v>
      </c>
      <c r="S147">
        <v>0.68</v>
      </c>
    </row>
    <row r="148" spans="1:19" x14ac:dyDescent="0.35">
      <c r="A148" t="str">
        <f t="shared" si="2"/>
        <v>2016/17NHS TaysideFemalesAll</v>
      </c>
      <c r="B148" t="s">
        <v>45</v>
      </c>
      <c r="C148" s="105" t="s">
        <v>46</v>
      </c>
      <c r="D148" s="105" t="s">
        <v>42</v>
      </c>
      <c r="E148" s="105" t="s">
        <v>31</v>
      </c>
      <c r="F148" s="105">
        <v>1200</v>
      </c>
      <c r="G148" s="105">
        <v>1100</v>
      </c>
      <c r="H148" s="105">
        <v>1300</v>
      </c>
      <c r="I148" s="120">
        <v>9.1000000000000004E-3</v>
      </c>
      <c r="J148" s="120">
        <v>8.5000000000000006E-3</v>
      </c>
      <c r="K148" s="120">
        <v>9.7999999999999997E-3</v>
      </c>
      <c r="L148" s="105">
        <v>1015</v>
      </c>
      <c r="M148">
        <v>0.85</v>
      </c>
      <c r="N148">
        <v>0.78</v>
      </c>
      <c r="O148">
        <v>0.92</v>
      </c>
      <c r="P148" s="105">
        <v>800</v>
      </c>
      <c r="Q148">
        <v>0.67</v>
      </c>
      <c r="R148">
        <v>0.62</v>
      </c>
      <c r="S148">
        <v>0.73</v>
      </c>
    </row>
    <row r="149" spans="1:19" x14ac:dyDescent="0.35">
      <c r="A149" t="str">
        <f t="shared" si="2"/>
        <v>2017/18NHS TaysideFemalesAll</v>
      </c>
      <c r="B149" t="s">
        <v>45</v>
      </c>
      <c r="C149" s="105" t="s">
        <v>47</v>
      </c>
      <c r="D149" s="105" t="s">
        <v>42</v>
      </c>
      <c r="E149" s="105" t="s">
        <v>31</v>
      </c>
      <c r="F149" s="105">
        <v>1200</v>
      </c>
      <c r="G149" s="105">
        <v>1100</v>
      </c>
      <c r="H149" s="105">
        <v>1200</v>
      </c>
      <c r="I149" s="120">
        <v>8.6999999999999994E-3</v>
      </c>
      <c r="J149" s="120">
        <v>8.2000000000000007E-3</v>
      </c>
      <c r="K149" s="120">
        <v>9.2999999999999992E-3</v>
      </c>
      <c r="L149" s="105">
        <v>992</v>
      </c>
      <c r="M149">
        <v>0.83</v>
      </c>
      <c r="N149">
        <v>0.83</v>
      </c>
      <c r="O149">
        <v>0.9</v>
      </c>
      <c r="P149" s="105">
        <v>764</v>
      </c>
      <c r="Q149">
        <v>0.64</v>
      </c>
      <c r="R149">
        <v>0.64</v>
      </c>
      <c r="S149">
        <v>0.69</v>
      </c>
    </row>
    <row r="150" spans="1:19" x14ac:dyDescent="0.35">
      <c r="A150" t="str">
        <f t="shared" si="2"/>
        <v>2018/19NHS TaysideFemalesAll</v>
      </c>
      <c r="B150" t="s">
        <v>45</v>
      </c>
      <c r="C150" s="105" t="s">
        <v>48</v>
      </c>
      <c r="D150" s="105" t="s">
        <v>42</v>
      </c>
      <c r="E150" s="105" t="s">
        <v>31</v>
      </c>
      <c r="F150" s="105">
        <v>1200</v>
      </c>
      <c r="G150" s="105">
        <v>1100</v>
      </c>
      <c r="H150" s="105">
        <v>1200</v>
      </c>
      <c r="I150" s="120">
        <v>8.6999999999999994E-3</v>
      </c>
      <c r="J150" s="120">
        <v>8.2000000000000007E-3</v>
      </c>
      <c r="K150" s="120">
        <v>9.2999999999999992E-3</v>
      </c>
      <c r="L150" s="105">
        <v>974</v>
      </c>
      <c r="M150">
        <v>0.81</v>
      </c>
      <c r="N150">
        <v>0.81</v>
      </c>
      <c r="O150">
        <v>0.89</v>
      </c>
      <c r="P150" s="105">
        <v>758</v>
      </c>
      <c r="Q150">
        <v>0.63</v>
      </c>
      <c r="R150">
        <v>0.63</v>
      </c>
      <c r="S150">
        <v>0.69</v>
      </c>
    </row>
    <row r="151" spans="1:19" x14ac:dyDescent="0.35">
      <c r="A151" t="str">
        <f t="shared" si="2"/>
        <v>2019/20NHS TaysideFemalesAll</v>
      </c>
      <c r="B151" t="s">
        <v>45</v>
      </c>
      <c r="C151" s="105" t="s">
        <v>49</v>
      </c>
      <c r="D151" s="105" t="s">
        <v>42</v>
      </c>
      <c r="E151" s="105" t="s">
        <v>31</v>
      </c>
      <c r="F151" s="105">
        <v>1200</v>
      </c>
      <c r="G151" s="105">
        <v>1100</v>
      </c>
      <c r="H151" s="105">
        <v>1300</v>
      </c>
      <c r="I151" s="120">
        <v>8.9999999999999993E-3</v>
      </c>
      <c r="J151" s="120">
        <v>8.3999999999999995E-3</v>
      </c>
      <c r="K151" s="120">
        <v>9.7000000000000003E-3</v>
      </c>
      <c r="L151" s="105">
        <v>980</v>
      </c>
      <c r="M151">
        <v>0.82</v>
      </c>
      <c r="N151">
        <v>0.75</v>
      </c>
      <c r="O151">
        <v>0.89</v>
      </c>
      <c r="P151" s="105">
        <v>803</v>
      </c>
      <c r="Q151">
        <v>0.67</v>
      </c>
      <c r="R151">
        <v>0.62</v>
      </c>
      <c r="S151">
        <v>0.73</v>
      </c>
    </row>
    <row r="152" spans="1:19" x14ac:dyDescent="0.35">
      <c r="A152" t="str">
        <f t="shared" si="2"/>
        <v>2020/21NHS TaysideFemalesAll</v>
      </c>
      <c r="B152" t="s">
        <v>45</v>
      </c>
      <c r="C152" s="105" t="s">
        <v>124</v>
      </c>
      <c r="D152" s="105" t="s">
        <v>42</v>
      </c>
      <c r="E152" s="105" t="s">
        <v>31</v>
      </c>
      <c r="F152" s="105">
        <v>1200</v>
      </c>
      <c r="G152" s="105">
        <v>1100</v>
      </c>
      <c r="H152" s="105">
        <v>1300</v>
      </c>
      <c r="I152" s="120">
        <v>9.1999999999999998E-3</v>
      </c>
      <c r="J152" s="120">
        <v>8.6E-3</v>
      </c>
      <c r="K152" s="120">
        <v>9.9000000000000008E-3</v>
      </c>
      <c r="L152" s="105">
        <v>980</v>
      </c>
      <c r="M152">
        <v>0.82</v>
      </c>
      <c r="N152">
        <v>0.75</v>
      </c>
      <c r="O152">
        <v>0.89</v>
      </c>
      <c r="P152" s="105">
        <v>827</v>
      </c>
      <c r="Q152">
        <v>0.69</v>
      </c>
      <c r="R152">
        <v>0.64</v>
      </c>
      <c r="S152">
        <v>0.75</v>
      </c>
    </row>
    <row r="153" spans="1:19" x14ac:dyDescent="0.35">
      <c r="A153" t="str">
        <f t="shared" si="2"/>
        <v>2021/22NHS TaysideFemalesAll</v>
      </c>
      <c r="B153" t="s">
        <v>45</v>
      </c>
      <c r="C153" s="105" t="s">
        <v>125</v>
      </c>
      <c r="D153" s="105" t="s">
        <v>42</v>
      </c>
      <c r="E153" s="105" t="s">
        <v>31</v>
      </c>
      <c r="F153" s="105">
        <v>1200</v>
      </c>
      <c r="G153" s="105">
        <v>1100</v>
      </c>
      <c r="H153" s="105">
        <v>1200</v>
      </c>
      <c r="I153" s="120">
        <v>8.6999999999999994E-3</v>
      </c>
      <c r="J153" s="120">
        <v>8.0999999999999996E-3</v>
      </c>
      <c r="K153" s="120">
        <v>9.2999999999999992E-3</v>
      </c>
      <c r="L153" s="105">
        <v>940</v>
      </c>
      <c r="M153">
        <v>0.78</v>
      </c>
      <c r="N153">
        <v>0.78</v>
      </c>
      <c r="O153">
        <v>0.85</v>
      </c>
      <c r="P153" s="105">
        <v>816</v>
      </c>
      <c r="Q153">
        <v>0.68</v>
      </c>
      <c r="R153">
        <v>0.68</v>
      </c>
      <c r="S153">
        <v>0.74</v>
      </c>
    </row>
    <row r="154" spans="1:19" x14ac:dyDescent="0.35">
      <c r="A154" t="str">
        <f t="shared" si="2"/>
        <v>2022/23NHS TaysideFemalesAll</v>
      </c>
      <c r="B154" t="s">
        <v>45</v>
      </c>
      <c r="C154" s="105" t="s">
        <v>126</v>
      </c>
      <c r="D154" s="105" t="s">
        <v>42</v>
      </c>
      <c r="E154" s="105" t="s">
        <v>31</v>
      </c>
      <c r="F154" s="105">
        <v>1100</v>
      </c>
      <c r="G154" s="105">
        <v>1000</v>
      </c>
      <c r="H154" s="105">
        <v>1200</v>
      </c>
      <c r="I154" s="120">
        <v>8.3000000000000001E-3</v>
      </c>
      <c r="J154" s="120">
        <v>7.7000000000000002E-3</v>
      </c>
      <c r="K154" s="120">
        <v>8.8999999999999999E-3</v>
      </c>
      <c r="L154" s="105">
        <v>916</v>
      </c>
      <c r="M154">
        <v>0.83</v>
      </c>
      <c r="N154">
        <v>0.76</v>
      </c>
      <c r="O154">
        <v>0.92</v>
      </c>
      <c r="P154" s="105">
        <v>771</v>
      </c>
      <c r="Q154">
        <v>0.7</v>
      </c>
      <c r="R154">
        <v>0.64</v>
      </c>
      <c r="S154">
        <v>0.77</v>
      </c>
    </row>
    <row r="155" spans="1:19" x14ac:dyDescent="0.35">
      <c r="A155" t="str">
        <f t="shared" si="2"/>
        <v>2014/15NHS TaysideMalesAll</v>
      </c>
      <c r="B155" t="s">
        <v>45</v>
      </c>
      <c r="C155" s="105" t="s">
        <v>39</v>
      </c>
      <c r="D155" s="105" t="s">
        <v>37</v>
      </c>
      <c r="E155" s="105" t="s">
        <v>31</v>
      </c>
      <c r="F155" s="105">
        <v>2500</v>
      </c>
      <c r="G155" s="105">
        <v>2400</v>
      </c>
      <c r="H155" s="105">
        <v>2700</v>
      </c>
      <c r="I155" s="120">
        <v>1.9300000000000001E-2</v>
      </c>
      <c r="J155" s="120">
        <v>1.7999999999999999E-2</v>
      </c>
      <c r="K155" s="120">
        <v>2.07E-2</v>
      </c>
      <c r="L155" s="105">
        <v>1821</v>
      </c>
      <c r="M155">
        <v>0.73</v>
      </c>
      <c r="N155">
        <v>0.67</v>
      </c>
      <c r="O155">
        <v>0.76</v>
      </c>
      <c r="P155" s="105">
        <v>1518</v>
      </c>
      <c r="Q155">
        <v>0.61</v>
      </c>
      <c r="R155">
        <v>0.56000000000000005</v>
      </c>
      <c r="S155">
        <v>0.63</v>
      </c>
    </row>
    <row r="156" spans="1:19" x14ac:dyDescent="0.35">
      <c r="A156" t="str">
        <f t="shared" si="2"/>
        <v>2015/16NHS TaysideMalesAll</v>
      </c>
      <c r="B156" t="s">
        <v>45</v>
      </c>
      <c r="C156" s="105" t="s">
        <v>44</v>
      </c>
      <c r="D156" s="105" t="s">
        <v>37</v>
      </c>
      <c r="E156" s="105" t="s">
        <v>31</v>
      </c>
      <c r="F156" s="105">
        <v>2400</v>
      </c>
      <c r="G156" s="105">
        <v>2300</v>
      </c>
      <c r="H156" s="105">
        <v>2600</v>
      </c>
      <c r="I156" s="120">
        <v>1.8700000000000001E-2</v>
      </c>
      <c r="J156" s="120">
        <v>1.7500000000000002E-2</v>
      </c>
      <c r="K156" s="120">
        <v>0.02</v>
      </c>
      <c r="L156" s="105">
        <v>1813</v>
      </c>
      <c r="M156">
        <v>0.76</v>
      </c>
      <c r="N156">
        <v>0.7</v>
      </c>
      <c r="O156">
        <v>0.79</v>
      </c>
      <c r="P156" s="105">
        <v>1461</v>
      </c>
      <c r="Q156">
        <v>0.61</v>
      </c>
      <c r="R156">
        <v>0.56000000000000005</v>
      </c>
      <c r="S156">
        <v>0.64</v>
      </c>
    </row>
    <row r="157" spans="1:19" x14ac:dyDescent="0.35">
      <c r="A157" t="str">
        <f t="shared" si="2"/>
        <v>2016/17NHS TaysideMalesAll</v>
      </c>
      <c r="B157" t="s">
        <v>45</v>
      </c>
      <c r="C157" s="105" t="s">
        <v>46</v>
      </c>
      <c r="D157" s="105" t="s">
        <v>37</v>
      </c>
      <c r="E157" s="105" t="s">
        <v>31</v>
      </c>
      <c r="F157" s="105">
        <v>2400</v>
      </c>
      <c r="G157" s="105">
        <v>2300</v>
      </c>
      <c r="H157" s="105">
        <v>2600</v>
      </c>
      <c r="I157" s="120">
        <v>1.83E-2</v>
      </c>
      <c r="J157" s="120">
        <v>1.7299999999999999E-2</v>
      </c>
      <c r="K157" s="120">
        <v>1.95E-2</v>
      </c>
      <c r="L157" s="105">
        <v>1817</v>
      </c>
      <c r="M157">
        <v>0.76</v>
      </c>
      <c r="N157">
        <v>0.7</v>
      </c>
      <c r="O157">
        <v>0.79</v>
      </c>
      <c r="P157" s="105">
        <v>1443</v>
      </c>
      <c r="Q157">
        <v>0.6</v>
      </c>
      <c r="R157">
        <v>0.56000000000000005</v>
      </c>
      <c r="S157">
        <v>0.63</v>
      </c>
    </row>
    <row r="158" spans="1:19" x14ac:dyDescent="0.35">
      <c r="A158" t="str">
        <f t="shared" si="2"/>
        <v>2017/18NHS TaysideMalesAll</v>
      </c>
      <c r="B158" t="s">
        <v>45</v>
      </c>
      <c r="C158" s="105" t="s">
        <v>47</v>
      </c>
      <c r="D158" s="105" t="s">
        <v>37</v>
      </c>
      <c r="E158" s="105" t="s">
        <v>31</v>
      </c>
      <c r="F158" s="105">
        <v>2300</v>
      </c>
      <c r="G158" s="105">
        <v>2200</v>
      </c>
      <c r="H158" s="105">
        <v>2400</v>
      </c>
      <c r="I158" s="120">
        <v>1.77E-2</v>
      </c>
      <c r="J158" s="120">
        <v>1.67E-2</v>
      </c>
      <c r="K158" s="120">
        <v>1.8700000000000001E-2</v>
      </c>
      <c r="L158" s="105">
        <v>1818</v>
      </c>
      <c r="M158">
        <v>0.79</v>
      </c>
      <c r="N158">
        <v>0.76</v>
      </c>
      <c r="O158">
        <v>0.83</v>
      </c>
      <c r="P158" s="105">
        <v>1458</v>
      </c>
      <c r="Q158">
        <v>0.63</v>
      </c>
      <c r="R158">
        <v>0.61</v>
      </c>
      <c r="S158">
        <v>0.66</v>
      </c>
    </row>
    <row r="159" spans="1:19" x14ac:dyDescent="0.35">
      <c r="A159" t="str">
        <f t="shared" si="2"/>
        <v>2018/19NHS TaysideMalesAll</v>
      </c>
      <c r="B159" t="s">
        <v>45</v>
      </c>
      <c r="C159" s="105" t="s">
        <v>48</v>
      </c>
      <c r="D159" s="105" t="s">
        <v>37</v>
      </c>
      <c r="E159" s="105" t="s">
        <v>31</v>
      </c>
      <c r="F159" s="105">
        <v>2300</v>
      </c>
      <c r="G159" s="105">
        <v>2200</v>
      </c>
      <c r="H159" s="105">
        <v>2500</v>
      </c>
      <c r="I159" s="120">
        <v>1.7899999999999999E-2</v>
      </c>
      <c r="J159" s="120">
        <v>1.6899999999999998E-2</v>
      </c>
      <c r="K159" s="120">
        <v>1.89E-2</v>
      </c>
      <c r="L159" s="105">
        <v>1794</v>
      </c>
      <c r="M159">
        <v>0.78</v>
      </c>
      <c r="N159">
        <v>0.72</v>
      </c>
      <c r="O159">
        <v>0.82</v>
      </c>
      <c r="P159" s="105">
        <v>1438</v>
      </c>
      <c r="Q159">
        <v>0.63</v>
      </c>
      <c r="R159">
        <v>0.57999999999999996</v>
      </c>
      <c r="S159">
        <v>0.65</v>
      </c>
    </row>
    <row r="160" spans="1:19" x14ac:dyDescent="0.35">
      <c r="A160" t="str">
        <f t="shared" si="2"/>
        <v>2019/20NHS TaysideMalesAll</v>
      </c>
      <c r="B160" t="s">
        <v>45</v>
      </c>
      <c r="C160" s="105" t="s">
        <v>49</v>
      </c>
      <c r="D160" s="105" t="s">
        <v>37</v>
      </c>
      <c r="E160" s="105" t="s">
        <v>31</v>
      </c>
      <c r="F160" s="105">
        <v>2500</v>
      </c>
      <c r="G160" s="105">
        <v>2300</v>
      </c>
      <c r="H160" s="105">
        <v>2600</v>
      </c>
      <c r="I160" s="120">
        <v>1.8800000000000001E-2</v>
      </c>
      <c r="J160" s="120">
        <v>1.77E-2</v>
      </c>
      <c r="K160" s="120">
        <v>0.02</v>
      </c>
      <c r="L160" s="105">
        <v>1822</v>
      </c>
      <c r="M160">
        <v>0.73</v>
      </c>
      <c r="N160">
        <v>0.7</v>
      </c>
      <c r="O160">
        <v>0.79</v>
      </c>
      <c r="P160" s="105">
        <v>1461</v>
      </c>
      <c r="Q160">
        <v>0.57999999999999996</v>
      </c>
      <c r="R160">
        <v>0.56000000000000005</v>
      </c>
      <c r="S160">
        <v>0.64</v>
      </c>
    </row>
    <row r="161" spans="1:19" x14ac:dyDescent="0.35">
      <c r="A161" t="str">
        <f t="shared" si="2"/>
        <v>2020/21NHS TaysideMalesAll</v>
      </c>
      <c r="B161" t="s">
        <v>45</v>
      </c>
      <c r="C161" s="105" t="s">
        <v>124</v>
      </c>
      <c r="D161" s="105" t="s">
        <v>37</v>
      </c>
      <c r="E161" s="105" t="s">
        <v>31</v>
      </c>
      <c r="F161" s="105">
        <v>2500</v>
      </c>
      <c r="G161" s="105">
        <v>2400</v>
      </c>
      <c r="H161" s="105">
        <v>2700</v>
      </c>
      <c r="I161" s="120">
        <v>1.95E-2</v>
      </c>
      <c r="J161" s="120">
        <v>1.83E-2</v>
      </c>
      <c r="K161" s="120">
        <v>2.07E-2</v>
      </c>
      <c r="L161" s="105">
        <v>1843</v>
      </c>
      <c r="M161">
        <v>0.74</v>
      </c>
      <c r="N161">
        <v>0.68</v>
      </c>
      <c r="O161">
        <v>0.77</v>
      </c>
      <c r="P161" s="105">
        <v>1532</v>
      </c>
      <c r="Q161">
        <v>0.61</v>
      </c>
      <c r="R161">
        <v>0.56999999999999995</v>
      </c>
      <c r="S161">
        <v>0.64</v>
      </c>
    </row>
    <row r="162" spans="1:19" x14ac:dyDescent="0.35">
      <c r="A162" t="str">
        <f t="shared" si="2"/>
        <v>2021/22NHS TaysideMalesAll</v>
      </c>
      <c r="B162" t="s">
        <v>45</v>
      </c>
      <c r="C162" s="105" t="s">
        <v>125</v>
      </c>
      <c r="D162" s="105" t="s">
        <v>37</v>
      </c>
      <c r="E162" s="105" t="s">
        <v>31</v>
      </c>
      <c r="F162" s="105">
        <v>2400</v>
      </c>
      <c r="G162" s="105">
        <v>2300</v>
      </c>
      <c r="H162" s="105">
        <v>2600</v>
      </c>
      <c r="I162" s="120">
        <v>1.8800000000000001E-2</v>
      </c>
      <c r="J162" s="120">
        <v>1.77E-2</v>
      </c>
      <c r="K162" s="120">
        <v>0.02</v>
      </c>
      <c r="L162" s="105">
        <v>1835</v>
      </c>
      <c r="M162">
        <v>0.76</v>
      </c>
      <c r="N162">
        <v>0.71</v>
      </c>
      <c r="O162">
        <v>0.8</v>
      </c>
      <c r="P162" s="105">
        <v>1529</v>
      </c>
      <c r="Q162">
        <v>0.64</v>
      </c>
      <c r="R162">
        <v>0.59</v>
      </c>
      <c r="S162">
        <v>0.66</v>
      </c>
    </row>
    <row r="163" spans="1:19" x14ac:dyDescent="0.35">
      <c r="A163" t="str">
        <f t="shared" si="2"/>
        <v>2022/23NHS TaysideMalesAll</v>
      </c>
      <c r="B163" t="s">
        <v>45</v>
      </c>
      <c r="C163" s="105" t="s">
        <v>126</v>
      </c>
      <c r="D163" s="105" t="s">
        <v>37</v>
      </c>
      <c r="E163" s="105" t="s">
        <v>31</v>
      </c>
      <c r="F163" s="105">
        <v>2300</v>
      </c>
      <c r="G163" s="105">
        <v>2200</v>
      </c>
      <c r="H163" s="105">
        <v>2400</v>
      </c>
      <c r="I163" s="120">
        <v>1.8100000000000002E-2</v>
      </c>
      <c r="J163" s="120">
        <v>1.7000000000000001E-2</v>
      </c>
      <c r="K163" s="120">
        <v>1.9199999999999998E-2</v>
      </c>
      <c r="L163" s="105">
        <v>1806</v>
      </c>
      <c r="M163">
        <v>0.79</v>
      </c>
      <c r="N163">
        <v>0.75</v>
      </c>
      <c r="O163">
        <v>0.82</v>
      </c>
      <c r="P163" s="105">
        <v>1432</v>
      </c>
      <c r="Q163">
        <v>0.62</v>
      </c>
      <c r="R163">
        <v>0.6</v>
      </c>
      <c r="S163">
        <v>0.65</v>
      </c>
    </row>
    <row r="164" spans="1:19" x14ac:dyDescent="0.35">
      <c r="A164" t="str">
        <f t="shared" si="2"/>
        <v>2014/15NHS FifeAllAll</v>
      </c>
      <c r="B164" t="s">
        <v>129</v>
      </c>
      <c r="C164" s="105" t="s">
        <v>39</v>
      </c>
      <c r="D164" s="105" t="s">
        <v>31</v>
      </c>
      <c r="E164" s="105" t="s">
        <v>31</v>
      </c>
      <c r="F164" s="105">
        <v>2900</v>
      </c>
      <c r="G164" s="105">
        <v>2700</v>
      </c>
      <c r="H164" s="105">
        <v>3100</v>
      </c>
      <c r="I164" s="120">
        <v>1.24E-2</v>
      </c>
      <c r="J164" s="120">
        <v>1.1599999999999999E-2</v>
      </c>
      <c r="K164" s="120">
        <v>1.3299999999999999E-2</v>
      </c>
      <c r="L164" s="105">
        <v>2089</v>
      </c>
      <c r="M164">
        <v>0.72</v>
      </c>
      <c r="N164">
        <v>0.67</v>
      </c>
      <c r="O164">
        <v>0.77</v>
      </c>
      <c r="P164" s="105">
        <v>1542</v>
      </c>
      <c r="Q164">
        <v>0.53</v>
      </c>
      <c r="R164">
        <v>0.5</v>
      </c>
      <c r="S164">
        <v>0.56999999999999995</v>
      </c>
    </row>
    <row r="165" spans="1:19" x14ac:dyDescent="0.35">
      <c r="A165" t="str">
        <f t="shared" si="2"/>
        <v>2015/16NHS FifeAllAll</v>
      </c>
      <c r="B165" t="s">
        <v>129</v>
      </c>
      <c r="C165" s="105" t="s">
        <v>44</v>
      </c>
      <c r="D165" s="105" t="s">
        <v>31</v>
      </c>
      <c r="E165" s="105" t="s">
        <v>31</v>
      </c>
      <c r="F165" s="105">
        <v>2800</v>
      </c>
      <c r="G165" s="105">
        <v>2700</v>
      </c>
      <c r="H165" s="105">
        <v>3000</v>
      </c>
      <c r="I165" s="120">
        <v>1.21E-2</v>
      </c>
      <c r="J165" s="120">
        <v>1.1299999999999999E-2</v>
      </c>
      <c r="K165" s="120">
        <v>1.29E-2</v>
      </c>
      <c r="L165" s="105">
        <v>2103</v>
      </c>
      <c r="M165">
        <v>0.75</v>
      </c>
      <c r="N165">
        <v>0.7</v>
      </c>
      <c r="O165">
        <v>0.78</v>
      </c>
      <c r="P165" s="105">
        <v>1705</v>
      </c>
      <c r="Q165">
        <v>0.61</v>
      </c>
      <c r="R165">
        <v>0.56999999999999995</v>
      </c>
      <c r="S165">
        <v>0.63</v>
      </c>
    </row>
    <row r="166" spans="1:19" x14ac:dyDescent="0.35">
      <c r="A166" t="str">
        <f t="shared" si="2"/>
        <v>2016/17NHS FifeAllAll</v>
      </c>
      <c r="B166" t="s">
        <v>129</v>
      </c>
      <c r="C166" s="105" t="s">
        <v>46</v>
      </c>
      <c r="D166" s="105" t="s">
        <v>31</v>
      </c>
      <c r="E166" s="105" t="s">
        <v>31</v>
      </c>
      <c r="F166" s="105">
        <v>2800</v>
      </c>
      <c r="G166" s="105">
        <v>2600</v>
      </c>
      <c r="H166" s="105">
        <v>3000</v>
      </c>
      <c r="I166" s="120">
        <v>1.18E-2</v>
      </c>
      <c r="J166" s="120">
        <v>1.11E-2</v>
      </c>
      <c r="K166" s="120">
        <v>1.2500000000000001E-2</v>
      </c>
      <c r="L166" s="105">
        <v>2095</v>
      </c>
      <c r="M166">
        <v>0.75</v>
      </c>
      <c r="N166">
        <v>0.7</v>
      </c>
      <c r="O166">
        <v>0.81</v>
      </c>
      <c r="P166" s="105">
        <v>1708</v>
      </c>
      <c r="Q166">
        <v>0.61</v>
      </c>
      <c r="R166">
        <v>0.56999999999999995</v>
      </c>
      <c r="S166">
        <v>0.66</v>
      </c>
    </row>
    <row r="167" spans="1:19" x14ac:dyDescent="0.35">
      <c r="A167" t="str">
        <f t="shared" si="2"/>
        <v>2017/18NHS FifeAllAll</v>
      </c>
      <c r="B167" t="s">
        <v>129</v>
      </c>
      <c r="C167" s="105" t="s">
        <v>47</v>
      </c>
      <c r="D167" s="105" t="s">
        <v>31</v>
      </c>
      <c r="E167" s="105" t="s">
        <v>31</v>
      </c>
      <c r="F167" s="105">
        <v>2700</v>
      </c>
      <c r="G167" s="105">
        <v>2500</v>
      </c>
      <c r="H167" s="105">
        <v>2800</v>
      </c>
      <c r="I167" s="120">
        <v>1.1299999999999999E-2</v>
      </c>
      <c r="J167" s="120">
        <v>1.0699999999999999E-2</v>
      </c>
      <c r="K167" s="120">
        <v>1.2E-2</v>
      </c>
      <c r="L167" s="105">
        <v>2096</v>
      </c>
      <c r="M167">
        <v>0.78</v>
      </c>
      <c r="N167">
        <v>0.75</v>
      </c>
      <c r="O167">
        <v>0.84</v>
      </c>
      <c r="P167" s="105">
        <v>1743</v>
      </c>
      <c r="Q167">
        <v>0.65</v>
      </c>
      <c r="R167">
        <v>0.62</v>
      </c>
      <c r="S167">
        <v>0.7</v>
      </c>
    </row>
    <row r="168" spans="1:19" x14ac:dyDescent="0.35">
      <c r="A168" t="str">
        <f t="shared" si="2"/>
        <v>2018/19NHS FifeAllAll</v>
      </c>
      <c r="B168" t="s">
        <v>129</v>
      </c>
      <c r="C168" s="105" t="s">
        <v>48</v>
      </c>
      <c r="D168" s="105" t="s">
        <v>31</v>
      </c>
      <c r="E168" s="105" t="s">
        <v>31</v>
      </c>
      <c r="F168" s="105">
        <v>2700</v>
      </c>
      <c r="G168" s="105">
        <v>2600</v>
      </c>
      <c r="H168" s="105">
        <v>2900</v>
      </c>
      <c r="I168" s="120">
        <v>1.15E-2</v>
      </c>
      <c r="J168" s="120">
        <v>1.09E-2</v>
      </c>
      <c r="K168" s="120">
        <v>1.2200000000000001E-2</v>
      </c>
      <c r="L168" s="105">
        <v>2091</v>
      </c>
      <c r="M168">
        <v>0.77</v>
      </c>
      <c r="N168">
        <v>0.72</v>
      </c>
      <c r="O168">
        <v>0.8</v>
      </c>
      <c r="P168" s="105">
        <v>1732</v>
      </c>
      <c r="Q168">
        <v>0.64</v>
      </c>
      <c r="R168">
        <v>0.6</v>
      </c>
      <c r="S168">
        <v>0.67</v>
      </c>
    </row>
    <row r="169" spans="1:19" x14ac:dyDescent="0.35">
      <c r="A169" t="str">
        <f t="shared" si="2"/>
        <v>2019/20NHS FifeAllAll</v>
      </c>
      <c r="B169" t="s">
        <v>129</v>
      </c>
      <c r="C169" s="105" t="s">
        <v>49</v>
      </c>
      <c r="D169" s="105" t="s">
        <v>31</v>
      </c>
      <c r="E169" s="105" t="s">
        <v>31</v>
      </c>
      <c r="F169" s="105">
        <v>2900</v>
      </c>
      <c r="G169" s="105">
        <v>2700</v>
      </c>
      <c r="H169" s="105">
        <v>3100</v>
      </c>
      <c r="I169" s="120">
        <v>1.2200000000000001E-2</v>
      </c>
      <c r="J169" s="120">
        <v>1.15E-2</v>
      </c>
      <c r="K169" s="120">
        <v>1.29E-2</v>
      </c>
      <c r="L169" s="105">
        <v>2125</v>
      </c>
      <c r="M169">
        <v>0.73</v>
      </c>
      <c r="N169">
        <v>0.69</v>
      </c>
      <c r="O169">
        <v>0.79</v>
      </c>
      <c r="P169" s="105">
        <v>1783</v>
      </c>
      <c r="Q169">
        <v>0.61</v>
      </c>
      <c r="R169">
        <v>0.57999999999999996</v>
      </c>
      <c r="S169">
        <v>0.66</v>
      </c>
    </row>
    <row r="170" spans="1:19" x14ac:dyDescent="0.35">
      <c r="A170" t="str">
        <f t="shared" si="2"/>
        <v>2020/21NHS FifeAllAll</v>
      </c>
      <c r="B170" t="s">
        <v>129</v>
      </c>
      <c r="C170" s="105" t="s">
        <v>124</v>
      </c>
      <c r="D170" s="105" t="s">
        <v>31</v>
      </c>
      <c r="E170" s="105" t="s">
        <v>31</v>
      </c>
      <c r="F170" s="105">
        <v>2900</v>
      </c>
      <c r="G170" s="105">
        <v>2700</v>
      </c>
      <c r="H170" s="105">
        <v>3100</v>
      </c>
      <c r="I170" s="120">
        <v>1.23E-2</v>
      </c>
      <c r="J170" s="120">
        <v>1.15E-2</v>
      </c>
      <c r="K170" s="120">
        <v>1.3100000000000001E-2</v>
      </c>
      <c r="L170" s="105">
        <v>2102</v>
      </c>
      <c r="M170">
        <v>0.72</v>
      </c>
      <c r="N170">
        <v>0.68</v>
      </c>
      <c r="O170">
        <v>0.78</v>
      </c>
      <c r="P170" s="105">
        <v>1810</v>
      </c>
      <c r="Q170">
        <v>0.62</v>
      </c>
      <c r="R170">
        <v>0.57999999999999996</v>
      </c>
      <c r="S170">
        <v>0.67</v>
      </c>
    </row>
    <row r="171" spans="1:19" x14ac:dyDescent="0.35">
      <c r="A171" t="str">
        <f t="shared" si="2"/>
        <v>2021/22NHS FifeAllAll</v>
      </c>
      <c r="B171" t="s">
        <v>129</v>
      </c>
      <c r="C171" s="105" t="s">
        <v>125</v>
      </c>
      <c r="D171" s="105" t="s">
        <v>31</v>
      </c>
      <c r="E171" s="105" t="s">
        <v>31</v>
      </c>
      <c r="F171" s="105">
        <v>2800</v>
      </c>
      <c r="G171" s="105">
        <v>2600</v>
      </c>
      <c r="H171" s="105">
        <v>3000</v>
      </c>
      <c r="I171" s="120">
        <v>1.1900000000000001E-2</v>
      </c>
      <c r="J171" s="120">
        <v>1.12E-2</v>
      </c>
      <c r="K171" s="120">
        <v>1.2699999999999999E-2</v>
      </c>
      <c r="L171" s="105">
        <v>2118</v>
      </c>
      <c r="M171">
        <v>0.76</v>
      </c>
      <c r="N171">
        <v>0.71</v>
      </c>
      <c r="O171">
        <v>0.81</v>
      </c>
      <c r="P171" s="105">
        <v>1842</v>
      </c>
      <c r="Q171">
        <v>0.66</v>
      </c>
      <c r="R171">
        <v>0.61</v>
      </c>
      <c r="S171">
        <v>0.71</v>
      </c>
    </row>
    <row r="172" spans="1:19" x14ac:dyDescent="0.35">
      <c r="A172" t="str">
        <f t="shared" si="2"/>
        <v>2022/23NHS FifeAllAll</v>
      </c>
      <c r="B172" t="s">
        <v>129</v>
      </c>
      <c r="C172" s="105" t="s">
        <v>126</v>
      </c>
      <c r="D172" s="105" t="s">
        <v>31</v>
      </c>
      <c r="E172" s="105" t="s">
        <v>31</v>
      </c>
      <c r="F172" s="105">
        <v>2700</v>
      </c>
      <c r="G172" s="105">
        <v>2500</v>
      </c>
      <c r="H172" s="105">
        <v>2800</v>
      </c>
      <c r="I172" s="120">
        <v>1.14E-2</v>
      </c>
      <c r="J172" s="120">
        <v>1.0699999999999999E-2</v>
      </c>
      <c r="K172" s="120">
        <v>1.21E-2</v>
      </c>
      <c r="L172" s="105">
        <v>2102</v>
      </c>
      <c r="M172">
        <v>0.78</v>
      </c>
      <c r="N172">
        <v>0.75</v>
      </c>
      <c r="O172">
        <v>0.84</v>
      </c>
      <c r="P172" s="105">
        <v>1838</v>
      </c>
      <c r="Q172">
        <v>0.68</v>
      </c>
      <c r="R172">
        <v>0.66</v>
      </c>
      <c r="S172">
        <v>0.74</v>
      </c>
    </row>
    <row r="173" spans="1:19" x14ac:dyDescent="0.35">
      <c r="A173" t="str">
        <f t="shared" si="2"/>
        <v>2014/15NHS FifeFemalesAll</v>
      </c>
      <c r="B173" t="s">
        <v>129</v>
      </c>
      <c r="C173" s="105" t="s">
        <v>39</v>
      </c>
      <c r="D173" s="105" t="s">
        <v>42</v>
      </c>
      <c r="E173" s="105" t="s">
        <v>31</v>
      </c>
      <c r="F173" s="105">
        <v>930</v>
      </c>
      <c r="G173" s="105">
        <v>850</v>
      </c>
      <c r="H173" s="105">
        <v>1000</v>
      </c>
      <c r="I173" s="120">
        <v>7.7000000000000002E-3</v>
      </c>
      <c r="J173" s="120">
        <v>7.0000000000000001E-3</v>
      </c>
      <c r="K173" s="120">
        <v>8.3999999999999995E-3</v>
      </c>
      <c r="L173" s="105">
        <v>691</v>
      </c>
      <c r="M173">
        <v>0.74</v>
      </c>
      <c r="N173">
        <v>0.69</v>
      </c>
      <c r="O173">
        <v>0.81</v>
      </c>
      <c r="P173" s="105">
        <v>510</v>
      </c>
      <c r="Q173">
        <v>0.55000000000000004</v>
      </c>
      <c r="R173">
        <v>0.51</v>
      </c>
      <c r="S173">
        <v>0.6</v>
      </c>
    </row>
    <row r="174" spans="1:19" x14ac:dyDescent="0.35">
      <c r="A174" t="str">
        <f t="shared" si="2"/>
        <v>2015/16NHS FifeFemalesAll</v>
      </c>
      <c r="B174" t="s">
        <v>129</v>
      </c>
      <c r="C174" s="105" t="s">
        <v>44</v>
      </c>
      <c r="D174" s="105" t="s">
        <v>42</v>
      </c>
      <c r="E174" s="105" t="s">
        <v>31</v>
      </c>
      <c r="F174" s="105">
        <v>910</v>
      </c>
      <c r="G174" s="105">
        <v>840</v>
      </c>
      <c r="H174" s="105">
        <v>990</v>
      </c>
      <c r="I174" s="120">
        <v>7.6E-3</v>
      </c>
      <c r="J174" s="120">
        <v>6.8999999999999999E-3</v>
      </c>
      <c r="K174" s="120">
        <v>8.2000000000000007E-3</v>
      </c>
      <c r="L174" s="105">
        <v>704</v>
      </c>
      <c r="M174">
        <v>0.77</v>
      </c>
      <c r="N174">
        <v>0.71</v>
      </c>
      <c r="O174">
        <v>0.84</v>
      </c>
      <c r="P174" s="105">
        <v>570</v>
      </c>
      <c r="Q174">
        <v>0.63</v>
      </c>
      <c r="R174">
        <v>0.57999999999999996</v>
      </c>
      <c r="S174">
        <v>0.68</v>
      </c>
    </row>
    <row r="175" spans="1:19" x14ac:dyDescent="0.35">
      <c r="A175" t="str">
        <f t="shared" si="2"/>
        <v>2016/17NHS FifeFemalesAll</v>
      </c>
      <c r="B175" t="s">
        <v>129</v>
      </c>
      <c r="C175" s="105" t="s">
        <v>46</v>
      </c>
      <c r="D175" s="105" t="s">
        <v>42</v>
      </c>
      <c r="E175" s="105" t="s">
        <v>31</v>
      </c>
      <c r="F175" s="105">
        <v>880</v>
      </c>
      <c r="G175" s="105">
        <v>810</v>
      </c>
      <c r="H175" s="105">
        <v>960</v>
      </c>
      <c r="I175" s="120">
        <v>7.3000000000000001E-3</v>
      </c>
      <c r="J175" s="120">
        <v>6.7000000000000002E-3</v>
      </c>
      <c r="K175" s="120">
        <v>7.9000000000000008E-3</v>
      </c>
      <c r="L175" s="105">
        <v>688</v>
      </c>
      <c r="M175">
        <v>0.78</v>
      </c>
      <c r="N175">
        <v>0.72</v>
      </c>
      <c r="O175">
        <v>0.85</v>
      </c>
      <c r="P175" s="105">
        <v>547</v>
      </c>
      <c r="Q175">
        <v>0.62</v>
      </c>
      <c r="R175">
        <v>0.56999999999999995</v>
      </c>
      <c r="S175">
        <v>0.68</v>
      </c>
    </row>
    <row r="176" spans="1:19" x14ac:dyDescent="0.35">
      <c r="A176" t="str">
        <f t="shared" si="2"/>
        <v>2017/18NHS FifeFemalesAll</v>
      </c>
      <c r="B176" t="s">
        <v>129</v>
      </c>
      <c r="C176" s="105" t="s">
        <v>47</v>
      </c>
      <c r="D176" s="105" t="s">
        <v>42</v>
      </c>
      <c r="E176" s="105" t="s">
        <v>31</v>
      </c>
      <c r="F176" s="105">
        <v>840</v>
      </c>
      <c r="G176" s="105">
        <v>780</v>
      </c>
      <c r="H176" s="105">
        <v>910</v>
      </c>
      <c r="I176" s="120">
        <v>7.0000000000000001E-3</v>
      </c>
      <c r="J176" s="120">
        <v>6.4999999999999997E-3</v>
      </c>
      <c r="K176" s="120">
        <v>7.6E-3</v>
      </c>
      <c r="L176" s="105">
        <v>681</v>
      </c>
      <c r="M176">
        <v>0.81</v>
      </c>
      <c r="N176">
        <v>0.75</v>
      </c>
      <c r="O176">
        <v>0.87</v>
      </c>
      <c r="P176" s="105">
        <v>559</v>
      </c>
      <c r="Q176">
        <v>0.67</v>
      </c>
      <c r="R176">
        <v>0.61</v>
      </c>
      <c r="S176">
        <v>0.72</v>
      </c>
    </row>
    <row r="177" spans="1:19" x14ac:dyDescent="0.35">
      <c r="A177" t="str">
        <f t="shared" si="2"/>
        <v>2018/19NHS FifeFemalesAll</v>
      </c>
      <c r="B177" t="s">
        <v>129</v>
      </c>
      <c r="C177" s="105" t="s">
        <v>48</v>
      </c>
      <c r="D177" s="105" t="s">
        <v>42</v>
      </c>
      <c r="E177" s="105" t="s">
        <v>31</v>
      </c>
      <c r="F177" s="105">
        <v>850</v>
      </c>
      <c r="G177" s="105">
        <v>780</v>
      </c>
      <c r="H177" s="105">
        <v>920</v>
      </c>
      <c r="I177" s="120">
        <v>7.0000000000000001E-3</v>
      </c>
      <c r="J177" s="120">
        <v>6.4999999999999997E-3</v>
      </c>
      <c r="K177" s="120">
        <v>7.6E-3</v>
      </c>
      <c r="L177" s="105">
        <v>673</v>
      </c>
      <c r="M177">
        <v>0.79</v>
      </c>
      <c r="N177">
        <v>0.73</v>
      </c>
      <c r="O177">
        <v>0.86</v>
      </c>
      <c r="P177" s="105">
        <v>555</v>
      </c>
      <c r="Q177">
        <v>0.65</v>
      </c>
      <c r="R177">
        <v>0.6</v>
      </c>
      <c r="S177">
        <v>0.71</v>
      </c>
    </row>
    <row r="178" spans="1:19" x14ac:dyDescent="0.35">
      <c r="A178" t="str">
        <f t="shared" si="2"/>
        <v>2019/20NHS FifeFemalesAll</v>
      </c>
      <c r="B178" t="s">
        <v>129</v>
      </c>
      <c r="C178" s="105" t="s">
        <v>49</v>
      </c>
      <c r="D178" s="105" t="s">
        <v>42</v>
      </c>
      <c r="E178" s="105" t="s">
        <v>31</v>
      </c>
      <c r="F178" s="105">
        <v>900</v>
      </c>
      <c r="G178" s="105">
        <v>830</v>
      </c>
      <c r="H178" s="105">
        <v>980</v>
      </c>
      <c r="I178" s="120">
        <v>7.4000000000000003E-3</v>
      </c>
      <c r="J178" s="120">
        <v>6.8999999999999999E-3</v>
      </c>
      <c r="K178" s="120">
        <v>8.0999999999999996E-3</v>
      </c>
      <c r="L178" s="105">
        <v>689</v>
      </c>
      <c r="M178">
        <v>0.77</v>
      </c>
      <c r="N178">
        <v>0.7</v>
      </c>
      <c r="O178">
        <v>0.83</v>
      </c>
      <c r="P178" s="105">
        <v>571</v>
      </c>
      <c r="Q178">
        <v>0.63</v>
      </c>
      <c r="R178">
        <v>0.57999999999999996</v>
      </c>
      <c r="S178">
        <v>0.69</v>
      </c>
    </row>
    <row r="179" spans="1:19" x14ac:dyDescent="0.35">
      <c r="A179" t="str">
        <f t="shared" si="2"/>
        <v>2020/21NHS FifeFemalesAll</v>
      </c>
      <c r="B179" t="s">
        <v>129</v>
      </c>
      <c r="C179" s="105" t="s">
        <v>124</v>
      </c>
      <c r="D179" s="105" t="s">
        <v>42</v>
      </c>
      <c r="E179" s="105" t="s">
        <v>31</v>
      </c>
      <c r="F179" s="105">
        <v>890</v>
      </c>
      <c r="G179" s="105">
        <v>820</v>
      </c>
      <c r="H179" s="105">
        <v>970</v>
      </c>
      <c r="I179" s="120">
        <v>7.4000000000000003E-3</v>
      </c>
      <c r="J179" s="120">
        <v>6.7999999999999996E-3</v>
      </c>
      <c r="K179" s="120">
        <v>8.0999999999999996E-3</v>
      </c>
      <c r="L179" s="105">
        <v>672</v>
      </c>
      <c r="M179">
        <v>0.76</v>
      </c>
      <c r="N179">
        <v>0.69</v>
      </c>
      <c r="O179">
        <v>0.82</v>
      </c>
      <c r="P179" s="105">
        <v>575</v>
      </c>
      <c r="Q179">
        <v>0.65</v>
      </c>
      <c r="R179">
        <v>0.59</v>
      </c>
      <c r="S179">
        <v>0.7</v>
      </c>
    </row>
    <row r="180" spans="1:19" x14ac:dyDescent="0.35">
      <c r="A180" t="str">
        <f t="shared" si="2"/>
        <v>2021/22NHS FifeFemalesAll</v>
      </c>
      <c r="B180" t="s">
        <v>129</v>
      </c>
      <c r="C180" s="105" t="s">
        <v>125</v>
      </c>
      <c r="D180" s="105" t="s">
        <v>42</v>
      </c>
      <c r="E180" s="105" t="s">
        <v>31</v>
      </c>
      <c r="F180" s="105">
        <v>860</v>
      </c>
      <c r="G180" s="105">
        <v>790</v>
      </c>
      <c r="H180" s="105">
        <v>940</v>
      </c>
      <c r="I180" s="120">
        <v>7.1999999999999998E-3</v>
      </c>
      <c r="J180" s="120">
        <v>6.6E-3</v>
      </c>
      <c r="K180" s="120">
        <v>7.7999999999999996E-3</v>
      </c>
      <c r="L180" s="105">
        <v>668</v>
      </c>
      <c r="M180">
        <v>0.78</v>
      </c>
      <c r="N180">
        <v>0.71</v>
      </c>
      <c r="O180">
        <v>0.85</v>
      </c>
      <c r="P180" s="105">
        <v>571</v>
      </c>
      <c r="Q180">
        <v>0.66</v>
      </c>
      <c r="R180">
        <v>0.61</v>
      </c>
      <c r="S180">
        <v>0.72</v>
      </c>
    </row>
    <row r="181" spans="1:19" x14ac:dyDescent="0.35">
      <c r="A181" t="str">
        <f t="shared" si="2"/>
        <v>2022/23NHS FifeFemalesAll</v>
      </c>
      <c r="B181" t="s">
        <v>129</v>
      </c>
      <c r="C181" s="105" t="s">
        <v>126</v>
      </c>
      <c r="D181" s="105" t="s">
        <v>42</v>
      </c>
      <c r="E181" s="105" t="s">
        <v>31</v>
      </c>
      <c r="F181" s="105">
        <v>820</v>
      </c>
      <c r="G181" s="105">
        <v>760</v>
      </c>
      <c r="H181" s="105">
        <v>890</v>
      </c>
      <c r="I181" s="120">
        <v>6.7999999999999996E-3</v>
      </c>
      <c r="J181" s="120">
        <v>6.3E-3</v>
      </c>
      <c r="K181" s="120">
        <v>7.4000000000000003E-3</v>
      </c>
      <c r="L181" s="105">
        <v>664</v>
      </c>
      <c r="M181">
        <v>0.81</v>
      </c>
      <c r="N181">
        <v>0.75</v>
      </c>
      <c r="O181">
        <v>0.87</v>
      </c>
      <c r="P181" s="105">
        <v>582</v>
      </c>
      <c r="Q181">
        <v>0.71</v>
      </c>
      <c r="R181">
        <v>0.65</v>
      </c>
      <c r="S181">
        <v>0.77</v>
      </c>
    </row>
    <row r="182" spans="1:19" x14ac:dyDescent="0.35">
      <c r="A182" t="str">
        <f t="shared" si="2"/>
        <v>2014/15NHS FifeMalesAll</v>
      </c>
      <c r="B182" t="s">
        <v>129</v>
      </c>
      <c r="C182" s="105" t="s">
        <v>39</v>
      </c>
      <c r="D182" s="105" t="s">
        <v>37</v>
      </c>
      <c r="E182" s="105" t="s">
        <v>31</v>
      </c>
      <c r="F182" s="105">
        <v>2000</v>
      </c>
      <c r="G182" s="105">
        <v>1900</v>
      </c>
      <c r="H182" s="105">
        <v>2200</v>
      </c>
      <c r="I182" s="120">
        <v>1.7399999999999999E-2</v>
      </c>
      <c r="J182" s="120">
        <v>1.61E-2</v>
      </c>
      <c r="K182" s="120">
        <v>1.8800000000000001E-2</v>
      </c>
      <c r="L182" s="105">
        <v>1398</v>
      </c>
      <c r="M182">
        <v>0.7</v>
      </c>
      <c r="N182">
        <v>0.64</v>
      </c>
      <c r="O182">
        <v>0.74</v>
      </c>
      <c r="P182" s="105">
        <v>1032</v>
      </c>
      <c r="Q182">
        <v>0.52</v>
      </c>
      <c r="R182">
        <v>0.47</v>
      </c>
      <c r="S182">
        <v>0.54</v>
      </c>
    </row>
    <row r="183" spans="1:19" x14ac:dyDescent="0.35">
      <c r="A183" t="str">
        <f t="shared" si="2"/>
        <v>2015/16NHS FifeMalesAll</v>
      </c>
      <c r="B183" t="s">
        <v>129</v>
      </c>
      <c r="C183" s="105" t="s">
        <v>44</v>
      </c>
      <c r="D183" s="105" t="s">
        <v>37</v>
      </c>
      <c r="E183" s="105" t="s">
        <v>31</v>
      </c>
      <c r="F183" s="105">
        <v>1900</v>
      </c>
      <c r="G183" s="105">
        <v>1800</v>
      </c>
      <c r="H183" s="105">
        <v>2100</v>
      </c>
      <c r="I183" s="120">
        <v>1.6899999999999998E-2</v>
      </c>
      <c r="J183" s="120">
        <v>1.5699999999999999E-2</v>
      </c>
      <c r="K183" s="120">
        <v>1.8200000000000001E-2</v>
      </c>
      <c r="L183" s="105">
        <v>1399</v>
      </c>
      <c r="M183">
        <v>0.74</v>
      </c>
      <c r="N183">
        <v>0.67</v>
      </c>
      <c r="O183">
        <v>0.78</v>
      </c>
      <c r="P183" s="105">
        <v>1135</v>
      </c>
      <c r="Q183">
        <v>0.6</v>
      </c>
      <c r="R183">
        <v>0.54</v>
      </c>
      <c r="S183">
        <v>0.63</v>
      </c>
    </row>
    <row r="184" spans="1:19" x14ac:dyDescent="0.35">
      <c r="A184" t="str">
        <f t="shared" si="2"/>
        <v>2016/17NHS FifeMalesAll</v>
      </c>
      <c r="B184" t="s">
        <v>129</v>
      </c>
      <c r="C184" s="105" t="s">
        <v>46</v>
      </c>
      <c r="D184" s="105" t="s">
        <v>37</v>
      </c>
      <c r="E184" s="105" t="s">
        <v>31</v>
      </c>
      <c r="F184" s="105">
        <v>1900</v>
      </c>
      <c r="G184" s="105">
        <v>1800</v>
      </c>
      <c r="H184" s="105">
        <v>2000</v>
      </c>
      <c r="I184" s="120">
        <v>1.6500000000000001E-2</v>
      </c>
      <c r="J184" s="120">
        <v>1.54E-2</v>
      </c>
      <c r="K184" s="120">
        <v>1.77E-2</v>
      </c>
      <c r="L184" s="105">
        <v>1407</v>
      </c>
      <c r="M184">
        <v>0.74</v>
      </c>
      <c r="N184">
        <v>0.7</v>
      </c>
      <c r="O184">
        <v>0.78</v>
      </c>
      <c r="P184" s="105">
        <v>1161</v>
      </c>
      <c r="Q184">
        <v>0.61</v>
      </c>
      <c r="R184">
        <v>0.57999999999999996</v>
      </c>
      <c r="S184">
        <v>0.65</v>
      </c>
    </row>
    <row r="185" spans="1:19" x14ac:dyDescent="0.35">
      <c r="A185" t="str">
        <f t="shared" si="2"/>
        <v>2017/18NHS FifeMalesAll</v>
      </c>
      <c r="B185" t="s">
        <v>129</v>
      </c>
      <c r="C185" s="105" t="s">
        <v>47</v>
      </c>
      <c r="D185" s="105" t="s">
        <v>37</v>
      </c>
      <c r="E185" s="105" t="s">
        <v>31</v>
      </c>
      <c r="F185" s="105">
        <v>1800</v>
      </c>
      <c r="G185" s="105">
        <v>1700</v>
      </c>
      <c r="H185" s="105">
        <v>2000</v>
      </c>
      <c r="I185" s="120">
        <v>1.5900000000000001E-2</v>
      </c>
      <c r="J185" s="120">
        <v>1.49E-2</v>
      </c>
      <c r="K185" s="120">
        <v>1.6899999999999998E-2</v>
      </c>
      <c r="L185" s="105">
        <v>1415</v>
      </c>
      <c r="M185">
        <v>0.79</v>
      </c>
      <c r="N185">
        <v>0.71</v>
      </c>
      <c r="O185">
        <v>0.83</v>
      </c>
      <c r="P185" s="105">
        <v>1184</v>
      </c>
      <c r="Q185">
        <v>0.66</v>
      </c>
      <c r="R185">
        <v>0.59</v>
      </c>
      <c r="S185">
        <v>0.7</v>
      </c>
    </row>
    <row r="186" spans="1:19" x14ac:dyDescent="0.35">
      <c r="A186" t="str">
        <f t="shared" si="2"/>
        <v>2018/19NHS FifeMalesAll</v>
      </c>
      <c r="B186" t="s">
        <v>129</v>
      </c>
      <c r="C186" s="105" t="s">
        <v>48</v>
      </c>
      <c r="D186" s="105" t="s">
        <v>37</v>
      </c>
      <c r="E186" s="105" t="s">
        <v>31</v>
      </c>
      <c r="F186" s="105">
        <v>1900</v>
      </c>
      <c r="G186" s="105">
        <v>1800</v>
      </c>
      <c r="H186" s="105">
        <v>2000</v>
      </c>
      <c r="I186" s="120">
        <v>1.6199999999999999E-2</v>
      </c>
      <c r="J186" s="120">
        <v>1.52E-2</v>
      </c>
      <c r="K186" s="120">
        <v>1.7299999999999999E-2</v>
      </c>
      <c r="L186" s="105">
        <v>1418</v>
      </c>
      <c r="M186">
        <v>0.75</v>
      </c>
      <c r="N186">
        <v>0.71</v>
      </c>
      <c r="O186">
        <v>0.79</v>
      </c>
      <c r="P186" s="105">
        <v>1177</v>
      </c>
      <c r="Q186">
        <v>0.62</v>
      </c>
      <c r="R186">
        <v>0.59</v>
      </c>
      <c r="S186">
        <v>0.65</v>
      </c>
    </row>
    <row r="187" spans="1:19" x14ac:dyDescent="0.35">
      <c r="A187" t="str">
        <f t="shared" si="2"/>
        <v>2019/20NHS FifeMalesAll</v>
      </c>
      <c r="B187" t="s">
        <v>129</v>
      </c>
      <c r="C187" s="105" t="s">
        <v>49</v>
      </c>
      <c r="D187" s="105" t="s">
        <v>37</v>
      </c>
      <c r="E187" s="105" t="s">
        <v>31</v>
      </c>
      <c r="F187" s="105">
        <v>2000</v>
      </c>
      <c r="G187" s="105">
        <v>1800</v>
      </c>
      <c r="H187" s="105">
        <v>2100</v>
      </c>
      <c r="I187" s="120">
        <v>1.7100000000000001E-2</v>
      </c>
      <c r="J187" s="120">
        <v>1.6E-2</v>
      </c>
      <c r="K187" s="120">
        <v>1.83E-2</v>
      </c>
      <c r="L187" s="105">
        <v>1436</v>
      </c>
      <c r="M187">
        <v>0.72</v>
      </c>
      <c r="N187">
        <v>0.68</v>
      </c>
      <c r="O187">
        <v>0.8</v>
      </c>
      <c r="P187" s="105">
        <v>1212</v>
      </c>
      <c r="Q187">
        <v>0.61</v>
      </c>
      <c r="R187">
        <v>0.57999999999999996</v>
      </c>
      <c r="S187">
        <v>0.67</v>
      </c>
    </row>
    <row r="188" spans="1:19" x14ac:dyDescent="0.35">
      <c r="A188" t="str">
        <f t="shared" si="2"/>
        <v>2020/21NHS FifeMalesAll</v>
      </c>
      <c r="B188" t="s">
        <v>129</v>
      </c>
      <c r="C188" s="105" t="s">
        <v>124</v>
      </c>
      <c r="D188" s="105" t="s">
        <v>37</v>
      </c>
      <c r="E188" s="105" t="s">
        <v>31</v>
      </c>
      <c r="F188" s="105">
        <v>2000</v>
      </c>
      <c r="G188" s="105">
        <v>1900</v>
      </c>
      <c r="H188" s="105">
        <v>2100</v>
      </c>
      <c r="I188" s="120">
        <v>1.7399999999999999E-2</v>
      </c>
      <c r="J188" s="120">
        <v>1.6199999999999999E-2</v>
      </c>
      <c r="K188" s="120">
        <v>1.8599999999999998E-2</v>
      </c>
      <c r="L188" s="105">
        <v>1430</v>
      </c>
      <c r="M188">
        <v>0.72</v>
      </c>
      <c r="N188">
        <v>0.68</v>
      </c>
      <c r="O188">
        <v>0.75</v>
      </c>
      <c r="P188" s="105">
        <v>1235</v>
      </c>
      <c r="Q188">
        <v>0.62</v>
      </c>
      <c r="R188">
        <v>0.59</v>
      </c>
      <c r="S188">
        <v>0.65</v>
      </c>
    </row>
    <row r="189" spans="1:19" x14ac:dyDescent="0.35">
      <c r="A189" t="str">
        <f t="shared" si="2"/>
        <v>2021/22NHS FifeMalesAll</v>
      </c>
      <c r="B189" t="s">
        <v>129</v>
      </c>
      <c r="C189" s="105" t="s">
        <v>125</v>
      </c>
      <c r="D189" s="105" t="s">
        <v>37</v>
      </c>
      <c r="E189" s="105" t="s">
        <v>31</v>
      </c>
      <c r="F189" s="105">
        <v>1900</v>
      </c>
      <c r="G189" s="105">
        <v>1800</v>
      </c>
      <c r="H189" s="105">
        <v>2100</v>
      </c>
      <c r="I189" s="120">
        <v>1.6899999999999998E-2</v>
      </c>
      <c r="J189" s="120">
        <v>1.5800000000000002E-2</v>
      </c>
      <c r="K189" s="120">
        <v>1.8100000000000002E-2</v>
      </c>
      <c r="L189" s="105">
        <v>1450</v>
      </c>
      <c r="M189">
        <v>0.76</v>
      </c>
      <c r="N189">
        <v>0.69</v>
      </c>
      <c r="O189">
        <v>0.81</v>
      </c>
      <c r="P189" s="105">
        <v>1271</v>
      </c>
      <c r="Q189">
        <v>0.67</v>
      </c>
      <c r="R189">
        <v>0.61</v>
      </c>
      <c r="S189">
        <v>0.71</v>
      </c>
    </row>
    <row r="190" spans="1:19" x14ac:dyDescent="0.35">
      <c r="A190" t="str">
        <f t="shared" si="2"/>
        <v>2022/23NHS FifeMalesAll</v>
      </c>
      <c r="B190" t="s">
        <v>129</v>
      </c>
      <c r="C190" s="105" t="s">
        <v>126</v>
      </c>
      <c r="D190" s="105" t="s">
        <v>37</v>
      </c>
      <c r="E190" s="105" t="s">
        <v>31</v>
      </c>
      <c r="F190" s="105">
        <v>1800</v>
      </c>
      <c r="G190" s="105">
        <v>1700</v>
      </c>
      <c r="H190" s="105">
        <v>2000</v>
      </c>
      <c r="I190" s="120">
        <v>1.6199999999999999E-2</v>
      </c>
      <c r="J190" s="120">
        <v>1.52E-2</v>
      </c>
      <c r="K190" s="120">
        <v>1.7299999999999999E-2</v>
      </c>
      <c r="L190" s="105">
        <v>1438</v>
      </c>
      <c r="M190">
        <v>0.8</v>
      </c>
      <c r="N190">
        <v>0.72</v>
      </c>
      <c r="O190">
        <v>0.85</v>
      </c>
      <c r="P190" s="105">
        <v>1256</v>
      </c>
      <c r="Q190">
        <v>0.7</v>
      </c>
      <c r="R190">
        <v>0.63</v>
      </c>
      <c r="S190">
        <v>0.74</v>
      </c>
    </row>
    <row r="191" spans="1:19" x14ac:dyDescent="0.35">
      <c r="A191" t="str">
        <f t="shared" si="2"/>
        <v>2014/15NHS Ayrshire &amp; ArranAllAll</v>
      </c>
      <c r="B191" t="s">
        <v>130</v>
      </c>
      <c r="C191" s="105" t="s">
        <v>39</v>
      </c>
      <c r="D191" s="105" t="s">
        <v>31</v>
      </c>
      <c r="E191" s="105" t="s">
        <v>31</v>
      </c>
      <c r="F191" s="105">
        <v>4100</v>
      </c>
      <c r="G191" s="105">
        <v>3900</v>
      </c>
      <c r="H191" s="105">
        <v>4400</v>
      </c>
      <c r="I191" s="120">
        <v>1.7600000000000001E-2</v>
      </c>
      <c r="J191" s="120">
        <v>1.66E-2</v>
      </c>
      <c r="K191" s="120">
        <v>1.8800000000000001E-2</v>
      </c>
      <c r="L191" s="105">
        <v>3086</v>
      </c>
      <c r="M191">
        <v>0.75</v>
      </c>
      <c r="N191">
        <v>0.7</v>
      </c>
      <c r="O191">
        <v>0.79</v>
      </c>
      <c r="P191" s="105">
        <v>2593</v>
      </c>
      <c r="Q191">
        <v>0.63</v>
      </c>
      <c r="R191">
        <v>0.59</v>
      </c>
      <c r="S191">
        <v>0.66</v>
      </c>
    </row>
    <row r="192" spans="1:19" x14ac:dyDescent="0.35">
      <c r="A192" t="str">
        <f t="shared" si="2"/>
        <v>2015/16NHS Ayrshire &amp; ArranAllAll</v>
      </c>
      <c r="B192" t="s">
        <v>130</v>
      </c>
      <c r="C192" s="105" t="s">
        <v>44</v>
      </c>
      <c r="D192" s="105" t="s">
        <v>31</v>
      </c>
      <c r="E192" s="105" t="s">
        <v>31</v>
      </c>
      <c r="F192" s="105">
        <v>4000</v>
      </c>
      <c r="G192" s="105">
        <v>3800</v>
      </c>
      <c r="H192" s="105">
        <v>4300</v>
      </c>
      <c r="I192" s="120">
        <v>1.7299999999999999E-2</v>
      </c>
      <c r="J192" s="120">
        <v>1.6400000000000001E-2</v>
      </c>
      <c r="K192" s="120">
        <v>1.83E-2</v>
      </c>
      <c r="L192" s="105">
        <v>3100</v>
      </c>
      <c r="M192">
        <v>0.78</v>
      </c>
      <c r="N192">
        <v>0.72</v>
      </c>
      <c r="O192">
        <v>0.82</v>
      </c>
      <c r="P192" s="105">
        <v>2527</v>
      </c>
      <c r="Q192">
        <v>0.63</v>
      </c>
      <c r="R192">
        <v>0.59</v>
      </c>
      <c r="S192">
        <v>0.67</v>
      </c>
    </row>
    <row r="193" spans="1:19" x14ac:dyDescent="0.35">
      <c r="A193" t="str">
        <f t="shared" si="2"/>
        <v>2016/17NHS Ayrshire &amp; ArranAllAll</v>
      </c>
      <c r="B193" t="s">
        <v>130</v>
      </c>
      <c r="C193" s="105" t="s">
        <v>46</v>
      </c>
      <c r="D193" s="105" t="s">
        <v>31</v>
      </c>
      <c r="E193" s="105" t="s">
        <v>31</v>
      </c>
      <c r="F193" s="105">
        <v>3900</v>
      </c>
      <c r="G193" s="105">
        <v>3700</v>
      </c>
      <c r="H193" s="105">
        <v>4100</v>
      </c>
      <c r="I193" s="120">
        <v>1.6899999999999998E-2</v>
      </c>
      <c r="J193" s="120">
        <v>1.61E-2</v>
      </c>
      <c r="K193" s="120">
        <v>1.7899999999999999E-2</v>
      </c>
      <c r="L193" s="105">
        <v>3082</v>
      </c>
      <c r="M193">
        <v>0.79</v>
      </c>
      <c r="N193">
        <v>0.75</v>
      </c>
      <c r="O193">
        <v>0.83</v>
      </c>
      <c r="P193" s="105">
        <v>2520</v>
      </c>
      <c r="Q193">
        <v>0.65</v>
      </c>
      <c r="R193">
        <v>0.61</v>
      </c>
      <c r="S193">
        <v>0.68</v>
      </c>
    </row>
    <row r="194" spans="1:19" x14ac:dyDescent="0.35">
      <c r="A194" t="str">
        <f t="shared" si="2"/>
        <v>2017/18NHS Ayrshire &amp; ArranAllAll</v>
      </c>
      <c r="B194" t="s">
        <v>130</v>
      </c>
      <c r="C194" s="105" t="s">
        <v>47</v>
      </c>
      <c r="D194" s="105" t="s">
        <v>31</v>
      </c>
      <c r="E194" s="105" t="s">
        <v>31</v>
      </c>
      <c r="F194" s="105">
        <v>3700</v>
      </c>
      <c r="G194" s="105">
        <v>3600</v>
      </c>
      <c r="H194" s="105">
        <v>3900</v>
      </c>
      <c r="I194" s="120">
        <v>1.6199999999999999E-2</v>
      </c>
      <c r="J194" s="120">
        <v>1.55E-2</v>
      </c>
      <c r="K194" s="120">
        <v>1.7000000000000001E-2</v>
      </c>
      <c r="L194" s="105">
        <v>3030</v>
      </c>
      <c r="M194">
        <v>0.82</v>
      </c>
      <c r="N194">
        <v>0.78</v>
      </c>
      <c r="O194">
        <v>0.84</v>
      </c>
      <c r="P194" s="105">
        <v>2526</v>
      </c>
      <c r="Q194">
        <v>0.68</v>
      </c>
      <c r="R194">
        <v>0.65</v>
      </c>
      <c r="S194">
        <v>0.7</v>
      </c>
    </row>
    <row r="195" spans="1:19" x14ac:dyDescent="0.35">
      <c r="A195" t="str">
        <f t="shared" ref="A195:A217" si="3">C195&amp;B195&amp;D195&amp;E195</f>
        <v>2018/19NHS Ayrshire &amp; ArranAllAll</v>
      </c>
      <c r="B195" t="s">
        <v>130</v>
      </c>
      <c r="C195" s="105" t="s">
        <v>48</v>
      </c>
      <c r="D195" s="105" t="s">
        <v>31</v>
      </c>
      <c r="E195" s="105" t="s">
        <v>31</v>
      </c>
      <c r="F195" s="105">
        <v>3700</v>
      </c>
      <c r="G195" s="105">
        <v>3600</v>
      </c>
      <c r="H195" s="105">
        <v>3900</v>
      </c>
      <c r="I195" s="120">
        <v>1.6299999999999999E-2</v>
      </c>
      <c r="J195" s="120">
        <v>1.55E-2</v>
      </c>
      <c r="K195" s="120">
        <v>1.7100000000000001E-2</v>
      </c>
      <c r="L195" s="105">
        <v>2968</v>
      </c>
      <c r="M195">
        <v>0.8</v>
      </c>
      <c r="N195">
        <v>0.76</v>
      </c>
      <c r="O195">
        <v>0.82</v>
      </c>
      <c r="P195" s="105">
        <v>2443</v>
      </c>
      <c r="Q195">
        <v>0.66</v>
      </c>
      <c r="R195">
        <v>0.63</v>
      </c>
      <c r="S195">
        <v>0.68</v>
      </c>
    </row>
    <row r="196" spans="1:19" x14ac:dyDescent="0.35">
      <c r="A196" t="str">
        <f t="shared" si="3"/>
        <v>2019/20NHS Ayrshire &amp; ArranAllAll</v>
      </c>
      <c r="B196" t="s">
        <v>130</v>
      </c>
      <c r="C196" s="105" t="s">
        <v>49</v>
      </c>
      <c r="D196" s="105" t="s">
        <v>31</v>
      </c>
      <c r="E196" s="105" t="s">
        <v>31</v>
      </c>
      <c r="F196" s="105">
        <v>3800</v>
      </c>
      <c r="G196" s="105">
        <v>3600</v>
      </c>
      <c r="H196" s="105">
        <v>4000</v>
      </c>
      <c r="I196" s="120">
        <v>1.6799999999999999E-2</v>
      </c>
      <c r="J196" s="120">
        <v>1.5900000000000001E-2</v>
      </c>
      <c r="K196" s="120">
        <v>1.77E-2</v>
      </c>
      <c r="L196" s="105">
        <v>2921</v>
      </c>
      <c r="M196">
        <v>0.77</v>
      </c>
      <c r="N196">
        <v>0.73</v>
      </c>
      <c r="O196">
        <v>0.81</v>
      </c>
      <c r="P196" s="105">
        <v>2398</v>
      </c>
      <c r="Q196">
        <v>0.63</v>
      </c>
      <c r="R196">
        <v>0.6</v>
      </c>
      <c r="S196">
        <v>0.67</v>
      </c>
    </row>
    <row r="197" spans="1:19" x14ac:dyDescent="0.35">
      <c r="A197" t="str">
        <f t="shared" si="3"/>
        <v>2020/21NHS Ayrshire &amp; ArranAllAll</v>
      </c>
      <c r="B197" t="s">
        <v>130</v>
      </c>
      <c r="C197" s="105" t="s">
        <v>124</v>
      </c>
      <c r="D197" s="105" t="s">
        <v>31</v>
      </c>
      <c r="E197" s="105" t="s">
        <v>31</v>
      </c>
      <c r="F197" s="105">
        <v>3900</v>
      </c>
      <c r="G197" s="105">
        <v>3700</v>
      </c>
      <c r="H197" s="105">
        <v>4100</v>
      </c>
      <c r="I197" s="120">
        <v>1.7000000000000001E-2</v>
      </c>
      <c r="J197" s="120">
        <v>1.6199999999999999E-2</v>
      </c>
      <c r="K197" s="120">
        <v>1.7999999999999999E-2</v>
      </c>
      <c r="L197" s="105">
        <v>2907</v>
      </c>
      <c r="M197">
        <v>0.75</v>
      </c>
      <c r="N197">
        <v>0.71</v>
      </c>
      <c r="O197">
        <v>0.79</v>
      </c>
      <c r="P197" s="105">
        <v>2408</v>
      </c>
      <c r="Q197">
        <v>0.62</v>
      </c>
      <c r="R197">
        <v>0.59</v>
      </c>
      <c r="S197">
        <v>0.65</v>
      </c>
    </row>
    <row r="198" spans="1:19" x14ac:dyDescent="0.35">
      <c r="A198" t="str">
        <f t="shared" si="3"/>
        <v>2021/22NHS Ayrshire &amp; ArranAllAll</v>
      </c>
      <c r="B198" t="s">
        <v>130</v>
      </c>
      <c r="C198" s="105" t="s">
        <v>125</v>
      </c>
      <c r="D198" s="105" t="s">
        <v>31</v>
      </c>
      <c r="E198" s="105" t="s">
        <v>31</v>
      </c>
      <c r="F198" s="105">
        <v>3700</v>
      </c>
      <c r="G198" s="105">
        <v>3600</v>
      </c>
      <c r="H198" s="105">
        <v>4000</v>
      </c>
      <c r="I198" s="120">
        <v>1.6500000000000001E-2</v>
      </c>
      <c r="J198" s="120">
        <v>1.5699999999999999E-2</v>
      </c>
      <c r="K198" s="120">
        <v>1.7500000000000002E-2</v>
      </c>
      <c r="L198" s="105">
        <v>2916</v>
      </c>
      <c r="M198">
        <v>0.79</v>
      </c>
      <c r="N198">
        <v>0.73</v>
      </c>
      <c r="O198">
        <v>0.81</v>
      </c>
      <c r="P198" s="105">
        <v>2490</v>
      </c>
      <c r="Q198">
        <v>0.67</v>
      </c>
      <c r="R198">
        <v>0.62</v>
      </c>
      <c r="S198">
        <v>0.69</v>
      </c>
    </row>
    <row r="199" spans="1:19" x14ac:dyDescent="0.35">
      <c r="A199" t="str">
        <f t="shared" si="3"/>
        <v>2022/23NHS Ayrshire &amp; ArranAllAll</v>
      </c>
      <c r="B199" t="s">
        <v>130</v>
      </c>
      <c r="C199" s="105" t="s">
        <v>126</v>
      </c>
      <c r="D199" s="105" t="s">
        <v>31</v>
      </c>
      <c r="E199" s="105" t="s">
        <v>31</v>
      </c>
      <c r="F199" s="105">
        <v>3600</v>
      </c>
      <c r="G199" s="105">
        <v>3400</v>
      </c>
      <c r="H199" s="105">
        <v>3800</v>
      </c>
      <c r="I199" s="120">
        <v>1.5900000000000001E-2</v>
      </c>
      <c r="J199" s="120">
        <v>1.52E-2</v>
      </c>
      <c r="K199" s="120">
        <v>1.6799999999999999E-2</v>
      </c>
      <c r="L199" s="105">
        <v>2896</v>
      </c>
      <c r="M199">
        <v>0.8</v>
      </c>
      <c r="N199">
        <v>0.76</v>
      </c>
      <c r="O199">
        <v>0.85</v>
      </c>
      <c r="P199" s="105">
        <v>2408</v>
      </c>
      <c r="Q199">
        <v>0.67</v>
      </c>
      <c r="R199">
        <v>0.63</v>
      </c>
      <c r="S199">
        <v>0.71</v>
      </c>
    </row>
    <row r="200" spans="1:19" x14ac:dyDescent="0.35">
      <c r="A200" t="str">
        <f t="shared" si="3"/>
        <v>2014/15NHS Ayrshire &amp; ArranFemalesAll</v>
      </c>
      <c r="B200" t="s">
        <v>130</v>
      </c>
      <c r="C200" s="105" t="s">
        <v>39</v>
      </c>
      <c r="D200" s="105" t="s">
        <v>42</v>
      </c>
      <c r="E200" s="105" t="s">
        <v>31</v>
      </c>
      <c r="F200" s="105">
        <v>1400</v>
      </c>
      <c r="G200" s="105">
        <v>1300</v>
      </c>
      <c r="H200" s="105">
        <v>1500</v>
      </c>
      <c r="I200" s="120">
        <v>1.17E-2</v>
      </c>
      <c r="J200" s="120">
        <v>1.09E-2</v>
      </c>
      <c r="K200" s="120">
        <v>1.26E-2</v>
      </c>
      <c r="L200" s="105">
        <v>1105</v>
      </c>
      <c r="M200">
        <v>0.79</v>
      </c>
      <c r="N200">
        <v>0.74</v>
      </c>
      <c r="O200">
        <v>0.85</v>
      </c>
      <c r="P200" s="105">
        <v>914</v>
      </c>
      <c r="Q200">
        <v>0.65</v>
      </c>
      <c r="R200">
        <v>0.61</v>
      </c>
      <c r="S200">
        <v>0.7</v>
      </c>
    </row>
    <row r="201" spans="1:19" x14ac:dyDescent="0.35">
      <c r="A201" t="str">
        <f t="shared" si="3"/>
        <v>2015/16NHS Ayrshire &amp; ArranFemalesAll</v>
      </c>
      <c r="B201" t="s">
        <v>130</v>
      </c>
      <c r="C201" s="105" t="s">
        <v>44</v>
      </c>
      <c r="D201" s="105" t="s">
        <v>42</v>
      </c>
      <c r="E201" s="105" t="s">
        <v>31</v>
      </c>
      <c r="F201" s="105">
        <v>1400</v>
      </c>
      <c r="G201" s="105">
        <v>1300</v>
      </c>
      <c r="H201" s="105">
        <v>1500</v>
      </c>
      <c r="I201" s="120">
        <v>1.14E-2</v>
      </c>
      <c r="J201" s="120">
        <v>1.0699999999999999E-2</v>
      </c>
      <c r="K201" s="120">
        <v>1.23E-2</v>
      </c>
      <c r="L201" s="105">
        <v>1106</v>
      </c>
      <c r="M201">
        <v>0.79</v>
      </c>
      <c r="N201">
        <v>0.74</v>
      </c>
      <c r="O201">
        <v>0.85</v>
      </c>
      <c r="P201" s="105">
        <v>888</v>
      </c>
      <c r="Q201">
        <v>0.63</v>
      </c>
      <c r="R201">
        <v>0.59</v>
      </c>
      <c r="S201">
        <v>0.68</v>
      </c>
    </row>
    <row r="202" spans="1:19" x14ac:dyDescent="0.35">
      <c r="A202" t="str">
        <f t="shared" si="3"/>
        <v>2016/17NHS Ayrshire &amp; ArranFemalesAll</v>
      </c>
      <c r="B202" t="s">
        <v>130</v>
      </c>
      <c r="C202" s="105" t="s">
        <v>46</v>
      </c>
      <c r="D202" s="105" t="s">
        <v>42</v>
      </c>
      <c r="E202" s="105" t="s">
        <v>31</v>
      </c>
      <c r="F202" s="105">
        <v>1300</v>
      </c>
      <c r="G202" s="105">
        <v>1300</v>
      </c>
      <c r="H202" s="105">
        <v>1400</v>
      </c>
      <c r="I202" s="120">
        <v>1.12E-2</v>
      </c>
      <c r="J202" s="120">
        <v>1.0500000000000001E-2</v>
      </c>
      <c r="K202" s="120">
        <v>1.2E-2</v>
      </c>
      <c r="L202" s="105">
        <v>1094</v>
      </c>
      <c r="M202">
        <v>0.84</v>
      </c>
      <c r="N202">
        <v>0.78</v>
      </c>
      <c r="O202">
        <v>0.84</v>
      </c>
      <c r="P202" s="105">
        <v>871</v>
      </c>
      <c r="Q202">
        <v>0.67</v>
      </c>
      <c r="R202">
        <v>0.62</v>
      </c>
      <c r="S202">
        <v>0.67</v>
      </c>
    </row>
    <row r="203" spans="1:19" x14ac:dyDescent="0.35">
      <c r="A203" t="str">
        <f t="shared" si="3"/>
        <v>2017/18NHS Ayrshire &amp; ArranFemalesAll</v>
      </c>
      <c r="B203" t="s">
        <v>130</v>
      </c>
      <c r="C203" s="105" t="s">
        <v>47</v>
      </c>
      <c r="D203" s="105" t="s">
        <v>42</v>
      </c>
      <c r="E203" s="105" t="s">
        <v>31</v>
      </c>
      <c r="F203" s="105">
        <v>1300</v>
      </c>
      <c r="G203" s="105">
        <v>1200</v>
      </c>
      <c r="H203" s="105">
        <v>1400</v>
      </c>
      <c r="I203" s="120">
        <v>1.0699999999999999E-2</v>
      </c>
      <c r="J203" s="120">
        <v>0.01</v>
      </c>
      <c r="K203" s="120">
        <v>1.14E-2</v>
      </c>
      <c r="L203" s="105">
        <v>1067</v>
      </c>
      <c r="M203">
        <v>0.82</v>
      </c>
      <c r="N203">
        <v>0.76</v>
      </c>
      <c r="O203">
        <v>0.89</v>
      </c>
      <c r="P203" s="105">
        <v>888</v>
      </c>
      <c r="Q203">
        <v>0.68</v>
      </c>
      <c r="R203">
        <v>0.63</v>
      </c>
      <c r="S203">
        <v>0.74</v>
      </c>
    </row>
    <row r="204" spans="1:19" x14ac:dyDescent="0.35">
      <c r="A204" t="str">
        <f t="shared" si="3"/>
        <v>2018/19NHS Ayrshire &amp; ArranFemalesAll</v>
      </c>
      <c r="B204" t="s">
        <v>130</v>
      </c>
      <c r="C204" s="105" t="s">
        <v>48</v>
      </c>
      <c r="D204" s="105" t="s">
        <v>42</v>
      </c>
      <c r="E204" s="105" t="s">
        <v>31</v>
      </c>
      <c r="F204" s="105">
        <v>1300</v>
      </c>
      <c r="G204" s="105">
        <v>1200</v>
      </c>
      <c r="H204" s="105">
        <v>1400</v>
      </c>
      <c r="I204" s="120">
        <v>1.06E-2</v>
      </c>
      <c r="J204" s="120">
        <v>9.9000000000000008E-3</v>
      </c>
      <c r="K204" s="120">
        <v>1.14E-2</v>
      </c>
      <c r="L204" s="105">
        <v>1038</v>
      </c>
      <c r="M204">
        <v>0.8</v>
      </c>
      <c r="N204">
        <v>0.74</v>
      </c>
      <c r="O204">
        <v>0.87</v>
      </c>
      <c r="P204" s="105">
        <v>846</v>
      </c>
      <c r="Q204">
        <v>0.65</v>
      </c>
      <c r="R204">
        <v>0.6</v>
      </c>
      <c r="S204">
        <v>0.71</v>
      </c>
    </row>
    <row r="205" spans="1:19" x14ac:dyDescent="0.35">
      <c r="A205" t="str">
        <f t="shared" si="3"/>
        <v>2019/20NHS Ayrshire &amp; ArranFemalesAll</v>
      </c>
      <c r="B205" t="s">
        <v>130</v>
      </c>
      <c r="C205" s="105" t="s">
        <v>49</v>
      </c>
      <c r="D205" s="105" t="s">
        <v>42</v>
      </c>
      <c r="E205" s="105" t="s">
        <v>31</v>
      </c>
      <c r="F205" s="105">
        <v>1300</v>
      </c>
      <c r="G205" s="105">
        <v>1200</v>
      </c>
      <c r="H205" s="105">
        <v>1400</v>
      </c>
      <c r="I205" s="120">
        <v>1.0800000000000001E-2</v>
      </c>
      <c r="J205" s="120">
        <v>0.01</v>
      </c>
      <c r="K205" s="120">
        <v>1.1599999999999999E-2</v>
      </c>
      <c r="L205" s="105">
        <v>1009</v>
      </c>
      <c r="M205">
        <v>0.78</v>
      </c>
      <c r="N205">
        <v>0.72</v>
      </c>
      <c r="O205">
        <v>0.84</v>
      </c>
      <c r="P205" s="105">
        <v>844</v>
      </c>
      <c r="Q205">
        <v>0.65</v>
      </c>
      <c r="R205">
        <v>0.6</v>
      </c>
      <c r="S205">
        <v>0.7</v>
      </c>
    </row>
    <row r="206" spans="1:19" x14ac:dyDescent="0.35">
      <c r="A206" t="str">
        <f t="shared" si="3"/>
        <v>2020/21NHS Ayrshire &amp; ArranFemalesAll</v>
      </c>
      <c r="B206" t="s">
        <v>130</v>
      </c>
      <c r="C206" s="105" t="s">
        <v>124</v>
      </c>
      <c r="D206" s="105" t="s">
        <v>42</v>
      </c>
      <c r="E206" s="105" t="s">
        <v>31</v>
      </c>
      <c r="F206" s="105">
        <v>1300</v>
      </c>
      <c r="G206" s="105">
        <v>1200</v>
      </c>
      <c r="H206" s="105">
        <v>1400</v>
      </c>
      <c r="I206" s="120">
        <v>1.0999999999999999E-2</v>
      </c>
      <c r="J206" s="120">
        <v>1.0200000000000001E-2</v>
      </c>
      <c r="K206" s="120">
        <v>1.18E-2</v>
      </c>
      <c r="L206" s="105">
        <v>1007</v>
      </c>
      <c r="M206">
        <v>0.77</v>
      </c>
      <c r="N206">
        <v>0.72</v>
      </c>
      <c r="O206">
        <v>0.84</v>
      </c>
      <c r="P206" s="105">
        <v>853</v>
      </c>
      <c r="Q206">
        <v>0.66</v>
      </c>
      <c r="R206">
        <v>0.61</v>
      </c>
      <c r="S206">
        <v>0.71</v>
      </c>
    </row>
    <row r="207" spans="1:19" x14ac:dyDescent="0.35">
      <c r="A207" t="str">
        <f t="shared" si="3"/>
        <v>2021/22NHS Ayrshire &amp; ArranFemalesAll</v>
      </c>
      <c r="B207" t="s">
        <v>130</v>
      </c>
      <c r="C207" s="105" t="s">
        <v>125</v>
      </c>
      <c r="D207" s="105" t="s">
        <v>42</v>
      </c>
      <c r="E207" s="105" t="s">
        <v>31</v>
      </c>
      <c r="F207" s="105">
        <v>1300</v>
      </c>
      <c r="G207" s="105">
        <v>1200</v>
      </c>
      <c r="H207" s="105">
        <v>1400</v>
      </c>
      <c r="I207" s="120">
        <v>1.0800000000000001E-2</v>
      </c>
      <c r="J207" s="120">
        <v>0.01</v>
      </c>
      <c r="K207" s="120">
        <v>1.1599999999999999E-2</v>
      </c>
      <c r="L207" s="105">
        <v>1020</v>
      </c>
      <c r="M207">
        <v>0.78</v>
      </c>
      <c r="N207">
        <v>0.73</v>
      </c>
      <c r="O207">
        <v>0.85</v>
      </c>
      <c r="P207" s="105">
        <v>872</v>
      </c>
      <c r="Q207">
        <v>0.67</v>
      </c>
      <c r="R207">
        <v>0.62</v>
      </c>
      <c r="S207">
        <v>0.73</v>
      </c>
    </row>
    <row r="208" spans="1:19" x14ac:dyDescent="0.35">
      <c r="A208" t="str">
        <f t="shared" si="3"/>
        <v>2022/23NHS Ayrshire &amp; ArranFemalesAll</v>
      </c>
      <c r="B208" t="s">
        <v>130</v>
      </c>
      <c r="C208" s="105" t="s">
        <v>126</v>
      </c>
      <c r="D208" s="105" t="s">
        <v>42</v>
      </c>
      <c r="E208" s="105" t="s">
        <v>31</v>
      </c>
      <c r="F208" s="105">
        <v>1200</v>
      </c>
      <c r="G208" s="105">
        <v>1100</v>
      </c>
      <c r="H208" s="105">
        <v>1300</v>
      </c>
      <c r="I208" s="120">
        <v>1.04E-2</v>
      </c>
      <c r="J208" s="120">
        <v>9.7000000000000003E-3</v>
      </c>
      <c r="K208" s="120">
        <v>1.12E-2</v>
      </c>
      <c r="L208" s="105">
        <v>1008</v>
      </c>
      <c r="M208">
        <v>0.84</v>
      </c>
      <c r="N208">
        <v>0.78</v>
      </c>
      <c r="O208">
        <v>0.92</v>
      </c>
      <c r="P208" s="105">
        <v>840</v>
      </c>
      <c r="Q208">
        <v>0.7</v>
      </c>
      <c r="R208">
        <v>0.65</v>
      </c>
      <c r="S208">
        <v>0.76</v>
      </c>
    </row>
    <row r="209" spans="1:19" x14ac:dyDescent="0.35">
      <c r="A209" t="str">
        <f t="shared" si="3"/>
        <v>2014/15NHS Ayrshire &amp; ArranMalesAll</v>
      </c>
      <c r="B209" t="s">
        <v>130</v>
      </c>
      <c r="C209" s="105" t="s">
        <v>39</v>
      </c>
      <c r="D209" s="105" t="s">
        <v>37</v>
      </c>
      <c r="E209" s="105" t="s">
        <v>31</v>
      </c>
      <c r="F209" s="105">
        <v>2700</v>
      </c>
      <c r="G209" s="105">
        <v>2500</v>
      </c>
      <c r="H209" s="105">
        <v>2900</v>
      </c>
      <c r="I209" s="120">
        <v>2.4E-2</v>
      </c>
      <c r="J209" s="120">
        <v>2.24E-2</v>
      </c>
      <c r="K209" s="120">
        <v>2.58E-2</v>
      </c>
      <c r="L209" s="105">
        <v>1981</v>
      </c>
      <c r="M209">
        <v>0.73</v>
      </c>
      <c r="N209">
        <v>0.68</v>
      </c>
      <c r="O209">
        <v>0.79</v>
      </c>
      <c r="P209" s="105">
        <v>1679</v>
      </c>
      <c r="Q209">
        <v>0.62</v>
      </c>
      <c r="R209">
        <v>0.57999999999999996</v>
      </c>
      <c r="S209">
        <v>0.67</v>
      </c>
    </row>
    <row r="210" spans="1:19" x14ac:dyDescent="0.35">
      <c r="A210" t="str">
        <f t="shared" si="3"/>
        <v>2015/16NHS Ayrshire &amp; ArranMalesAll</v>
      </c>
      <c r="B210" t="s">
        <v>130</v>
      </c>
      <c r="C210" s="105" t="s">
        <v>44</v>
      </c>
      <c r="D210" s="105" t="s">
        <v>37</v>
      </c>
      <c r="E210" s="105" t="s">
        <v>31</v>
      </c>
      <c r="F210" s="105">
        <v>2600</v>
      </c>
      <c r="G210" s="105">
        <v>2500</v>
      </c>
      <c r="H210" s="105">
        <v>2800</v>
      </c>
      <c r="I210" s="120">
        <v>2.35E-2</v>
      </c>
      <c r="J210" s="120">
        <v>2.2100000000000002E-2</v>
      </c>
      <c r="K210" s="120">
        <v>2.5100000000000001E-2</v>
      </c>
      <c r="L210" s="105">
        <v>1994</v>
      </c>
      <c r="M210">
        <v>0.77</v>
      </c>
      <c r="N210">
        <v>0.71</v>
      </c>
      <c r="O210">
        <v>0.8</v>
      </c>
      <c r="P210" s="105">
        <v>1639</v>
      </c>
      <c r="Q210">
        <v>0.63</v>
      </c>
      <c r="R210">
        <v>0.59</v>
      </c>
      <c r="S210">
        <v>0.66</v>
      </c>
    </row>
    <row r="211" spans="1:19" x14ac:dyDescent="0.35">
      <c r="A211" t="str">
        <f t="shared" si="3"/>
        <v>2016/17NHS Ayrshire &amp; ArranMalesAll</v>
      </c>
      <c r="B211" t="s">
        <v>130</v>
      </c>
      <c r="C211" s="105" t="s">
        <v>46</v>
      </c>
      <c r="D211" s="105" t="s">
        <v>37</v>
      </c>
      <c r="E211" s="105" t="s">
        <v>31</v>
      </c>
      <c r="F211" s="105">
        <v>2600</v>
      </c>
      <c r="G211" s="105">
        <v>2400</v>
      </c>
      <c r="H211" s="105">
        <v>2700</v>
      </c>
      <c r="I211" s="120">
        <v>2.3099999999999999E-2</v>
      </c>
      <c r="J211" s="120">
        <v>2.18E-2</v>
      </c>
      <c r="K211" s="120">
        <v>2.4500000000000001E-2</v>
      </c>
      <c r="L211" s="105">
        <v>1988</v>
      </c>
      <c r="M211">
        <v>0.76</v>
      </c>
      <c r="N211">
        <v>0.74</v>
      </c>
      <c r="O211">
        <v>0.83</v>
      </c>
      <c r="P211" s="105">
        <v>1649</v>
      </c>
      <c r="Q211">
        <v>0.63</v>
      </c>
      <c r="R211">
        <v>0.61</v>
      </c>
      <c r="S211">
        <v>0.69</v>
      </c>
    </row>
    <row r="212" spans="1:19" x14ac:dyDescent="0.35">
      <c r="A212" t="str">
        <f t="shared" si="3"/>
        <v>2017/18NHS Ayrshire &amp; ArranMalesAll</v>
      </c>
      <c r="B212" t="s">
        <v>130</v>
      </c>
      <c r="C212" s="105" t="s">
        <v>47</v>
      </c>
      <c r="D212" s="105" t="s">
        <v>37</v>
      </c>
      <c r="E212" s="105" t="s">
        <v>31</v>
      </c>
      <c r="F212" s="105">
        <v>2500</v>
      </c>
      <c r="G212" s="105">
        <v>2300</v>
      </c>
      <c r="H212" s="105">
        <v>2600</v>
      </c>
      <c r="I212" s="120">
        <v>2.2200000000000001E-2</v>
      </c>
      <c r="J212" s="120">
        <v>2.1000000000000001E-2</v>
      </c>
      <c r="K212" s="120">
        <v>2.35E-2</v>
      </c>
      <c r="L212" s="105">
        <v>1963</v>
      </c>
      <c r="M212">
        <v>0.79</v>
      </c>
      <c r="N212">
        <v>0.76</v>
      </c>
      <c r="O212">
        <v>0.85</v>
      </c>
      <c r="P212" s="105">
        <v>1638</v>
      </c>
      <c r="Q212">
        <v>0.66</v>
      </c>
      <c r="R212">
        <v>0.63</v>
      </c>
      <c r="S212">
        <v>0.71</v>
      </c>
    </row>
    <row r="213" spans="1:19" x14ac:dyDescent="0.35">
      <c r="A213" t="str">
        <f t="shared" si="3"/>
        <v>2018/19NHS Ayrshire &amp; ArranMalesAll</v>
      </c>
      <c r="B213" t="s">
        <v>130</v>
      </c>
      <c r="C213" s="105" t="s">
        <v>48</v>
      </c>
      <c r="D213" s="105" t="s">
        <v>37</v>
      </c>
      <c r="E213" s="105" t="s">
        <v>31</v>
      </c>
      <c r="F213" s="105">
        <v>2500</v>
      </c>
      <c r="G213" s="105">
        <v>2300</v>
      </c>
      <c r="H213" s="105">
        <v>2600</v>
      </c>
      <c r="I213" s="120">
        <v>2.23E-2</v>
      </c>
      <c r="J213" s="120">
        <v>2.1100000000000001E-2</v>
      </c>
      <c r="K213" s="120">
        <v>2.3599999999999999E-2</v>
      </c>
      <c r="L213" s="105">
        <v>1930</v>
      </c>
      <c r="M213">
        <v>0.77</v>
      </c>
      <c r="N213">
        <v>0.74</v>
      </c>
      <c r="O213">
        <v>0.84</v>
      </c>
      <c r="P213" s="105">
        <v>1597</v>
      </c>
      <c r="Q213">
        <v>0.64</v>
      </c>
      <c r="R213">
        <v>0.61</v>
      </c>
      <c r="S213">
        <v>0.69</v>
      </c>
    </row>
    <row r="214" spans="1:19" x14ac:dyDescent="0.35">
      <c r="A214" t="str">
        <f t="shared" si="3"/>
        <v>2019/20NHS Ayrshire &amp; ArranMalesAll</v>
      </c>
      <c r="B214" t="s">
        <v>130</v>
      </c>
      <c r="C214" s="105" t="s">
        <v>49</v>
      </c>
      <c r="D214" s="105" t="s">
        <v>37</v>
      </c>
      <c r="E214" s="105" t="s">
        <v>31</v>
      </c>
      <c r="F214" s="105">
        <v>2500</v>
      </c>
      <c r="G214" s="105">
        <v>2400</v>
      </c>
      <c r="H214" s="105">
        <v>2700</v>
      </c>
      <c r="I214" s="120">
        <v>2.3199999999999998E-2</v>
      </c>
      <c r="J214" s="120">
        <v>2.18E-2</v>
      </c>
      <c r="K214" s="120">
        <v>2.47E-2</v>
      </c>
      <c r="L214" s="105">
        <v>1912</v>
      </c>
      <c r="M214">
        <v>0.76</v>
      </c>
      <c r="N214">
        <v>0.71</v>
      </c>
      <c r="O214">
        <v>0.8</v>
      </c>
      <c r="P214" s="105">
        <v>1554</v>
      </c>
      <c r="Q214">
        <v>0.62</v>
      </c>
      <c r="R214">
        <v>0.57999999999999996</v>
      </c>
      <c r="S214">
        <v>0.65</v>
      </c>
    </row>
    <row r="215" spans="1:19" x14ac:dyDescent="0.35">
      <c r="A215" t="str">
        <f t="shared" si="3"/>
        <v>2020/21NHS Ayrshire &amp; ArranMalesAll</v>
      </c>
      <c r="B215" t="s">
        <v>130</v>
      </c>
      <c r="C215" s="105" t="s">
        <v>124</v>
      </c>
      <c r="D215" s="105" t="s">
        <v>37</v>
      </c>
      <c r="E215" s="105" t="s">
        <v>31</v>
      </c>
      <c r="F215" s="105">
        <v>2600</v>
      </c>
      <c r="G215" s="105">
        <v>2400</v>
      </c>
      <c r="H215" s="105">
        <v>2700</v>
      </c>
      <c r="I215" s="120">
        <v>2.3599999999999999E-2</v>
      </c>
      <c r="J215" s="120">
        <v>2.2200000000000001E-2</v>
      </c>
      <c r="K215" s="120">
        <v>2.5100000000000001E-2</v>
      </c>
      <c r="L215" s="105">
        <v>1900</v>
      </c>
      <c r="M215">
        <v>0.73</v>
      </c>
      <c r="N215">
        <v>0.7</v>
      </c>
      <c r="O215">
        <v>0.79</v>
      </c>
      <c r="P215" s="105">
        <v>1555</v>
      </c>
      <c r="Q215">
        <v>0.6</v>
      </c>
      <c r="R215">
        <v>0.57999999999999996</v>
      </c>
      <c r="S215">
        <v>0.65</v>
      </c>
    </row>
    <row r="216" spans="1:19" x14ac:dyDescent="0.35">
      <c r="A216" t="str">
        <f t="shared" si="3"/>
        <v>2021/22NHS Ayrshire &amp; ArranMalesAll</v>
      </c>
      <c r="B216" t="s">
        <v>130</v>
      </c>
      <c r="C216" s="105" t="s">
        <v>125</v>
      </c>
      <c r="D216" s="105" t="s">
        <v>37</v>
      </c>
      <c r="E216" s="105" t="s">
        <v>31</v>
      </c>
      <c r="F216" s="105">
        <v>2500</v>
      </c>
      <c r="G216" s="105">
        <v>2300</v>
      </c>
      <c r="H216" s="105">
        <v>2600</v>
      </c>
      <c r="I216" s="120">
        <v>2.2800000000000001E-2</v>
      </c>
      <c r="J216" s="120">
        <v>2.1399999999999999E-2</v>
      </c>
      <c r="K216" s="120">
        <v>2.4199999999999999E-2</v>
      </c>
      <c r="L216" s="105">
        <v>1896</v>
      </c>
      <c r="M216">
        <v>0.76</v>
      </c>
      <c r="N216">
        <v>0.73</v>
      </c>
      <c r="O216">
        <v>0.82</v>
      </c>
      <c r="P216" s="105">
        <v>1618</v>
      </c>
      <c r="Q216">
        <v>0.65</v>
      </c>
      <c r="R216">
        <v>0.62</v>
      </c>
      <c r="S216">
        <v>0.7</v>
      </c>
    </row>
    <row r="217" spans="1:19" x14ac:dyDescent="0.35">
      <c r="A217" t="str">
        <f t="shared" si="3"/>
        <v>2022/23NHS Ayrshire &amp; ArranMalesAll</v>
      </c>
      <c r="B217" t="s">
        <v>130</v>
      </c>
      <c r="C217" s="105" t="s">
        <v>126</v>
      </c>
      <c r="D217" s="105" t="s">
        <v>37</v>
      </c>
      <c r="E217" s="105" t="s">
        <v>31</v>
      </c>
      <c r="F217" s="105">
        <v>2400</v>
      </c>
      <c r="G217" s="105">
        <v>2200</v>
      </c>
      <c r="H217" s="105">
        <v>2500</v>
      </c>
      <c r="I217" s="120">
        <v>2.18E-2</v>
      </c>
      <c r="J217" s="120">
        <v>2.06E-2</v>
      </c>
      <c r="K217" s="120">
        <v>2.3199999999999998E-2</v>
      </c>
      <c r="L217" s="105">
        <v>1888</v>
      </c>
      <c r="M217">
        <v>0.79</v>
      </c>
      <c r="N217">
        <v>0.76</v>
      </c>
      <c r="O217">
        <v>0.86</v>
      </c>
      <c r="P217" s="105">
        <v>1568</v>
      </c>
      <c r="Q217">
        <v>0.65</v>
      </c>
      <c r="R217">
        <v>0.63</v>
      </c>
      <c r="S217">
        <v>0.71</v>
      </c>
    </row>
  </sheetData>
  <phoneticPr fontId="27"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32AF5-F557-4DD3-84E0-AC70B76D8B8B}">
  <sheetPr codeName="Sheet13"/>
  <dimension ref="A1:S433"/>
  <sheetViews>
    <sheetView topLeftCell="B1" workbookViewId="0">
      <pane ySplit="1" topLeftCell="A323" activePane="bottomLeft" state="frozen"/>
      <selection activeCell="I65" sqref="I65"/>
      <selection pane="bottomLeft" activeCell="A2" sqref="A2:R2"/>
    </sheetView>
  </sheetViews>
  <sheetFormatPr defaultRowHeight="14.5" x14ac:dyDescent="0.35"/>
  <cols>
    <col min="1" max="1" width="51" customWidth="1"/>
    <col min="2" max="2" width="9.81640625" bestFit="1" customWidth="1"/>
    <col min="3" max="3" width="14.6328125" customWidth="1"/>
    <col min="4" max="4" width="15.54296875" bestFit="1" customWidth="1"/>
    <col min="5" max="5" width="9" bestFit="1" customWidth="1"/>
    <col min="6" max="6" width="9.81640625" customWidth="1"/>
    <col min="7" max="7" width="17.1796875" customWidth="1"/>
    <col min="8" max="8" width="17" customWidth="1"/>
    <col min="9" max="9" width="9.81640625" customWidth="1"/>
    <col min="10" max="10" width="15.1796875" customWidth="1"/>
    <col min="11" max="11" width="17.1796875" customWidth="1"/>
    <col min="12" max="12" width="7.54296875" customWidth="1"/>
    <col min="13" max="13" width="19.81640625" customWidth="1"/>
    <col min="14" max="14" width="12.81640625" customWidth="1"/>
    <col min="15" max="15" width="12.54296875" customWidth="1"/>
    <col min="16" max="16" width="7.81640625" customWidth="1"/>
    <col min="17" max="17" width="24.1796875" bestFit="1" customWidth="1"/>
    <col min="18" max="18" width="14.453125" bestFit="1" customWidth="1"/>
    <col min="19" max="19" width="14.1796875" bestFit="1" customWidth="1"/>
  </cols>
  <sheetData>
    <row r="1" spans="1:19" x14ac:dyDescent="0.35">
      <c r="A1" t="s">
        <v>99</v>
      </c>
      <c r="B1" t="s">
        <v>100</v>
      </c>
      <c r="C1" t="s">
        <v>115</v>
      </c>
      <c r="D1" t="s">
        <v>26</v>
      </c>
      <c r="E1" t="s">
        <v>27</v>
      </c>
      <c r="F1" t="s">
        <v>102</v>
      </c>
      <c r="G1" t="s">
        <v>103</v>
      </c>
      <c r="H1" t="s">
        <v>104</v>
      </c>
      <c r="I1" t="s">
        <v>105</v>
      </c>
      <c r="J1" t="s">
        <v>106</v>
      </c>
      <c r="K1" t="s">
        <v>107</v>
      </c>
      <c r="L1" t="s">
        <v>73</v>
      </c>
      <c r="M1" t="s">
        <v>108</v>
      </c>
      <c r="N1" t="s">
        <v>109</v>
      </c>
      <c r="O1" t="s">
        <v>110</v>
      </c>
      <c r="P1" t="s">
        <v>111</v>
      </c>
      <c r="Q1" t="s">
        <v>112</v>
      </c>
      <c r="R1" t="s">
        <v>113</v>
      </c>
      <c r="S1" t="s">
        <v>114</v>
      </c>
    </row>
    <row r="2" spans="1:19" x14ac:dyDescent="0.35">
      <c r="A2" t="s">
        <v>131</v>
      </c>
      <c r="B2" t="s">
        <v>32</v>
      </c>
      <c r="C2" t="s">
        <v>39</v>
      </c>
      <c r="D2" s="105" t="s">
        <v>42</v>
      </c>
      <c r="E2" s="105" t="s">
        <v>56</v>
      </c>
      <c r="F2" s="105">
        <v>6400</v>
      </c>
      <c r="G2" s="105">
        <v>6100</v>
      </c>
      <c r="H2" s="105">
        <v>6700</v>
      </c>
      <c r="I2" s="120">
        <v>9.1999999999999998E-3</v>
      </c>
      <c r="J2" s="120">
        <v>8.8000000000000005E-3</v>
      </c>
      <c r="K2" s="120">
        <v>9.7000000000000003E-3</v>
      </c>
      <c r="L2" s="105">
        <v>4907</v>
      </c>
      <c r="M2" s="2">
        <v>0.77</v>
      </c>
      <c r="N2" s="2">
        <v>0.73</v>
      </c>
      <c r="O2" s="2">
        <v>0.8</v>
      </c>
      <c r="P2" s="105">
        <v>3952</v>
      </c>
      <c r="Q2" s="2">
        <v>0.62</v>
      </c>
      <c r="R2" s="2">
        <v>0.59</v>
      </c>
      <c r="S2" s="2">
        <v>0.65</v>
      </c>
    </row>
    <row r="3" spans="1:19" x14ac:dyDescent="0.35">
      <c r="A3" t="s">
        <v>132</v>
      </c>
      <c r="B3" t="s">
        <v>32</v>
      </c>
      <c r="C3" t="s">
        <v>39</v>
      </c>
      <c r="D3" s="105" t="s">
        <v>37</v>
      </c>
      <c r="E3" s="105" t="s">
        <v>56</v>
      </c>
      <c r="F3" s="105">
        <v>10700</v>
      </c>
      <c r="G3" s="105">
        <v>10000</v>
      </c>
      <c r="H3" s="105">
        <v>11500</v>
      </c>
      <c r="I3" s="120">
        <v>1.5599999999999999E-2</v>
      </c>
      <c r="J3" s="120">
        <v>1.46E-2</v>
      </c>
      <c r="K3" s="120">
        <v>1.6799999999999999E-2</v>
      </c>
      <c r="L3" s="105">
        <v>6620</v>
      </c>
      <c r="M3" s="2">
        <v>0.62</v>
      </c>
      <c r="N3" s="2">
        <v>0.57999999999999996</v>
      </c>
      <c r="O3" s="2">
        <v>0.66</v>
      </c>
      <c r="P3" s="105">
        <v>5226</v>
      </c>
      <c r="Q3" s="2">
        <v>0.49</v>
      </c>
      <c r="R3" s="2">
        <v>0.45</v>
      </c>
      <c r="S3" s="2">
        <v>0.52</v>
      </c>
    </row>
    <row r="4" spans="1:19" x14ac:dyDescent="0.35">
      <c r="A4" t="s">
        <v>133</v>
      </c>
      <c r="B4" t="s">
        <v>32</v>
      </c>
      <c r="C4" t="s">
        <v>44</v>
      </c>
      <c r="D4" s="105" t="s">
        <v>42</v>
      </c>
      <c r="E4" s="105" t="s">
        <v>56</v>
      </c>
      <c r="F4" s="105">
        <v>5700</v>
      </c>
      <c r="G4" s="105">
        <v>5500</v>
      </c>
      <c r="H4" s="105">
        <v>6000</v>
      </c>
      <c r="I4" s="120">
        <v>8.3000000000000001E-3</v>
      </c>
      <c r="J4" s="120">
        <v>7.9000000000000008E-3</v>
      </c>
      <c r="K4" s="120">
        <v>8.6999999999999994E-3</v>
      </c>
      <c r="L4" s="105">
        <v>4410</v>
      </c>
      <c r="M4" s="2">
        <v>0.77</v>
      </c>
      <c r="N4" s="2">
        <v>0.74</v>
      </c>
      <c r="O4" s="2">
        <v>0.8</v>
      </c>
      <c r="P4" s="105">
        <v>3555</v>
      </c>
      <c r="Q4" s="2">
        <v>0.62</v>
      </c>
      <c r="R4" s="2">
        <v>0.59</v>
      </c>
      <c r="S4" s="2">
        <v>0.65</v>
      </c>
    </row>
    <row r="5" spans="1:19" x14ac:dyDescent="0.35">
      <c r="A5" t="s">
        <v>134</v>
      </c>
      <c r="B5" t="s">
        <v>32</v>
      </c>
      <c r="C5" t="s">
        <v>44</v>
      </c>
      <c r="D5" s="105" t="s">
        <v>37</v>
      </c>
      <c r="E5" s="105" t="s">
        <v>56</v>
      </c>
      <c r="F5" s="105">
        <v>9700</v>
      </c>
      <c r="G5" s="105">
        <v>9000</v>
      </c>
      <c r="H5" s="105">
        <v>10400</v>
      </c>
      <c r="I5" s="120">
        <v>1.4E-2</v>
      </c>
      <c r="J5" s="120">
        <v>1.3100000000000001E-2</v>
      </c>
      <c r="K5" s="120">
        <v>1.5100000000000001E-2</v>
      </c>
      <c r="L5" s="105">
        <v>5951</v>
      </c>
      <c r="M5" s="2">
        <v>0.61</v>
      </c>
      <c r="N5" s="2">
        <v>0.56999999999999995</v>
      </c>
      <c r="O5" s="2">
        <v>0.66</v>
      </c>
      <c r="P5" s="105">
        <v>4765</v>
      </c>
      <c r="Q5" s="2">
        <v>0.49</v>
      </c>
      <c r="R5" s="2">
        <v>0.46</v>
      </c>
      <c r="S5" s="2">
        <v>0.53</v>
      </c>
    </row>
    <row r="6" spans="1:19" x14ac:dyDescent="0.35">
      <c r="A6" t="s">
        <v>135</v>
      </c>
      <c r="B6" t="s">
        <v>32</v>
      </c>
      <c r="C6" t="s">
        <v>46</v>
      </c>
      <c r="D6" s="105" t="s">
        <v>42</v>
      </c>
      <c r="E6" s="105" t="s">
        <v>56</v>
      </c>
      <c r="F6" s="105">
        <v>5100</v>
      </c>
      <c r="G6" s="105">
        <v>4800</v>
      </c>
      <c r="H6" s="105">
        <v>5300</v>
      </c>
      <c r="I6" s="120">
        <v>7.3000000000000001E-3</v>
      </c>
      <c r="J6" s="120">
        <v>6.8999999999999999E-3</v>
      </c>
      <c r="K6" s="120">
        <v>7.7000000000000002E-3</v>
      </c>
      <c r="L6" s="105">
        <v>3916</v>
      </c>
      <c r="M6" s="2">
        <v>0.77</v>
      </c>
      <c r="N6" s="2">
        <v>0.74</v>
      </c>
      <c r="O6" s="2">
        <v>0.82</v>
      </c>
      <c r="P6" s="105">
        <v>3201</v>
      </c>
      <c r="Q6" s="2">
        <v>0.63</v>
      </c>
      <c r="R6" s="2">
        <v>0.6</v>
      </c>
      <c r="S6" s="2">
        <v>0.67</v>
      </c>
    </row>
    <row r="7" spans="1:19" x14ac:dyDescent="0.35">
      <c r="A7" t="s">
        <v>136</v>
      </c>
      <c r="B7" t="s">
        <v>32</v>
      </c>
      <c r="C7" t="s">
        <v>46</v>
      </c>
      <c r="D7" s="105" t="s">
        <v>37</v>
      </c>
      <c r="E7" s="105" t="s">
        <v>56</v>
      </c>
      <c r="F7" s="105">
        <v>8500</v>
      </c>
      <c r="G7" s="105">
        <v>7900</v>
      </c>
      <c r="H7" s="105">
        <v>9100</v>
      </c>
      <c r="I7" s="120">
        <v>1.23E-2</v>
      </c>
      <c r="J7" s="120">
        <v>1.15E-2</v>
      </c>
      <c r="K7" s="120">
        <v>1.3100000000000001E-2</v>
      </c>
      <c r="L7" s="105">
        <v>5236</v>
      </c>
      <c r="M7" s="2">
        <v>0.62</v>
      </c>
      <c r="N7" s="2">
        <v>0.57999999999999996</v>
      </c>
      <c r="O7" s="2">
        <v>0.66</v>
      </c>
      <c r="P7" s="105">
        <v>4250</v>
      </c>
      <c r="Q7" s="2">
        <v>0.5</v>
      </c>
      <c r="R7" s="2">
        <v>0.47</v>
      </c>
      <c r="S7" s="2">
        <v>0.54</v>
      </c>
    </row>
    <row r="8" spans="1:19" x14ac:dyDescent="0.35">
      <c r="A8" t="s">
        <v>137</v>
      </c>
      <c r="B8" t="s">
        <v>32</v>
      </c>
      <c r="C8" t="s">
        <v>47</v>
      </c>
      <c r="D8" s="105" t="s">
        <v>42</v>
      </c>
      <c r="E8" s="105" t="s">
        <v>56</v>
      </c>
      <c r="F8" s="105">
        <v>4500</v>
      </c>
      <c r="G8" s="105">
        <v>4300</v>
      </c>
      <c r="H8" s="105">
        <v>4700</v>
      </c>
      <c r="I8" s="120">
        <v>6.4999999999999997E-3</v>
      </c>
      <c r="J8" s="120">
        <v>6.1999999999999998E-3</v>
      </c>
      <c r="K8" s="120">
        <v>6.8999999999999999E-3</v>
      </c>
      <c r="L8" s="105">
        <v>3487</v>
      </c>
      <c r="M8" s="2">
        <v>0.77</v>
      </c>
      <c r="N8" s="2">
        <v>0.74</v>
      </c>
      <c r="O8" s="2">
        <v>0.81</v>
      </c>
      <c r="P8" s="105">
        <v>2871</v>
      </c>
      <c r="Q8" s="2">
        <v>0.64</v>
      </c>
      <c r="R8" s="2">
        <v>0.61</v>
      </c>
      <c r="S8" s="2">
        <v>0.67</v>
      </c>
    </row>
    <row r="9" spans="1:19" x14ac:dyDescent="0.35">
      <c r="A9" t="s">
        <v>138</v>
      </c>
      <c r="B9" t="s">
        <v>32</v>
      </c>
      <c r="C9" t="s">
        <v>47</v>
      </c>
      <c r="D9" s="105" t="s">
        <v>37</v>
      </c>
      <c r="E9" s="105" t="s">
        <v>56</v>
      </c>
      <c r="F9" s="105">
        <v>7600</v>
      </c>
      <c r="G9" s="105">
        <v>7100</v>
      </c>
      <c r="H9" s="105">
        <v>8100</v>
      </c>
      <c r="I9" s="120">
        <v>1.0999999999999999E-2</v>
      </c>
      <c r="J9" s="120">
        <v>1.03E-2</v>
      </c>
      <c r="K9" s="120">
        <v>1.17E-2</v>
      </c>
      <c r="L9" s="105">
        <v>4678</v>
      </c>
      <c r="M9" s="2">
        <v>0.62</v>
      </c>
      <c r="N9" s="2">
        <v>0.57999999999999996</v>
      </c>
      <c r="O9" s="2">
        <v>0.66</v>
      </c>
      <c r="P9" s="105">
        <v>3793</v>
      </c>
      <c r="Q9" s="2">
        <v>0.5</v>
      </c>
      <c r="R9" s="2">
        <v>0.47</v>
      </c>
      <c r="S9" s="2">
        <v>0.53</v>
      </c>
    </row>
    <row r="10" spans="1:19" x14ac:dyDescent="0.35">
      <c r="A10" t="s">
        <v>139</v>
      </c>
      <c r="B10" t="s">
        <v>32</v>
      </c>
      <c r="C10" t="s">
        <v>48</v>
      </c>
      <c r="D10" s="105" t="s">
        <v>42</v>
      </c>
      <c r="E10" s="105" t="s">
        <v>56</v>
      </c>
      <c r="F10" s="105">
        <v>4200</v>
      </c>
      <c r="G10" s="105">
        <v>4000</v>
      </c>
      <c r="H10" s="105">
        <v>4400</v>
      </c>
      <c r="I10" s="120">
        <v>6.1000000000000004E-3</v>
      </c>
      <c r="J10" s="120">
        <v>5.7999999999999996E-3</v>
      </c>
      <c r="K10" s="120">
        <v>6.4000000000000003E-3</v>
      </c>
      <c r="L10" s="105">
        <v>3088</v>
      </c>
      <c r="M10" s="2">
        <v>0.74</v>
      </c>
      <c r="N10" s="2">
        <v>0.7</v>
      </c>
      <c r="O10" s="2">
        <v>0.77</v>
      </c>
      <c r="P10" s="105">
        <v>2524</v>
      </c>
      <c r="Q10" s="2">
        <v>0.6</v>
      </c>
      <c r="R10" s="2">
        <v>0.56999999999999995</v>
      </c>
      <c r="S10" s="2">
        <v>0.63</v>
      </c>
    </row>
    <row r="11" spans="1:19" x14ac:dyDescent="0.35">
      <c r="A11" t="s">
        <v>140</v>
      </c>
      <c r="B11" t="s">
        <v>32</v>
      </c>
      <c r="C11" t="s">
        <v>48</v>
      </c>
      <c r="D11" s="105" t="s">
        <v>37</v>
      </c>
      <c r="E11" s="105" t="s">
        <v>56</v>
      </c>
      <c r="F11" s="105">
        <v>7400</v>
      </c>
      <c r="G11" s="105">
        <v>6900</v>
      </c>
      <c r="H11" s="105">
        <v>7900</v>
      </c>
      <c r="I11" s="120">
        <v>1.0699999999999999E-2</v>
      </c>
      <c r="J11" s="121">
        <v>0.01</v>
      </c>
      <c r="K11" s="120">
        <v>1.14E-2</v>
      </c>
      <c r="L11" s="105">
        <v>4276</v>
      </c>
      <c r="M11" s="2">
        <v>0.57999999999999996</v>
      </c>
      <c r="N11" s="2">
        <v>0.54</v>
      </c>
      <c r="O11" s="2">
        <v>0.62</v>
      </c>
      <c r="P11" s="105">
        <v>3433</v>
      </c>
      <c r="Q11" s="2">
        <v>0.46</v>
      </c>
      <c r="R11" s="2">
        <v>0.43</v>
      </c>
      <c r="S11" s="2">
        <v>0.5</v>
      </c>
    </row>
    <row r="12" spans="1:19" x14ac:dyDescent="0.35">
      <c r="A12" t="s">
        <v>141</v>
      </c>
      <c r="B12" t="s">
        <v>32</v>
      </c>
      <c r="C12" t="s">
        <v>49</v>
      </c>
      <c r="D12" s="105" t="s">
        <v>42</v>
      </c>
      <c r="E12" s="105" t="s">
        <v>56</v>
      </c>
      <c r="F12" s="105">
        <v>4100</v>
      </c>
      <c r="G12" s="105">
        <v>3900</v>
      </c>
      <c r="H12" s="105">
        <v>4400</v>
      </c>
      <c r="I12" s="120">
        <v>6.0000000000000001E-3</v>
      </c>
      <c r="J12" s="120">
        <v>5.7000000000000002E-3</v>
      </c>
      <c r="K12" s="120">
        <v>6.4000000000000003E-3</v>
      </c>
      <c r="L12" s="105">
        <v>2797</v>
      </c>
      <c r="M12" s="2">
        <v>0.68</v>
      </c>
      <c r="N12" s="2">
        <v>0.64</v>
      </c>
      <c r="O12" s="2">
        <v>0.72</v>
      </c>
      <c r="P12" s="105">
        <v>2296</v>
      </c>
      <c r="Q12" s="2">
        <v>0.56000000000000005</v>
      </c>
      <c r="R12" s="2">
        <v>0.52</v>
      </c>
      <c r="S12" s="2">
        <v>0.59</v>
      </c>
    </row>
    <row r="13" spans="1:19" x14ac:dyDescent="0.35">
      <c r="A13" t="s">
        <v>142</v>
      </c>
      <c r="B13" t="s">
        <v>32</v>
      </c>
      <c r="C13" t="s">
        <v>49</v>
      </c>
      <c r="D13" s="105" t="s">
        <v>37</v>
      </c>
      <c r="E13" s="105" t="s">
        <v>56</v>
      </c>
      <c r="F13" s="105">
        <v>7900</v>
      </c>
      <c r="G13" s="105">
        <v>7300</v>
      </c>
      <c r="H13" s="105">
        <v>8500</v>
      </c>
      <c r="I13" s="120">
        <v>1.14E-2</v>
      </c>
      <c r="J13" s="120">
        <v>1.0500000000000001E-2</v>
      </c>
      <c r="K13" s="120">
        <v>1.2200000000000001E-2</v>
      </c>
      <c r="L13" s="105">
        <v>4031</v>
      </c>
      <c r="M13" s="2">
        <v>0.51</v>
      </c>
      <c r="N13" s="2">
        <v>0.47</v>
      </c>
      <c r="O13" s="2">
        <v>0.55000000000000004</v>
      </c>
      <c r="P13" s="105">
        <v>3208</v>
      </c>
      <c r="Q13" s="2">
        <v>0.41</v>
      </c>
      <c r="R13" s="2">
        <v>0.38</v>
      </c>
      <c r="S13" s="2">
        <v>0.44</v>
      </c>
    </row>
    <row r="14" spans="1:19" x14ac:dyDescent="0.35">
      <c r="A14" t="s">
        <v>143</v>
      </c>
      <c r="B14" t="s">
        <v>32</v>
      </c>
      <c r="C14" t="s">
        <v>124</v>
      </c>
      <c r="D14" s="105" t="s">
        <v>42</v>
      </c>
      <c r="E14" s="105" t="s">
        <v>56</v>
      </c>
      <c r="F14" s="105">
        <v>4000</v>
      </c>
      <c r="G14" s="105">
        <v>3700</v>
      </c>
      <c r="H14" s="105">
        <v>4200</v>
      </c>
      <c r="I14" s="120">
        <v>5.7999999999999996E-3</v>
      </c>
      <c r="J14" s="120">
        <v>5.4999999999999997E-3</v>
      </c>
      <c r="K14" s="120">
        <v>6.1999999999999998E-3</v>
      </c>
      <c r="L14" s="105">
        <v>2596</v>
      </c>
      <c r="M14" s="2">
        <v>0.65</v>
      </c>
      <c r="N14" s="2">
        <v>0.62</v>
      </c>
      <c r="O14" s="2">
        <v>0.7</v>
      </c>
      <c r="P14" s="105">
        <v>2143</v>
      </c>
      <c r="Q14" s="2">
        <v>0.54</v>
      </c>
      <c r="R14" s="2">
        <v>0.51</v>
      </c>
      <c r="S14" s="2">
        <v>0.57999999999999996</v>
      </c>
    </row>
    <row r="15" spans="1:19" x14ac:dyDescent="0.35">
      <c r="A15" t="s">
        <v>144</v>
      </c>
      <c r="B15" t="s">
        <v>32</v>
      </c>
      <c r="C15" t="s">
        <v>124</v>
      </c>
      <c r="D15" s="105" t="s">
        <v>37</v>
      </c>
      <c r="E15" s="105" t="s">
        <v>56</v>
      </c>
      <c r="F15" s="105">
        <v>7900</v>
      </c>
      <c r="G15" s="105">
        <v>7300</v>
      </c>
      <c r="H15" s="105">
        <v>8500</v>
      </c>
      <c r="I15" s="120">
        <v>1.1299999999999999E-2</v>
      </c>
      <c r="J15" s="120">
        <v>1.0500000000000001E-2</v>
      </c>
      <c r="K15" s="120">
        <v>1.2200000000000001E-2</v>
      </c>
      <c r="L15" s="105">
        <v>3882</v>
      </c>
      <c r="M15" s="2">
        <v>0.49</v>
      </c>
      <c r="N15" s="2">
        <v>0.46</v>
      </c>
      <c r="O15" s="2">
        <v>0.53</v>
      </c>
      <c r="P15" s="105">
        <v>3104</v>
      </c>
      <c r="Q15" s="2">
        <v>0.39</v>
      </c>
      <c r="R15" s="2">
        <v>0.37</v>
      </c>
      <c r="S15" s="2">
        <v>0.43</v>
      </c>
    </row>
    <row r="16" spans="1:19" x14ac:dyDescent="0.35">
      <c r="A16" t="s">
        <v>145</v>
      </c>
      <c r="B16" t="s">
        <v>32</v>
      </c>
      <c r="C16" t="s">
        <v>125</v>
      </c>
      <c r="D16" s="105" t="s">
        <v>42</v>
      </c>
      <c r="E16" s="105" t="s">
        <v>56</v>
      </c>
      <c r="F16" s="105">
        <v>3500</v>
      </c>
      <c r="G16" s="105">
        <v>3300</v>
      </c>
      <c r="H16" s="105">
        <v>3800</v>
      </c>
      <c r="I16" s="120">
        <v>5.1999999999999998E-3</v>
      </c>
      <c r="J16" s="120">
        <v>4.7999999999999996E-3</v>
      </c>
      <c r="K16" s="120">
        <v>5.4999999999999997E-3</v>
      </c>
      <c r="L16" s="105">
        <v>2330</v>
      </c>
      <c r="M16" s="2">
        <v>0.67</v>
      </c>
      <c r="N16" s="2">
        <v>0.61</v>
      </c>
      <c r="O16" s="2">
        <v>0.71</v>
      </c>
      <c r="P16" s="105">
        <v>1898</v>
      </c>
      <c r="Q16" s="2">
        <v>0.54</v>
      </c>
      <c r="R16" s="2">
        <v>0.5</v>
      </c>
      <c r="S16" s="2">
        <v>0.57999999999999996</v>
      </c>
    </row>
    <row r="17" spans="1:19" x14ac:dyDescent="0.35">
      <c r="A17" t="s">
        <v>146</v>
      </c>
      <c r="B17" t="s">
        <v>32</v>
      </c>
      <c r="C17" t="s">
        <v>125</v>
      </c>
      <c r="D17" s="105" t="s">
        <v>37</v>
      </c>
      <c r="E17" s="105" t="s">
        <v>56</v>
      </c>
      <c r="F17" s="105">
        <v>7000</v>
      </c>
      <c r="G17" s="105">
        <v>6500</v>
      </c>
      <c r="H17" s="105">
        <v>7700</v>
      </c>
      <c r="I17" s="120">
        <v>1.0200000000000001E-2</v>
      </c>
      <c r="J17" s="120">
        <v>9.4000000000000004E-3</v>
      </c>
      <c r="K17" s="120">
        <v>1.12E-2</v>
      </c>
      <c r="L17" s="105">
        <v>3681</v>
      </c>
      <c r="M17" s="2">
        <v>0.53</v>
      </c>
      <c r="N17" s="2">
        <v>0.48</v>
      </c>
      <c r="O17" s="2">
        <v>0.56999999999999995</v>
      </c>
      <c r="P17" s="105">
        <v>2951</v>
      </c>
      <c r="Q17" s="2">
        <v>0.42</v>
      </c>
      <c r="R17" s="2">
        <v>0.38</v>
      </c>
      <c r="S17" s="2">
        <v>0.45</v>
      </c>
    </row>
    <row r="18" spans="1:19" x14ac:dyDescent="0.35">
      <c r="A18" t="s">
        <v>147</v>
      </c>
      <c r="B18" t="s">
        <v>32</v>
      </c>
      <c r="C18" t="s">
        <v>126</v>
      </c>
      <c r="D18" s="105" t="s">
        <v>42</v>
      </c>
      <c r="E18" s="105" t="s">
        <v>56</v>
      </c>
      <c r="F18" s="105">
        <v>3000</v>
      </c>
      <c r="G18" s="105">
        <v>2800</v>
      </c>
      <c r="H18" s="105">
        <v>3200</v>
      </c>
      <c r="I18" s="120">
        <v>4.4000000000000003E-3</v>
      </c>
      <c r="J18" s="120">
        <v>4.1000000000000003E-3</v>
      </c>
      <c r="K18" s="120">
        <v>4.7000000000000002E-3</v>
      </c>
      <c r="L18" s="105">
        <v>2079</v>
      </c>
      <c r="M18" s="2">
        <v>0.69</v>
      </c>
      <c r="N18" s="2">
        <v>0.65</v>
      </c>
      <c r="O18" s="2">
        <v>0.74</v>
      </c>
      <c r="P18" s="105">
        <v>1680</v>
      </c>
      <c r="Q18" s="2">
        <v>0.56000000000000005</v>
      </c>
      <c r="R18" s="2">
        <v>0.53</v>
      </c>
      <c r="S18" s="2">
        <v>0.6</v>
      </c>
    </row>
    <row r="19" spans="1:19" x14ac:dyDescent="0.35">
      <c r="A19" t="s">
        <v>148</v>
      </c>
      <c r="B19" t="s">
        <v>32</v>
      </c>
      <c r="C19" t="s">
        <v>126</v>
      </c>
      <c r="D19" s="105" t="s">
        <v>37</v>
      </c>
      <c r="E19" s="105" t="s">
        <v>56</v>
      </c>
      <c r="F19" s="105">
        <v>5900</v>
      </c>
      <c r="G19" s="105">
        <v>5400</v>
      </c>
      <c r="H19" s="105">
        <v>6400</v>
      </c>
      <c r="I19" s="120">
        <v>8.8999999999999999E-3</v>
      </c>
      <c r="J19" s="120">
        <v>8.2000000000000007E-3</v>
      </c>
      <c r="K19" s="120">
        <v>9.7000000000000003E-3</v>
      </c>
      <c r="L19" s="105">
        <v>3416</v>
      </c>
      <c r="M19" s="2">
        <v>0.57999999999999996</v>
      </c>
      <c r="N19" s="2">
        <v>0.53</v>
      </c>
      <c r="O19" s="2">
        <v>0.63</v>
      </c>
      <c r="P19" s="105">
        <v>2659</v>
      </c>
      <c r="Q19" s="2">
        <v>0.45</v>
      </c>
      <c r="R19" s="2">
        <v>0.42</v>
      </c>
      <c r="S19" s="2">
        <v>0.49</v>
      </c>
    </row>
    <row r="20" spans="1:19" x14ac:dyDescent="0.35">
      <c r="A20" t="s">
        <v>149</v>
      </c>
      <c r="B20" t="s">
        <v>32</v>
      </c>
      <c r="C20" t="s">
        <v>39</v>
      </c>
      <c r="D20" s="105" t="s">
        <v>42</v>
      </c>
      <c r="E20" s="105" t="s">
        <v>57</v>
      </c>
      <c r="F20" s="105">
        <v>7700</v>
      </c>
      <c r="G20" s="105">
        <v>7400</v>
      </c>
      <c r="H20" s="105">
        <v>8100</v>
      </c>
      <c r="I20" s="120">
        <v>1.4E-2</v>
      </c>
      <c r="J20" s="120">
        <v>1.34E-2</v>
      </c>
      <c r="K20" s="120">
        <v>1.46E-2</v>
      </c>
      <c r="L20" s="105">
        <v>6059</v>
      </c>
      <c r="M20" s="2">
        <v>0.79</v>
      </c>
      <c r="N20" s="2">
        <v>0.75</v>
      </c>
      <c r="O20" s="2">
        <v>0.82</v>
      </c>
      <c r="P20" s="105">
        <v>4949</v>
      </c>
      <c r="Q20" s="2">
        <v>0.64</v>
      </c>
      <c r="R20" s="2">
        <v>0.61</v>
      </c>
      <c r="S20" s="2">
        <v>0.67</v>
      </c>
    </row>
    <row r="21" spans="1:19" x14ac:dyDescent="0.35">
      <c r="A21" t="s">
        <v>150</v>
      </c>
      <c r="B21" t="s">
        <v>32</v>
      </c>
      <c r="C21" t="s">
        <v>39</v>
      </c>
      <c r="D21" s="105" t="s">
        <v>37</v>
      </c>
      <c r="E21" s="105" t="s">
        <v>57</v>
      </c>
      <c r="F21" s="105">
        <v>19300</v>
      </c>
      <c r="G21" s="105">
        <v>18500</v>
      </c>
      <c r="H21" s="105">
        <v>20200</v>
      </c>
      <c r="I21" s="120">
        <v>3.6600000000000001E-2</v>
      </c>
      <c r="J21" s="120">
        <v>3.5099999999999999E-2</v>
      </c>
      <c r="K21" s="120">
        <v>3.8300000000000001E-2</v>
      </c>
      <c r="L21" s="105">
        <v>14858</v>
      </c>
      <c r="M21" s="2">
        <v>0.77</v>
      </c>
      <c r="N21" s="2">
        <v>0.74</v>
      </c>
      <c r="O21" s="2">
        <v>0.8</v>
      </c>
      <c r="P21" s="105">
        <v>12104</v>
      </c>
      <c r="Q21" s="2">
        <v>0.63</v>
      </c>
      <c r="R21" s="2">
        <v>0.6</v>
      </c>
      <c r="S21" s="2">
        <v>0.65</v>
      </c>
    </row>
    <row r="22" spans="1:19" x14ac:dyDescent="0.35">
      <c r="A22" t="s">
        <v>151</v>
      </c>
      <c r="B22" t="s">
        <v>32</v>
      </c>
      <c r="C22" t="s">
        <v>44</v>
      </c>
      <c r="D22" s="105" t="s">
        <v>42</v>
      </c>
      <c r="E22" s="105" t="s">
        <v>57</v>
      </c>
      <c r="F22" s="105">
        <v>7900</v>
      </c>
      <c r="G22" s="105">
        <v>7600</v>
      </c>
      <c r="H22" s="105">
        <v>8200</v>
      </c>
      <c r="I22" s="120">
        <v>1.44E-2</v>
      </c>
      <c r="J22" s="120">
        <v>1.3899999999999999E-2</v>
      </c>
      <c r="K22" s="120">
        <v>1.4999999999999999E-2</v>
      </c>
      <c r="L22" s="105">
        <v>6433</v>
      </c>
      <c r="M22" s="2">
        <v>0.81</v>
      </c>
      <c r="N22" s="2">
        <v>0.78</v>
      </c>
      <c r="O22" s="2">
        <v>0.85</v>
      </c>
      <c r="P22" s="105">
        <v>5256</v>
      </c>
      <c r="Q22" s="2">
        <v>0.67</v>
      </c>
      <c r="R22" s="2">
        <v>0.64</v>
      </c>
      <c r="S22" s="2">
        <v>0.69</v>
      </c>
    </row>
    <row r="23" spans="1:19" x14ac:dyDescent="0.35">
      <c r="A23" t="s">
        <v>152</v>
      </c>
      <c r="B23" t="s">
        <v>32</v>
      </c>
      <c r="C23" t="s">
        <v>44</v>
      </c>
      <c r="D23" s="105" t="s">
        <v>37</v>
      </c>
      <c r="E23" s="105" t="s">
        <v>57</v>
      </c>
      <c r="F23" s="105">
        <v>19100</v>
      </c>
      <c r="G23" s="105">
        <v>18400</v>
      </c>
      <c r="H23" s="105">
        <v>19900</v>
      </c>
      <c r="I23" s="120">
        <v>3.6799999999999999E-2</v>
      </c>
      <c r="J23" s="120">
        <v>3.5499999999999997E-2</v>
      </c>
      <c r="K23" s="120">
        <v>3.8300000000000001E-2</v>
      </c>
      <c r="L23" s="105">
        <v>15268</v>
      </c>
      <c r="M23" s="2">
        <v>0.8</v>
      </c>
      <c r="N23" s="2">
        <v>0.77</v>
      </c>
      <c r="O23" s="2">
        <v>0.83</v>
      </c>
      <c r="P23" s="105">
        <v>12652</v>
      </c>
      <c r="Q23" s="2">
        <v>0.66</v>
      </c>
      <c r="R23" s="2">
        <v>0.64</v>
      </c>
      <c r="S23" s="2">
        <v>0.69</v>
      </c>
    </row>
    <row r="24" spans="1:19" x14ac:dyDescent="0.35">
      <c r="A24" t="s">
        <v>153</v>
      </c>
      <c r="B24" t="s">
        <v>32</v>
      </c>
      <c r="C24" t="s">
        <v>46</v>
      </c>
      <c r="D24" s="105" t="s">
        <v>42</v>
      </c>
      <c r="E24" s="105" t="s">
        <v>57</v>
      </c>
      <c r="F24" s="105">
        <v>8100</v>
      </c>
      <c r="G24" s="105">
        <v>7800</v>
      </c>
      <c r="H24" s="105">
        <v>8400</v>
      </c>
      <c r="I24" s="120">
        <v>1.49E-2</v>
      </c>
      <c r="J24" s="120">
        <v>1.43E-2</v>
      </c>
      <c r="K24" s="120">
        <v>1.54E-2</v>
      </c>
      <c r="L24" s="105">
        <v>6729</v>
      </c>
      <c r="M24" s="2">
        <v>0.83</v>
      </c>
      <c r="N24" s="2">
        <v>0.8</v>
      </c>
      <c r="O24" s="2">
        <v>0.86</v>
      </c>
      <c r="P24" s="105">
        <v>5553</v>
      </c>
      <c r="Q24" s="2">
        <v>0.69</v>
      </c>
      <c r="R24" s="2">
        <v>0.66</v>
      </c>
      <c r="S24" s="2">
        <v>0.71</v>
      </c>
    </row>
    <row r="25" spans="1:19" x14ac:dyDescent="0.35">
      <c r="A25" t="s">
        <v>154</v>
      </c>
      <c r="B25" t="s">
        <v>32</v>
      </c>
      <c r="C25" t="s">
        <v>46</v>
      </c>
      <c r="D25" s="105" t="s">
        <v>37</v>
      </c>
      <c r="E25" s="105" t="s">
        <v>57</v>
      </c>
      <c r="F25" s="105">
        <v>19200</v>
      </c>
      <c r="G25" s="105">
        <v>18600</v>
      </c>
      <c r="H25" s="105">
        <v>19900</v>
      </c>
      <c r="I25" s="120">
        <v>3.73E-2</v>
      </c>
      <c r="J25" s="120">
        <v>3.61E-2</v>
      </c>
      <c r="K25" s="120">
        <v>3.8600000000000002E-2</v>
      </c>
      <c r="L25" s="105">
        <v>15656</v>
      </c>
      <c r="M25" s="2">
        <v>0.82</v>
      </c>
      <c r="N25" s="2">
        <v>0.79</v>
      </c>
      <c r="O25" s="2">
        <v>0.84</v>
      </c>
      <c r="P25" s="105">
        <v>13101</v>
      </c>
      <c r="Q25" s="2">
        <v>0.68</v>
      </c>
      <c r="R25" s="2">
        <v>0.66</v>
      </c>
      <c r="S25" s="2">
        <v>0.7</v>
      </c>
    </row>
    <row r="26" spans="1:19" x14ac:dyDescent="0.35">
      <c r="A26" t="s">
        <v>155</v>
      </c>
      <c r="B26" t="s">
        <v>32</v>
      </c>
      <c r="C26" t="s">
        <v>47</v>
      </c>
      <c r="D26" s="105" t="s">
        <v>42</v>
      </c>
      <c r="E26" s="105" t="s">
        <v>57</v>
      </c>
      <c r="F26" s="105">
        <v>8100</v>
      </c>
      <c r="G26" s="105">
        <v>7800</v>
      </c>
      <c r="H26" s="105">
        <v>8400</v>
      </c>
      <c r="I26" s="120">
        <v>1.4999999999999999E-2</v>
      </c>
      <c r="J26" s="120">
        <v>1.46E-2</v>
      </c>
      <c r="K26" s="120">
        <v>1.55E-2</v>
      </c>
      <c r="L26" s="105">
        <v>6927</v>
      </c>
      <c r="M26" s="2">
        <v>0.86</v>
      </c>
      <c r="N26" s="2">
        <v>0.82</v>
      </c>
      <c r="O26" s="2">
        <v>0.89</v>
      </c>
      <c r="P26" s="105">
        <v>5766</v>
      </c>
      <c r="Q26" s="2">
        <v>0.71</v>
      </c>
      <c r="R26" s="2">
        <v>0.69</v>
      </c>
      <c r="S26" s="2">
        <v>0.74</v>
      </c>
    </row>
    <row r="27" spans="1:19" x14ac:dyDescent="0.35">
      <c r="A27" t="s">
        <v>156</v>
      </c>
      <c r="B27" t="s">
        <v>32</v>
      </c>
      <c r="C27" t="s">
        <v>47</v>
      </c>
      <c r="D27" s="105" t="s">
        <v>37</v>
      </c>
      <c r="E27" s="105" t="s">
        <v>57</v>
      </c>
      <c r="F27" s="105">
        <v>18900</v>
      </c>
      <c r="G27" s="105">
        <v>18400</v>
      </c>
      <c r="H27" s="105">
        <v>19500</v>
      </c>
      <c r="I27" s="120">
        <v>3.6999999999999998E-2</v>
      </c>
      <c r="J27" s="120">
        <v>3.5999999999999997E-2</v>
      </c>
      <c r="K27" s="120">
        <v>3.8199999999999998E-2</v>
      </c>
      <c r="L27" s="105">
        <v>15819</v>
      </c>
      <c r="M27" s="2">
        <v>0.84</v>
      </c>
      <c r="N27" s="2">
        <v>0.81</v>
      </c>
      <c r="O27" s="2">
        <v>0.86</v>
      </c>
      <c r="P27" s="105">
        <v>13307</v>
      </c>
      <c r="Q27" s="2">
        <v>0.7</v>
      </c>
      <c r="R27" s="2">
        <v>0.68</v>
      </c>
      <c r="S27" s="2">
        <v>0.72</v>
      </c>
    </row>
    <row r="28" spans="1:19" x14ac:dyDescent="0.35">
      <c r="A28" t="s">
        <v>157</v>
      </c>
      <c r="B28" t="s">
        <v>32</v>
      </c>
      <c r="C28" t="s">
        <v>48</v>
      </c>
      <c r="D28" s="105" t="s">
        <v>42</v>
      </c>
      <c r="E28" s="105" t="s">
        <v>57</v>
      </c>
      <c r="F28" s="105">
        <v>8200</v>
      </c>
      <c r="G28" s="105">
        <v>8000</v>
      </c>
      <c r="H28" s="105">
        <v>8500</v>
      </c>
      <c r="I28" s="120">
        <v>1.54E-2</v>
      </c>
      <c r="J28" s="120">
        <v>1.49E-2</v>
      </c>
      <c r="K28" s="120">
        <v>1.5900000000000001E-2</v>
      </c>
      <c r="L28" s="105">
        <v>7008</v>
      </c>
      <c r="M28" s="2">
        <v>0.85</v>
      </c>
      <c r="N28" s="2">
        <v>0.82</v>
      </c>
      <c r="O28" s="2">
        <v>0.88</v>
      </c>
      <c r="P28" s="105">
        <v>5832</v>
      </c>
      <c r="Q28" s="2">
        <v>0.71</v>
      </c>
      <c r="R28" s="2">
        <v>0.69</v>
      </c>
      <c r="S28" s="2">
        <v>0.73</v>
      </c>
    </row>
    <row r="29" spans="1:19" x14ac:dyDescent="0.35">
      <c r="A29" t="s">
        <v>158</v>
      </c>
      <c r="B29" t="s">
        <v>32</v>
      </c>
      <c r="C29" t="s">
        <v>48</v>
      </c>
      <c r="D29" s="105" t="s">
        <v>37</v>
      </c>
      <c r="E29" s="105" t="s">
        <v>57</v>
      </c>
      <c r="F29" s="105">
        <v>18800</v>
      </c>
      <c r="G29" s="105">
        <v>18200</v>
      </c>
      <c r="H29" s="105">
        <v>19300</v>
      </c>
      <c r="I29" s="120">
        <v>3.6999999999999998E-2</v>
      </c>
      <c r="J29" s="120">
        <v>3.5999999999999997E-2</v>
      </c>
      <c r="K29" s="120">
        <v>3.8100000000000002E-2</v>
      </c>
      <c r="L29" s="105">
        <v>15566</v>
      </c>
      <c r="M29" s="2">
        <v>0.83</v>
      </c>
      <c r="N29" s="2">
        <v>0.81</v>
      </c>
      <c r="O29" s="2">
        <v>0.86</v>
      </c>
      <c r="P29" s="105">
        <v>13063</v>
      </c>
      <c r="Q29" s="2">
        <v>0.69</v>
      </c>
      <c r="R29" s="2">
        <v>0.68</v>
      </c>
      <c r="S29" s="2">
        <v>0.72</v>
      </c>
    </row>
    <row r="30" spans="1:19" x14ac:dyDescent="0.35">
      <c r="A30" t="s">
        <v>159</v>
      </c>
      <c r="B30" t="s">
        <v>32</v>
      </c>
      <c r="C30" t="s">
        <v>49</v>
      </c>
      <c r="D30" s="105" t="s">
        <v>42</v>
      </c>
      <c r="E30" s="105" t="s">
        <v>57</v>
      </c>
      <c r="F30" s="105">
        <v>8500</v>
      </c>
      <c r="G30" s="105">
        <v>8200</v>
      </c>
      <c r="H30" s="105">
        <v>8800</v>
      </c>
      <c r="I30" s="120">
        <v>1.61E-2</v>
      </c>
      <c r="J30" s="120">
        <v>1.5599999999999999E-2</v>
      </c>
      <c r="K30" s="120">
        <v>1.67E-2</v>
      </c>
      <c r="L30" s="105">
        <v>7059</v>
      </c>
      <c r="M30" s="2">
        <v>0.83</v>
      </c>
      <c r="N30" s="2">
        <v>0.8</v>
      </c>
      <c r="O30" s="2">
        <v>0.86</v>
      </c>
      <c r="P30" s="105">
        <v>5902</v>
      </c>
      <c r="Q30" s="2">
        <v>0.69</v>
      </c>
      <c r="R30" s="2">
        <v>0.67</v>
      </c>
      <c r="S30" s="2">
        <v>0.72</v>
      </c>
    </row>
    <row r="31" spans="1:19" x14ac:dyDescent="0.35">
      <c r="A31" t="s">
        <v>160</v>
      </c>
      <c r="B31" t="s">
        <v>32</v>
      </c>
      <c r="C31" t="s">
        <v>49</v>
      </c>
      <c r="D31" s="105" t="s">
        <v>37</v>
      </c>
      <c r="E31" s="105" t="s">
        <v>57</v>
      </c>
      <c r="F31" s="105">
        <v>19100</v>
      </c>
      <c r="G31" s="105">
        <v>18500</v>
      </c>
      <c r="H31" s="105">
        <v>19800</v>
      </c>
      <c r="I31" s="120">
        <v>3.7900000000000003E-2</v>
      </c>
      <c r="J31" s="120">
        <v>3.6700000000000003E-2</v>
      </c>
      <c r="K31" s="120">
        <v>3.9199999999999999E-2</v>
      </c>
      <c r="L31" s="105">
        <v>15185</v>
      </c>
      <c r="M31" s="2">
        <v>0.8</v>
      </c>
      <c r="N31" s="2">
        <v>0.77</v>
      </c>
      <c r="O31" s="2">
        <v>0.82</v>
      </c>
      <c r="P31" s="105">
        <v>12624</v>
      </c>
      <c r="Q31" s="2">
        <v>0.66</v>
      </c>
      <c r="R31" s="2">
        <v>0.64</v>
      </c>
      <c r="S31" s="2">
        <v>0.68</v>
      </c>
    </row>
    <row r="32" spans="1:19" x14ac:dyDescent="0.35">
      <c r="A32" t="s">
        <v>161</v>
      </c>
      <c r="B32" t="s">
        <v>32</v>
      </c>
      <c r="C32" t="s">
        <v>124</v>
      </c>
      <c r="D32" s="105" t="s">
        <v>42</v>
      </c>
      <c r="E32" s="105" t="s">
        <v>57</v>
      </c>
      <c r="F32" s="105">
        <v>8600</v>
      </c>
      <c r="G32" s="105">
        <v>8300</v>
      </c>
      <c r="H32" s="105">
        <v>8900</v>
      </c>
      <c r="I32" s="120">
        <v>1.6299999999999999E-2</v>
      </c>
      <c r="J32" s="120">
        <v>1.5800000000000002E-2</v>
      </c>
      <c r="K32" s="120">
        <v>1.6899999999999998E-2</v>
      </c>
      <c r="L32" s="105">
        <v>7085</v>
      </c>
      <c r="M32" s="2">
        <v>0.82</v>
      </c>
      <c r="N32" s="2">
        <v>0.8</v>
      </c>
      <c r="O32" s="2">
        <v>0.85</v>
      </c>
      <c r="P32" s="105">
        <v>5964</v>
      </c>
      <c r="Q32" s="2">
        <v>0.69</v>
      </c>
      <c r="R32" s="2">
        <v>0.67</v>
      </c>
      <c r="S32" s="2">
        <v>0.72</v>
      </c>
    </row>
    <row r="33" spans="1:19" x14ac:dyDescent="0.35">
      <c r="A33" t="s">
        <v>162</v>
      </c>
      <c r="B33" t="s">
        <v>32</v>
      </c>
      <c r="C33" t="s">
        <v>124</v>
      </c>
      <c r="D33" s="105" t="s">
        <v>37</v>
      </c>
      <c r="E33" s="105" t="s">
        <v>57</v>
      </c>
      <c r="F33" s="105">
        <v>18900</v>
      </c>
      <c r="G33" s="105">
        <v>18300</v>
      </c>
      <c r="H33" s="105">
        <v>19500</v>
      </c>
      <c r="I33" s="120">
        <v>3.7499999999999999E-2</v>
      </c>
      <c r="J33" s="120">
        <v>3.6299999999999999E-2</v>
      </c>
      <c r="K33" s="120">
        <v>3.8800000000000001E-2</v>
      </c>
      <c r="L33" s="105">
        <v>14838</v>
      </c>
      <c r="M33" s="2">
        <v>0.79</v>
      </c>
      <c r="N33" s="2">
        <v>0.76</v>
      </c>
      <c r="O33" s="2">
        <v>0.81</v>
      </c>
      <c r="P33" s="105">
        <v>12339</v>
      </c>
      <c r="Q33" s="2">
        <v>0.65</v>
      </c>
      <c r="R33" s="2">
        <v>0.63</v>
      </c>
      <c r="S33" s="2">
        <v>0.67</v>
      </c>
    </row>
    <row r="34" spans="1:19" x14ac:dyDescent="0.35">
      <c r="A34" t="s">
        <v>163</v>
      </c>
      <c r="B34" t="s">
        <v>32</v>
      </c>
      <c r="C34" t="s">
        <v>125</v>
      </c>
      <c r="D34" s="105" t="s">
        <v>42</v>
      </c>
      <c r="E34" s="105" t="s">
        <v>57</v>
      </c>
      <c r="F34" s="105">
        <v>8300</v>
      </c>
      <c r="G34" s="105">
        <v>8100</v>
      </c>
      <c r="H34" s="105">
        <v>8600</v>
      </c>
      <c r="I34" s="120">
        <v>1.5900000000000001E-2</v>
      </c>
      <c r="J34" s="120">
        <v>1.5299999999999999E-2</v>
      </c>
      <c r="K34" s="120">
        <v>1.6400000000000001E-2</v>
      </c>
      <c r="L34" s="105">
        <v>7041</v>
      </c>
      <c r="M34" s="2">
        <v>0.85</v>
      </c>
      <c r="N34" s="2">
        <v>0.82</v>
      </c>
      <c r="O34" s="2">
        <v>0.87</v>
      </c>
      <c r="P34" s="105">
        <v>6048</v>
      </c>
      <c r="Q34" s="2">
        <v>0.73</v>
      </c>
      <c r="R34" s="2">
        <v>0.7</v>
      </c>
      <c r="S34" s="2">
        <v>0.75</v>
      </c>
    </row>
    <row r="35" spans="1:19" x14ac:dyDescent="0.35">
      <c r="A35" t="s">
        <v>164</v>
      </c>
      <c r="B35" t="s">
        <v>32</v>
      </c>
      <c r="C35" t="s">
        <v>125</v>
      </c>
      <c r="D35" s="105" t="s">
        <v>37</v>
      </c>
      <c r="E35" s="105" t="s">
        <v>57</v>
      </c>
      <c r="F35" s="105">
        <v>17700</v>
      </c>
      <c r="G35" s="105">
        <v>17100</v>
      </c>
      <c r="H35" s="105">
        <v>18400</v>
      </c>
      <c r="I35" s="120">
        <v>3.5099999999999999E-2</v>
      </c>
      <c r="J35" s="120">
        <v>3.39E-2</v>
      </c>
      <c r="K35" s="120">
        <v>3.6499999999999998E-2</v>
      </c>
      <c r="L35" s="105">
        <v>14221</v>
      </c>
      <c r="M35" s="2">
        <v>0.8</v>
      </c>
      <c r="N35" s="2">
        <v>0.77</v>
      </c>
      <c r="O35" s="2">
        <v>0.83</v>
      </c>
      <c r="P35" s="105">
        <v>12045</v>
      </c>
      <c r="Q35" s="2">
        <v>0.68</v>
      </c>
      <c r="R35" s="2">
        <v>0.65</v>
      </c>
      <c r="S35" s="2">
        <v>0.7</v>
      </c>
    </row>
    <row r="36" spans="1:19" x14ac:dyDescent="0.35">
      <c r="A36" t="s">
        <v>165</v>
      </c>
      <c r="B36" t="s">
        <v>32</v>
      </c>
      <c r="C36" t="s">
        <v>126</v>
      </c>
      <c r="D36" s="105" t="s">
        <v>42</v>
      </c>
      <c r="E36" s="105" t="s">
        <v>57</v>
      </c>
      <c r="F36" s="105">
        <v>7900</v>
      </c>
      <c r="G36" s="105">
        <v>7700</v>
      </c>
      <c r="H36" s="105">
        <v>8200</v>
      </c>
      <c r="I36" s="120">
        <v>1.52E-2</v>
      </c>
      <c r="J36" s="120">
        <v>1.47E-2</v>
      </c>
      <c r="K36" s="120">
        <v>1.5800000000000002E-2</v>
      </c>
      <c r="L36" s="105">
        <v>6898</v>
      </c>
      <c r="M36" s="2">
        <v>0.87</v>
      </c>
      <c r="N36" s="2">
        <v>0.84</v>
      </c>
      <c r="O36" s="2">
        <v>0.9</v>
      </c>
      <c r="P36" s="105">
        <v>5855</v>
      </c>
      <c r="Q36" s="2">
        <v>0.74</v>
      </c>
      <c r="R36" s="2">
        <v>0.71</v>
      </c>
      <c r="S36" s="2">
        <v>0.76</v>
      </c>
    </row>
    <row r="37" spans="1:19" x14ac:dyDescent="0.35">
      <c r="A37" t="s">
        <v>166</v>
      </c>
      <c r="B37" t="s">
        <v>32</v>
      </c>
      <c r="C37" t="s">
        <v>126</v>
      </c>
      <c r="D37" s="105" t="s">
        <v>37</v>
      </c>
      <c r="E37" s="105" t="s">
        <v>57</v>
      </c>
      <c r="F37" s="105">
        <v>16300</v>
      </c>
      <c r="G37" s="105">
        <v>15800</v>
      </c>
      <c r="H37" s="105">
        <v>16900</v>
      </c>
      <c r="I37" s="120">
        <v>3.3099999999999997E-2</v>
      </c>
      <c r="J37" s="120">
        <v>3.2000000000000001E-2</v>
      </c>
      <c r="K37" s="120">
        <v>3.44E-2</v>
      </c>
      <c r="L37" s="105">
        <v>13605</v>
      </c>
      <c r="M37" s="2">
        <v>0.83</v>
      </c>
      <c r="N37" s="2">
        <v>0.81</v>
      </c>
      <c r="O37" s="2">
        <v>0.86</v>
      </c>
      <c r="P37" s="105">
        <v>11436</v>
      </c>
      <c r="Q37" s="2">
        <v>0.7</v>
      </c>
      <c r="R37" s="2">
        <v>0.68</v>
      </c>
      <c r="S37" s="2">
        <v>0.72</v>
      </c>
    </row>
    <row r="38" spans="1:19" x14ac:dyDescent="0.35">
      <c r="A38" t="s">
        <v>167</v>
      </c>
      <c r="B38" t="s">
        <v>32</v>
      </c>
      <c r="C38" s="122" t="s">
        <v>39</v>
      </c>
      <c r="D38" s="105" t="s">
        <v>42</v>
      </c>
      <c r="E38" s="105" t="s">
        <v>58</v>
      </c>
      <c r="F38" s="105">
        <v>1200</v>
      </c>
      <c r="G38" s="105">
        <v>1100</v>
      </c>
      <c r="H38" s="105">
        <v>1400</v>
      </c>
      <c r="I38" s="120">
        <v>2.3E-3</v>
      </c>
      <c r="J38" s="120">
        <v>2E-3</v>
      </c>
      <c r="K38" s="120">
        <v>2.5999999999999999E-3</v>
      </c>
      <c r="L38" s="105">
        <v>749</v>
      </c>
      <c r="M38" s="2">
        <v>0.62</v>
      </c>
      <c r="N38" s="2">
        <v>0.54</v>
      </c>
      <c r="O38" s="2">
        <v>0.68</v>
      </c>
      <c r="P38" s="105">
        <v>559</v>
      </c>
      <c r="Q38" s="2">
        <v>0.47</v>
      </c>
      <c r="R38" s="2">
        <v>0.4</v>
      </c>
      <c r="S38" s="2">
        <v>0.51</v>
      </c>
    </row>
    <row r="39" spans="1:19" x14ac:dyDescent="0.35">
      <c r="A39" t="s">
        <v>168</v>
      </c>
      <c r="B39" t="s">
        <v>32</v>
      </c>
      <c r="C39" s="122" t="s">
        <v>39</v>
      </c>
      <c r="D39" s="105" t="s">
        <v>37</v>
      </c>
      <c r="E39" s="105" t="s">
        <v>58</v>
      </c>
      <c r="F39" s="105">
        <v>3300</v>
      </c>
      <c r="G39" s="105">
        <v>2900</v>
      </c>
      <c r="H39" s="105">
        <v>3800</v>
      </c>
      <c r="I39" s="120">
        <v>6.4000000000000003E-3</v>
      </c>
      <c r="J39" s="120">
        <v>5.5999999999999999E-3</v>
      </c>
      <c r="K39" s="120">
        <v>7.1999999999999998E-3</v>
      </c>
      <c r="L39" s="105">
        <v>2009</v>
      </c>
      <c r="M39" s="2">
        <v>0.61</v>
      </c>
      <c r="N39" s="2">
        <v>0.53</v>
      </c>
      <c r="O39" s="2">
        <v>0.69</v>
      </c>
      <c r="P39" s="105">
        <v>1570</v>
      </c>
      <c r="Q39" s="2">
        <v>0.48</v>
      </c>
      <c r="R39" s="2">
        <v>0.41</v>
      </c>
      <c r="S39" s="2">
        <v>0.54</v>
      </c>
    </row>
    <row r="40" spans="1:19" x14ac:dyDescent="0.35">
      <c r="A40" t="s">
        <v>169</v>
      </c>
      <c r="B40" t="s">
        <v>32</v>
      </c>
      <c r="C40" s="122" t="s">
        <v>44</v>
      </c>
      <c r="D40" s="105" t="s">
        <v>42</v>
      </c>
      <c r="E40" s="105" t="s">
        <v>58</v>
      </c>
      <c r="F40" s="105">
        <v>1400</v>
      </c>
      <c r="G40" s="105">
        <v>1200</v>
      </c>
      <c r="H40" s="105">
        <v>1500</v>
      </c>
      <c r="I40" s="120">
        <v>2.5000000000000001E-3</v>
      </c>
      <c r="J40" s="120">
        <v>2.2000000000000001E-3</v>
      </c>
      <c r="K40" s="120">
        <v>2.8E-3</v>
      </c>
      <c r="L40" s="105">
        <v>916</v>
      </c>
      <c r="M40" s="2">
        <v>0.65</v>
      </c>
      <c r="N40" s="2">
        <v>0.61</v>
      </c>
      <c r="O40" s="2">
        <v>0.76</v>
      </c>
      <c r="P40" s="105">
        <v>692</v>
      </c>
      <c r="Q40" s="2">
        <v>0.49</v>
      </c>
      <c r="R40" s="2">
        <v>0.46</v>
      </c>
      <c r="S40" s="2">
        <v>0.57999999999999996</v>
      </c>
    </row>
    <row r="41" spans="1:19" x14ac:dyDescent="0.35">
      <c r="A41" t="s">
        <v>170</v>
      </c>
      <c r="B41" t="s">
        <v>32</v>
      </c>
      <c r="C41" s="122" t="s">
        <v>44</v>
      </c>
      <c r="D41" s="105" t="s">
        <v>37</v>
      </c>
      <c r="E41" s="105" t="s">
        <v>58</v>
      </c>
      <c r="F41" s="105">
        <v>3600</v>
      </c>
      <c r="G41" s="105">
        <v>3200</v>
      </c>
      <c r="H41" s="105">
        <v>4000</v>
      </c>
      <c r="I41" s="120">
        <v>6.7999999999999996E-3</v>
      </c>
      <c r="J41" s="120">
        <v>6.1000000000000004E-3</v>
      </c>
      <c r="K41" s="120">
        <v>7.6E-3</v>
      </c>
      <c r="L41" s="105">
        <v>2353</v>
      </c>
      <c r="M41" s="2">
        <v>0.65</v>
      </c>
      <c r="N41" s="2">
        <v>0.59</v>
      </c>
      <c r="O41" s="2">
        <v>0.74</v>
      </c>
      <c r="P41" s="105">
        <v>1898</v>
      </c>
      <c r="Q41" s="2">
        <v>0.53</v>
      </c>
      <c r="R41" s="2">
        <v>0.47</v>
      </c>
      <c r="S41" s="2">
        <v>0.59</v>
      </c>
    </row>
    <row r="42" spans="1:19" x14ac:dyDescent="0.35">
      <c r="A42" t="s">
        <v>171</v>
      </c>
      <c r="B42" t="s">
        <v>32</v>
      </c>
      <c r="C42" s="122" t="s">
        <v>46</v>
      </c>
      <c r="D42" s="105" t="s">
        <v>42</v>
      </c>
      <c r="E42" s="105" t="s">
        <v>58</v>
      </c>
      <c r="F42" s="105">
        <v>1500</v>
      </c>
      <c r="G42" s="105">
        <v>1400</v>
      </c>
      <c r="H42" s="105">
        <v>1700</v>
      </c>
      <c r="I42" s="120">
        <v>2.7000000000000001E-3</v>
      </c>
      <c r="J42" s="120">
        <v>2.5000000000000001E-3</v>
      </c>
      <c r="K42" s="120">
        <v>3.0000000000000001E-3</v>
      </c>
      <c r="L42" s="105">
        <v>1046</v>
      </c>
      <c r="M42" s="2">
        <v>0.7</v>
      </c>
      <c r="N42" s="2">
        <v>0.62</v>
      </c>
      <c r="O42" s="2">
        <v>0.75</v>
      </c>
      <c r="P42" s="105">
        <v>807</v>
      </c>
      <c r="Q42" s="2">
        <v>0.54</v>
      </c>
      <c r="R42" s="2">
        <v>0.47</v>
      </c>
      <c r="S42" s="2">
        <v>0.57999999999999996</v>
      </c>
    </row>
    <row r="43" spans="1:19" x14ac:dyDescent="0.35">
      <c r="A43" t="s">
        <v>172</v>
      </c>
      <c r="B43" t="s">
        <v>32</v>
      </c>
      <c r="C43" s="122" t="s">
        <v>46</v>
      </c>
      <c r="D43" s="105" t="s">
        <v>37</v>
      </c>
      <c r="E43" s="105" t="s">
        <v>58</v>
      </c>
      <c r="F43" s="105">
        <v>4200</v>
      </c>
      <c r="G43" s="105">
        <v>3800</v>
      </c>
      <c r="H43" s="105">
        <v>4600</v>
      </c>
      <c r="I43" s="120">
        <v>7.7999999999999996E-3</v>
      </c>
      <c r="J43" s="120">
        <v>7.1000000000000004E-3</v>
      </c>
      <c r="K43" s="120">
        <v>8.6E-3</v>
      </c>
      <c r="L43" s="105">
        <v>2824</v>
      </c>
      <c r="M43" s="2">
        <v>0.67</v>
      </c>
      <c r="N43" s="2">
        <v>0.61</v>
      </c>
      <c r="O43" s="2">
        <v>0.74</v>
      </c>
      <c r="P43" s="105">
        <v>2308</v>
      </c>
      <c r="Q43" s="2">
        <v>0.55000000000000004</v>
      </c>
      <c r="R43" s="2">
        <v>0.5</v>
      </c>
      <c r="S43" s="2">
        <v>0.61</v>
      </c>
    </row>
    <row r="44" spans="1:19" x14ac:dyDescent="0.35">
      <c r="A44" t="s">
        <v>173</v>
      </c>
      <c r="B44" t="s">
        <v>32</v>
      </c>
      <c r="C44" s="122" t="s">
        <v>47</v>
      </c>
      <c r="D44" s="105" t="s">
        <v>42</v>
      </c>
      <c r="E44" s="105" t="s">
        <v>58</v>
      </c>
      <c r="F44" s="105">
        <v>1500</v>
      </c>
      <c r="G44" s="105">
        <v>1400</v>
      </c>
      <c r="H44" s="105">
        <v>1600</v>
      </c>
      <c r="I44" s="120">
        <v>2.5999999999999999E-3</v>
      </c>
      <c r="J44" s="120">
        <v>2.3999999999999998E-3</v>
      </c>
      <c r="K44" s="120">
        <v>2.8E-3</v>
      </c>
      <c r="L44" s="105">
        <v>1174</v>
      </c>
      <c r="M44" s="2">
        <v>0.78</v>
      </c>
      <c r="N44" s="2">
        <v>0.73</v>
      </c>
      <c r="O44" s="2">
        <v>0.84</v>
      </c>
      <c r="P44" s="105">
        <v>935</v>
      </c>
      <c r="Q44" s="2">
        <v>0.62</v>
      </c>
      <c r="R44" s="2">
        <v>0.57999999999999996</v>
      </c>
      <c r="S44" s="2">
        <v>0.67</v>
      </c>
    </row>
    <row r="45" spans="1:19" x14ac:dyDescent="0.35">
      <c r="A45" t="s">
        <v>174</v>
      </c>
      <c r="B45" t="s">
        <v>32</v>
      </c>
      <c r="C45" s="122" t="s">
        <v>47</v>
      </c>
      <c r="D45" s="105" t="s">
        <v>37</v>
      </c>
      <c r="E45" s="105" t="s">
        <v>58</v>
      </c>
      <c r="F45" s="105">
        <v>4100</v>
      </c>
      <c r="G45" s="105">
        <v>3900</v>
      </c>
      <c r="H45" s="105">
        <v>4400</v>
      </c>
      <c r="I45" s="120">
        <v>7.6E-3</v>
      </c>
      <c r="J45" s="120">
        <v>7.1000000000000004E-3</v>
      </c>
      <c r="K45" s="120">
        <v>8.2000000000000007E-3</v>
      </c>
      <c r="L45" s="105">
        <v>3272</v>
      </c>
      <c r="M45" s="2">
        <v>0.8</v>
      </c>
      <c r="N45" s="2">
        <v>0.74</v>
      </c>
      <c r="O45" s="2">
        <v>0.84</v>
      </c>
      <c r="P45" s="105">
        <v>2709</v>
      </c>
      <c r="Q45" s="2">
        <v>0.66</v>
      </c>
      <c r="R45" s="2">
        <v>0.62</v>
      </c>
      <c r="S45" s="2">
        <v>0.69</v>
      </c>
    </row>
    <row r="46" spans="1:19" x14ac:dyDescent="0.35">
      <c r="A46" t="s">
        <v>175</v>
      </c>
      <c r="B46" t="s">
        <v>32</v>
      </c>
      <c r="C46" s="122" t="s">
        <v>48</v>
      </c>
      <c r="D46" s="105" t="s">
        <v>42</v>
      </c>
      <c r="E46" s="105" t="s">
        <v>58</v>
      </c>
      <c r="F46" s="105">
        <v>1800</v>
      </c>
      <c r="G46" s="105">
        <v>1700</v>
      </c>
      <c r="H46" s="105">
        <v>1900</v>
      </c>
      <c r="I46" s="120">
        <v>3.0999999999999999E-3</v>
      </c>
      <c r="J46" s="120">
        <v>2.8999999999999998E-3</v>
      </c>
      <c r="K46" s="120">
        <v>3.3E-3</v>
      </c>
      <c r="L46" s="105">
        <v>1346</v>
      </c>
      <c r="M46" s="2">
        <v>0.75</v>
      </c>
      <c r="N46" s="2">
        <v>0.71</v>
      </c>
      <c r="O46" s="2">
        <v>0.79</v>
      </c>
      <c r="P46" s="105">
        <v>1069</v>
      </c>
      <c r="Q46" s="2">
        <v>0.59</v>
      </c>
      <c r="R46" s="2">
        <v>0.56000000000000005</v>
      </c>
      <c r="S46" s="2">
        <v>0.63</v>
      </c>
    </row>
    <row r="47" spans="1:19" x14ac:dyDescent="0.35">
      <c r="A47" t="s">
        <v>176</v>
      </c>
      <c r="B47" t="s">
        <v>32</v>
      </c>
      <c r="C47" s="122" t="s">
        <v>48</v>
      </c>
      <c r="D47" s="105" t="s">
        <v>37</v>
      </c>
      <c r="E47" s="105" t="s">
        <v>58</v>
      </c>
      <c r="F47" s="105">
        <v>4900</v>
      </c>
      <c r="G47" s="105">
        <v>4600</v>
      </c>
      <c r="H47" s="105">
        <v>5200</v>
      </c>
      <c r="I47" s="120">
        <v>8.9999999999999993E-3</v>
      </c>
      <c r="J47" s="120">
        <v>8.3999999999999995E-3</v>
      </c>
      <c r="K47" s="120">
        <v>9.4999999999999998E-3</v>
      </c>
      <c r="L47" s="105">
        <v>3761</v>
      </c>
      <c r="M47" s="2">
        <v>0.77</v>
      </c>
      <c r="N47" s="2">
        <v>0.72</v>
      </c>
      <c r="O47" s="2">
        <v>0.82</v>
      </c>
      <c r="P47" s="105">
        <v>3151</v>
      </c>
      <c r="Q47" s="2">
        <v>0.64</v>
      </c>
      <c r="R47" s="2">
        <v>0.61</v>
      </c>
      <c r="S47" s="2">
        <v>0.69</v>
      </c>
    </row>
    <row r="48" spans="1:19" x14ac:dyDescent="0.35">
      <c r="A48" t="s">
        <v>177</v>
      </c>
      <c r="B48" t="s">
        <v>32</v>
      </c>
      <c r="C48" s="122" t="s">
        <v>49</v>
      </c>
      <c r="D48" s="105" t="s">
        <v>42</v>
      </c>
      <c r="E48" s="105" t="s">
        <v>58</v>
      </c>
      <c r="F48" s="105">
        <v>2000</v>
      </c>
      <c r="G48" s="105">
        <v>1800</v>
      </c>
      <c r="H48" s="105">
        <v>2100</v>
      </c>
      <c r="I48" s="120">
        <v>3.3E-3</v>
      </c>
      <c r="J48" s="120">
        <v>3.0999999999999999E-3</v>
      </c>
      <c r="K48" s="120">
        <v>3.5999999999999999E-3</v>
      </c>
      <c r="L48" s="105">
        <v>1532</v>
      </c>
      <c r="M48" s="2">
        <v>0.77</v>
      </c>
      <c r="N48" s="2">
        <v>0.73</v>
      </c>
      <c r="O48" s="2">
        <v>0.85</v>
      </c>
      <c r="P48" s="105">
        <v>1230</v>
      </c>
      <c r="Q48" s="2">
        <v>0.62</v>
      </c>
      <c r="R48" s="2">
        <v>0.59</v>
      </c>
      <c r="S48" s="2">
        <v>0.68</v>
      </c>
    </row>
    <row r="49" spans="1:19" x14ac:dyDescent="0.35">
      <c r="A49" t="s">
        <v>178</v>
      </c>
      <c r="B49" t="s">
        <v>32</v>
      </c>
      <c r="C49" s="122" t="s">
        <v>49</v>
      </c>
      <c r="D49" s="105" t="s">
        <v>37</v>
      </c>
      <c r="E49" s="105" t="s">
        <v>58</v>
      </c>
      <c r="F49" s="105">
        <v>5500</v>
      </c>
      <c r="G49" s="105">
        <v>5200</v>
      </c>
      <c r="H49" s="105">
        <v>5800</v>
      </c>
      <c r="I49" s="120">
        <v>9.9000000000000008E-3</v>
      </c>
      <c r="J49" s="120">
        <v>9.4000000000000004E-3</v>
      </c>
      <c r="K49" s="120">
        <v>1.0500000000000001E-2</v>
      </c>
      <c r="L49" s="105">
        <v>4333</v>
      </c>
      <c r="M49" s="2">
        <v>0.79</v>
      </c>
      <c r="N49" s="2">
        <v>0.75</v>
      </c>
      <c r="O49" s="2">
        <v>0.83</v>
      </c>
      <c r="P49" s="105">
        <v>3605</v>
      </c>
      <c r="Q49" s="2">
        <v>0.66</v>
      </c>
      <c r="R49" s="2">
        <v>0.62</v>
      </c>
      <c r="S49" s="2">
        <v>0.69</v>
      </c>
    </row>
    <row r="50" spans="1:19" x14ac:dyDescent="0.35">
      <c r="A50" t="s">
        <v>179</v>
      </c>
      <c r="B50" t="s">
        <v>32</v>
      </c>
      <c r="C50" s="122" t="s">
        <v>124</v>
      </c>
      <c r="D50" s="105" t="s">
        <v>42</v>
      </c>
      <c r="E50" s="105" t="s">
        <v>58</v>
      </c>
      <c r="F50" s="105">
        <v>2300</v>
      </c>
      <c r="G50" s="105">
        <v>2100</v>
      </c>
      <c r="H50" s="105">
        <v>2500</v>
      </c>
      <c r="I50" s="120">
        <v>3.8999999999999998E-3</v>
      </c>
      <c r="J50" s="120">
        <v>3.5999999999999999E-3</v>
      </c>
      <c r="K50" s="120">
        <v>4.1999999999999997E-3</v>
      </c>
      <c r="L50" s="105">
        <v>1678</v>
      </c>
      <c r="M50" s="2">
        <v>0.73</v>
      </c>
      <c r="N50" s="2">
        <v>0.67</v>
      </c>
      <c r="O50" s="2">
        <v>0.8</v>
      </c>
      <c r="P50" s="105">
        <v>1369</v>
      </c>
      <c r="Q50" s="2">
        <v>0.6</v>
      </c>
      <c r="R50" s="2">
        <v>0.55000000000000004</v>
      </c>
      <c r="S50" s="2">
        <v>0.65</v>
      </c>
    </row>
    <row r="51" spans="1:19" x14ac:dyDescent="0.35">
      <c r="A51" t="s">
        <v>180</v>
      </c>
      <c r="B51" t="s">
        <v>32</v>
      </c>
      <c r="C51" s="122" t="s">
        <v>124</v>
      </c>
      <c r="D51" s="105" t="s">
        <v>37</v>
      </c>
      <c r="E51" s="105" t="s">
        <v>58</v>
      </c>
      <c r="F51" s="105">
        <v>6500</v>
      </c>
      <c r="G51" s="105">
        <v>6200</v>
      </c>
      <c r="H51" s="105">
        <v>6900</v>
      </c>
      <c r="I51" s="120">
        <v>1.18E-2</v>
      </c>
      <c r="J51" s="120">
        <v>1.11E-2</v>
      </c>
      <c r="K51" s="120">
        <v>1.2500000000000001E-2</v>
      </c>
      <c r="L51" s="105">
        <v>4920</v>
      </c>
      <c r="M51" s="2">
        <v>0.76</v>
      </c>
      <c r="N51" s="2">
        <v>0.71</v>
      </c>
      <c r="O51" s="2">
        <v>0.79</v>
      </c>
      <c r="P51" s="105">
        <v>4132</v>
      </c>
      <c r="Q51" s="2">
        <v>0.64</v>
      </c>
      <c r="R51" s="2">
        <v>0.6</v>
      </c>
      <c r="S51" s="2">
        <v>0.67</v>
      </c>
    </row>
    <row r="52" spans="1:19" x14ac:dyDescent="0.35">
      <c r="A52" t="s">
        <v>181</v>
      </c>
      <c r="B52" t="s">
        <v>32</v>
      </c>
      <c r="C52" s="122" t="s">
        <v>125</v>
      </c>
      <c r="D52" s="105" t="s">
        <v>42</v>
      </c>
      <c r="E52" s="105" t="s">
        <v>58</v>
      </c>
      <c r="F52" s="105">
        <v>2500</v>
      </c>
      <c r="G52" s="105">
        <v>2300</v>
      </c>
      <c r="H52" s="105">
        <v>2600</v>
      </c>
      <c r="I52" s="120">
        <v>4.1000000000000003E-3</v>
      </c>
      <c r="J52" s="120">
        <v>3.8E-3</v>
      </c>
      <c r="K52" s="120">
        <v>4.4000000000000003E-3</v>
      </c>
      <c r="L52" s="105">
        <v>1852</v>
      </c>
      <c r="M52" s="2">
        <v>0.74</v>
      </c>
      <c r="N52" s="2">
        <v>0.71</v>
      </c>
      <c r="O52" s="2">
        <v>0.81</v>
      </c>
      <c r="P52" s="105">
        <v>1568</v>
      </c>
      <c r="Q52" s="2">
        <v>0.63</v>
      </c>
      <c r="R52" s="2">
        <v>0.6</v>
      </c>
      <c r="S52" s="2">
        <v>0.68</v>
      </c>
    </row>
    <row r="53" spans="1:19" x14ac:dyDescent="0.35">
      <c r="A53" t="s">
        <v>182</v>
      </c>
      <c r="B53" t="s">
        <v>32</v>
      </c>
      <c r="C53" s="122" t="s">
        <v>125</v>
      </c>
      <c r="D53" s="105" t="s">
        <v>37</v>
      </c>
      <c r="E53" s="105" t="s">
        <v>58</v>
      </c>
      <c r="F53" s="105">
        <v>7000</v>
      </c>
      <c r="G53" s="105">
        <v>6700</v>
      </c>
      <c r="H53" s="105">
        <v>7500</v>
      </c>
      <c r="I53" s="120">
        <v>1.2699999999999999E-2</v>
      </c>
      <c r="J53" s="120">
        <v>1.2E-2</v>
      </c>
      <c r="K53" s="120">
        <v>1.35E-2</v>
      </c>
      <c r="L53" s="105">
        <v>5489</v>
      </c>
      <c r="M53" s="2">
        <v>0.78</v>
      </c>
      <c r="N53" s="2">
        <v>0.73</v>
      </c>
      <c r="O53" s="2">
        <v>0.82</v>
      </c>
      <c r="P53" s="105">
        <v>4702</v>
      </c>
      <c r="Q53" s="2">
        <v>0.67</v>
      </c>
      <c r="R53" s="2">
        <v>0.63</v>
      </c>
      <c r="S53" s="2">
        <v>0.7</v>
      </c>
    </row>
    <row r="54" spans="1:19" x14ac:dyDescent="0.35">
      <c r="A54" t="s">
        <v>183</v>
      </c>
      <c r="B54" t="s">
        <v>32</v>
      </c>
      <c r="C54" s="122" t="s">
        <v>126</v>
      </c>
      <c r="D54" s="105" t="s">
        <v>42</v>
      </c>
      <c r="E54" s="105" t="s">
        <v>58</v>
      </c>
      <c r="F54" s="105">
        <v>2700</v>
      </c>
      <c r="G54" s="105">
        <v>2500</v>
      </c>
      <c r="H54" s="105">
        <v>2900</v>
      </c>
      <c r="I54" s="120">
        <v>4.4000000000000003E-3</v>
      </c>
      <c r="J54" s="120">
        <v>4.1000000000000003E-3</v>
      </c>
      <c r="K54" s="120">
        <v>4.7999999999999996E-3</v>
      </c>
      <c r="L54" s="105">
        <v>2063</v>
      </c>
      <c r="M54" s="2">
        <v>0.76</v>
      </c>
      <c r="N54" s="2">
        <v>0.71</v>
      </c>
      <c r="O54" s="2">
        <v>0.83</v>
      </c>
      <c r="P54" s="105">
        <v>1739</v>
      </c>
      <c r="Q54" s="2">
        <v>0.64</v>
      </c>
      <c r="R54" s="2">
        <v>0.6</v>
      </c>
      <c r="S54" s="2">
        <v>0.7</v>
      </c>
    </row>
    <row r="55" spans="1:19" x14ac:dyDescent="0.35">
      <c r="A55" t="s">
        <v>184</v>
      </c>
      <c r="B55" t="s">
        <v>32</v>
      </c>
      <c r="C55" s="122" t="s">
        <v>126</v>
      </c>
      <c r="D55" s="105" t="s">
        <v>37</v>
      </c>
      <c r="E55" s="105" t="s">
        <v>58</v>
      </c>
      <c r="F55" s="105">
        <v>7600</v>
      </c>
      <c r="G55" s="105">
        <v>7200</v>
      </c>
      <c r="H55" s="105">
        <v>8200</v>
      </c>
      <c r="I55" s="120">
        <v>1.35E-2</v>
      </c>
      <c r="J55" s="120">
        <v>1.2699999999999999E-2</v>
      </c>
      <c r="K55" s="120">
        <v>1.44E-2</v>
      </c>
      <c r="L55" s="105">
        <v>6058</v>
      </c>
      <c r="M55" s="2">
        <v>0.8</v>
      </c>
      <c r="N55" s="2">
        <v>0.74</v>
      </c>
      <c r="O55" s="2">
        <v>0.84</v>
      </c>
      <c r="P55" s="105">
        <v>5207</v>
      </c>
      <c r="Q55" s="2">
        <v>0.69</v>
      </c>
      <c r="R55" s="2">
        <v>0.64</v>
      </c>
      <c r="S55" s="2">
        <v>0.72</v>
      </c>
    </row>
    <row r="56" spans="1:19" x14ac:dyDescent="0.35">
      <c r="A56" t="s">
        <v>185</v>
      </c>
      <c r="B56" t="s">
        <v>38</v>
      </c>
      <c r="C56" s="122" t="s">
        <v>39</v>
      </c>
      <c r="D56" s="105" t="s">
        <v>42</v>
      </c>
      <c r="E56" s="105" t="s">
        <v>56</v>
      </c>
      <c r="F56" s="105">
        <v>1500</v>
      </c>
      <c r="G56" s="105">
        <v>1400</v>
      </c>
      <c r="H56" s="105">
        <v>1600</v>
      </c>
      <c r="I56" s="120">
        <v>8.9999999999999993E-3</v>
      </c>
      <c r="J56" s="120">
        <v>8.3999999999999995E-3</v>
      </c>
      <c r="K56" s="120">
        <v>9.5999999999999992E-3</v>
      </c>
      <c r="L56" s="105">
        <v>1143</v>
      </c>
      <c r="M56" s="2">
        <v>0.76</v>
      </c>
      <c r="N56" s="2">
        <v>0.71</v>
      </c>
      <c r="O56" s="2">
        <v>0.82</v>
      </c>
      <c r="P56" s="105">
        <v>930</v>
      </c>
      <c r="Q56" s="2">
        <v>0.62</v>
      </c>
      <c r="R56" s="2">
        <v>0.57999999999999996</v>
      </c>
      <c r="S56" s="2">
        <v>0.66</v>
      </c>
    </row>
    <row r="57" spans="1:19" x14ac:dyDescent="0.35">
      <c r="A57" t="s">
        <v>186</v>
      </c>
      <c r="B57" t="s">
        <v>38</v>
      </c>
      <c r="C57" s="122" t="s">
        <v>39</v>
      </c>
      <c r="D57" s="105" t="s">
        <v>37</v>
      </c>
      <c r="E57" s="105" t="s">
        <v>56</v>
      </c>
      <c r="F57" s="105">
        <v>2500</v>
      </c>
      <c r="G57" s="105">
        <v>2300</v>
      </c>
      <c r="H57" s="105">
        <v>2800</v>
      </c>
      <c r="I57" s="120">
        <v>1.5699999999999999E-2</v>
      </c>
      <c r="J57" s="120">
        <v>1.43E-2</v>
      </c>
      <c r="K57" s="120">
        <v>1.7100000000000001E-2</v>
      </c>
      <c r="L57" s="105">
        <v>1541</v>
      </c>
      <c r="M57" s="2">
        <v>0.62</v>
      </c>
      <c r="N57" s="2">
        <v>0.55000000000000004</v>
      </c>
      <c r="O57" s="2">
        <v>0.67</v>
      </c>
      <c r="P57" s="105">
        <v>1186</v>
      </c>
      <c r="Q57" s="2">
        <v>0.47</v>
      </c>
      <c r="R57" s="2">
        <v>0.42</v>
      </c>
      <c r="S57" s="2">
        <v>0.52</v>
      </c>
    </row>
    <row r="58" spans="1:19" x14ac:dyDescent="0.35">
      <c r="A58" t="s">
        <v>187</v>
      </c>
      <c r="B58" t="s">
        <v>38</v>
      </c>
      <c r="C58" s="122" t="s">
        <v>44</v>
      </c>
      <c r="D58" s="105" t="s">
        <v>42</v>
      </c>
      <c r="E58" s="105" t="s">
        <v>56</v>
      </c>
      <c r="F58" s="105">
        <v>1200</v>
      </c>
      <c r="G58" s="105">
        <v>1200</v>
      </c>
      <c r="H58" s="105">
        <v>1300</v>
      </c>
      <c r="I58" s="120">
        <v>7.6E-3</v>
      </c>
      <c r="J58" s="120">
        <v>7.0000000000000001E-3</v>
      </c>
      <c r="K58" s="120">
        <v>8.0999999999999996E-3</v>
      </c>
      <c r="L58" s="105">
        <v>948</v>
      </c>
      <c r="M58" s="2">
        <v>0.79</v>
      </c>
      <c r="N58" s="2">
        <v>0.73</v>
      </c>
      <c r="O58" s="2">
        <v>0.79</v>
      </c>
      <c r="P58" s="105">
        <v>771</v>
      </c>
      <c r="Q58" s="2">
        <v>0.64</v>
      </c>
      <c r="R58" s="2">
        <v>0.59</v>
      </c>
      <c r="S58" s="2">
        <v>0.64</v>
      </c>
    </row>
    <row r="59" spans="1:19" x14ac:dyDescent="0.35">
      <c r="A59" t="s">
        <v>188</v>
      </c>
      <c r="B59" t="s">
        <v>38</v>
      </c>
      <c r="C59" s="122" t="s">
        <v>44</v>
      </c>
      <c r="D59" s="105" t="s">
        <v>37</v>
      </c>
      <c r="E59" s="105" t="s">
        <v>56</v>
      </c>
      <c r="F59" s="105">
        <v>2200</v>
      </c>
      <c r="G59" s="105">
        <v>2000</v>
      </c>
      <c r="H59" s="105">
        <v>2400</v>
      </c>
      <c r="I59" s="120">
        <v>1.34E-2</v>
      </c>
      <c r="J59" s="120">
        <v>1.23E-2</v>
      </c>
      <c r="K59" s="120">
        <v>1.47E-2</v>
      </c>
      <c r="L59" s="105">
        <v>1292</v>
      </c>
      <c r="M59" s="2">
        <v>0.59</v>
      </c>
      <c r="N59" s="2">
        <v>0.54</v>
      </c>
      <c r="O59" s="2">
        <v>0.65</v>
      </c>
      <c r="P59" s="105">
        <v>1019</v>
      </c>
      <c r="Q59" s="2">
        <v>0.46</v>
      </c>
      <c r="R59" s="2">
        <v>0.42</v>
      </c>
      <c r="S59" s="2">
        <v>0.51</v>
      </c>
    </row>
    <row r="60" spans="1:19" x14ac:dyDescent="0.35">
      <c r="A60" t="s">
        <v>189</v>
      </c>
      <c r="B60" t="s">
        <v>38</v>
      </c>
      <c r="C60" s="122" t="s">
        <v>46</v>
      </c>
      <c r="D60" s="105" t="s">
        <v>42</v>
      </c>
      <c r="E60" s="105" t="s">
        <v>56</v>
      </c>
      <c r="F60" s="105">
        <v>1100</v>
      </c>
      <c r="G60" s="105">
        <v>970</v>
      </c>
      <c r="H60" s="105">
        <v>1100</v>
      </c>
      <c r="I60" s="120">
        <v>6.3E-3</v>
      </c>
      <c r="J60" s="120">
        <v>5.7999999999999996E-3</v>
      </c>
      <c r="K60" s="120">
        <v>6.7999999999999996E-3</v>
      </c>
      <c r="L60" s="105">
        <v>795</v>
      </c>
      <c r="M60" s="2">
        <v>0.72</v>
      </c>
      <c r="N60" s="2">
        <v>0.72</v>
      </c>
      <c r="O60" s="2">
        <v>0.82</v>
      </c>
      <c r="P60" s="105">
        <v>655</v>
      </c>
      <c r="Q60" s="2">
        <v>0.6</v>
      </c>
      <c r="R60" s="2">
        <v>0.6</v>
      </c>
      <c r="S60" s="2">
        <v>0.68</v>
      </c>
    </row>
    <row r="61" spans="1:19" x14ac:dyDescent="0.35">
      <c r="A61" t="s">
        <v>190</v>
      </c>
      <c r="B61" t="s">
        <v>38</v>
      </c>
      <c r="C61" s="122" t="s">
        <v>46</v>
      </c>
      <c r="D61" s="105" t="s">
        <v>37</v>
      </c>
      <c r="E61" s="105" t="s">
        <v>56</v>
      </c>
      <c r="F61" s="105">
        <v>1900</v>
      </c>
      <c r="G61" s="105">
        <v>1700</v>
      </c>
      <c r="H61" s="105">
        <v>2100</v>
      </c>
      <c r="I61" s="120">
        <v>1.1299999999999999E-2</v>
      </c>
      <c r="J61" s="120">
        <v>1.03E-2</v>
      </c>
      <c r="K61" s="120">
        <v>1.24E-2</v>
      </c>
      <c r="L61" s="105">
        <v>1071</v>
      </c>
      <c r="M61" s="2">
        <v>0.56000000000000005</v>
      </c>
      <c r="N61" s="2">
        <v>0.51</v>
      </c>
      <c r="O61" s="2">
        <v>0.63</v>
      </c>
      <c r="P61" s="105">
        <v>856</v>
      </c>
      <c r="Q61" s="2">
        <v>0.45</v>
      </c>
      <c r="R61" s="2">
        <v>0.41</v>
      </c>
      <c r="S61" s="2">
        <v>0.5</v>
      </c>
    </row>
    <row r="62" spans="1:19" x14ac:dyDescent="0.35">
      <c r="A62" t="s">
        <v>191</v>
      </c>
      <c r="B62" t="s">
        <v>38</v>
      </c>
      <c r="C62" s="122" t="s">
        <v>47</v>
      </c>
      <c r="D62" s="105" t="s">
        <v>42</v>
      </c>
      <c r="E62" s="105" t="s">
        <v>56</v>
      </c>
      <c r="F62" s="105">
        <v>920</v>
      </c>
      <c r="G62" s="105">
        <v>850</v>
      </c>
      <c r="H62" s="105">
        <v>1000</v>
      </c>
      <c r="I62" s="120">
        <v>5.4999999999999997E-3</v>
      </c>
      <c r="J62" s="120">
        <v>5.1000000000000004E-3</v>
      </c>
      <c r="K62" s="120">
        <v>6.0000000000000001E-3</v>
      </c>
      <c r="L62" s="105">
        <v>688</v>
      </c>
      <c r="M62" s="2">
        <v>0.75</v>
      </c>
      <c r="N62" s="2">
        <v>0.69</v>
      </c>
      <c r="O62" s="2">
        <v>0.81</v>
      </c>
      <c r="P62" s="105">
        <v>559</v>
      </c>
      <c r="Q62" s="2">
        <v>0.61</v>
      </c>
      <c r="R62" s="2">
        <v>0.56000000000000005</v>
      </c>
      <c r="S62" s="2">
        <v>0.66</v>
      </c>
    </row>
    <row r="63" spans="1:19" x14ac:dyDescent="0.35">
      <c r="A63" t="s">
        <v>192</v>
      </c>
      <c r="B63" t="s">
        <v>38</v>
      </c>
      <c r="C63" s="122" t="s">
        <v>47</v>
      </c>
      <c r="D63" s="105" t="s">
        <v>37</v>
      </c>
      <c r="E63" s="105" t="s">
        <v>56</v>
      </c>
      <c r="F63" s="105">
        <v>1700</v>
      </c>
      <c r="G63" s="105">
        <v>1500</v>
      </c>
      <c r="H63" s="105">
        <v>1800</v>
      </c>
      <c r="I63" s="120">
        <v>9.7999999999999997E-3</v>
      </c>
      <c r="J63" s="120">
        <v>8.9999999999999993E-3</v>
      </c>
      <c r="K63" s="120">
        <v>1.0800000000000001E-2</v>
      </c>
      <c r="L63" s="105">
        <v>922</v>
      </c>
      <c r="M63" s="2">
        <v>0.54</v>
      </c>
      <c r="N63" s="2">
        <v>0.51</v>
      </c>
      <c r="O63" s="2">
        <v>0.61</v>
      </c>
      <c r="P63" s="105">
        <v>739</v>
      </c>
      <c r="Q63" s="2">
        <v>0.43</v>
      </c>
      <c r="R63" s="2">
        <v>0.41</v>
      </c>
      <c r="S63" s="2">
        <v>0.49</v>
      </c>
    </row>
    <row r="64" spans="1:19" x14ac:dyDescent="0.35">
      <c r="A64" t="s">
        <v>193</v>
      </c>
      <c r="B64" t="s">
        <v>38</v>
      </c>
      <c r="C64" s="122" t="s">
        <v>48</v>
      </c>
      <c r="D64" s="105" t="s">
        <v>42</v>
      </c>
      <c r="E64" s="105" t="s">
        <v>56</v>
      </c>
      <c r="F64" s="105">
        <v>830</v>
      </c>
      <c r="G64" s="105">
        <v>760</v>
      </c>
      <c r="H64" s="105">
        <v>900</v>
      </c>
      <c r="I64" s="120">
        <v>4.8999999999999998E-3</v>
      </c>
      <c r="J64" s="120">
        <v>4.4999999999999997E-3</v>
      </c>
      <c r="K64" s="120">
        <v>5.4000000000000003E-3</v>
      </c>
      <c r="L64" s="105">
        <v>579</v>
      </c>
      <c r="M64" s="2">
        <v>0.7</v>
      </c>
      <c r="N64" s="2">
        <v>0.64</v>
      </c>
      <c r="O64" s="2">
        <v>0.76</v>
      </c>
      <c r="P64" s="105">
        <v>465</v>
      </c>
      <c r="Q64" s="2">
        <v>0.56000000000000005</v>
      </c>
      <c r="R64" s="2">
        <v>0.52</v>
      </c>
      <c r="S64" s="2">
        <v>0.61</v>
      </c>
    </row>
    <row r="65" spans="1:19" x14ac:dyDescent="0.35">
      <c r="A65" t="s">
        <v>194</v>
      </c>
      <c r="B65" t="s">
        <v>38</v>
      </c>
      <c r="C65" s="122" t="s">
        <v>48</v>
      </c>
      <c r="D65" s="105" t="s">
        <v>37</v>
      </c>
      <c r="E65" s="105" t="s">
        <v>56</v>
      </c>
      <c r="F65" s="105">
        <v>1700</v>
      </c>
      <c r="G65" s="105">
        <v>1500</v>
      </c>
      <c r="H65" s="105">
        <v>1800</v>
      </c>
      <c r="I65" s="120">
        <v>9.9000000000000008E-3</v>
      </c>
      <c r="J65" s="121">
        <v>8.9999999999999993E-3</v>
      </c>
      <c r="K65" s="120">
        <v>1.09E-2</v>
      </c>
      <c r="L65" s="105">
        <v>888</v>
      </c>
      <c r="M65" s="2">
        <v>0.52</v>
      </c>
      <c r="N65" s="2">
        <v>0.49</v>
      </c>
      <c r="O65" s="2">
        <v>0.59</v>
      </c>
      <c r="P65" s="105">
        <v>718</v>
      </c>
      <c r="Q65" s="2">
        <v>0.42</v>
      </c>
      <c r="R65" s="2">
        <v>0.4</v>
      </c>
      <c r="S65" s="2">
        <v>0.48</v>
      </c>
    </row>
    <row r="66" spans="1:19" x14ac:dyDescent="0.35">
      <c r="A66" t="s">
        <v>195</v>
      </c>
      <c r="B66" t="s">
        <v>38</v>
      </c>
      <c r="C66" s="122" t="s">
        <v>49</v>
      </c>
      <c r="D66" s="105" t="s">
        <v>42</v>
      </c>
      <c r="E66" s="105" t="s">
        <v>56</v>
      </c>
      <c r="F66" s="105">
        <v>800</v>
      </c>
      <c r="G66" s="105">
        <v>730</v>
      </c>
      <c r="H66" s="105">
        <v>890</v>
      </c>
      <c r="I66" s="120">
        <v>4.7999999999999996E-3</v>
      </c>
      <c r="J66" s="120">
        <v>4.3E-3</v>
      </c>
      <c r="K66" s="120">
        <v>5.3E-3</v>
      </c>
      <c r="L66" s="105">
        <v>497</v>
      </c>
      <c r="M66" s="2">
        <v>0.62</v>
      </c>
      <c r="N66" s="2">
        <v>0.56000000000000005</v>
      </c>
      <c r="O66" s="2">
        <v>0.68</v>
      </c>
      <c r="P66" s="105">
        <v>407</v>
      </c>
      <c r="Q66" s="2">
        <v>0.51</v>
      </c>
      <c r="R66" s="2">
        <v>0.46</v>
      </c>
      <c r="S66" s="2">
        <v>0.56000000000000005</v>
      </c>
    </row>
    <row r="67" spans="1:19" x14ac:dyDescent="0.35">
      <c r="A67" t="s">
        <v>196</v>
      </c>
      <c r="B67" t="s">
        <v>38</v>
      </c>
      <c r="C67" s="122" t="s">
        <v>49</v>
      </c>
      <c r="D67" s="105" t="s">
        <v>37</v>
      </c>
      <c r="E67" s="105" t="s">
        <v>56</v>
      </c>
      <c r="F67" s="105">
        <v>1800</v>
      </c>
      <c r="G67" s="105">
        <v>1700</v>
      </c>
      <c r="H67" s="105">
        <v>2000</v>
      </c>
      <c r="I67" s="120">
        <v>1.0699999999999999E-2</v>
      </c>
      <c r="J67" s="120">
        <v>9.5999999999999992E-3</v>
      </c>
      <c r="K67" s="120">
        <v>1.1900000000000001E-2</v>
      </c>
      <c r="L67" s="105">
        <v>853</v>
      </c>
      <c r="M67" s="2">
        <v>0.47</v>
      </c>
      <c r="N67" s="2">
        <v>0.43</v>
      </c>
      <c r="O67" s="2">
        <v>0.5</v>
      </c>
      <c r="P67" s="105">
        <v>697</v>
      </c>
      <c r="Q67" s="2">
        <v>0.39</v>
      </c>
      <c r="R67" s="2">
        <v>0.35</v>
      </c>
      <c r="S67" s="2">
        <v>0.41</v>
      </c>
    </row>
    <row r="68" spans="1:19" x14ac:dyDescent="0.35">
      <c r="A68" t="s">
        <v>197</v>
      </c>
      <c r="B68" t="s">
        <v>38</v>
      </c>
      <c r="C68" s="122" t="s">
        <v>124</v>
      </c>
      <c r="D68" s="105" t="s">
        <v>42</v>
      </c>
      <c r="E68" s="105" t="s">
        <v>56</v>
      </c>
      <c r="F68" s="105">
        <v>790</v>
      </c>
      <c r="G68" s="105">
        <v>710</v>
      </c>
      <c r="H68" s="105">
        <v>880</v>
      </c>
      <c r="I68" s="120">
        <v>4.7000000000000002E-3</v>
      </c>
      <c r="J68" s="120">
        <v>4.1999999999999997E-3</v>
      </c>
      <c r="K68" s="120">
        <v>5.1999999999999998E-3</v>
      </c>
      <c r="L68" s="105">
        <v>472</v>
      </c>
      <c r="M68" s="2">
        <v>0.6</v>
      </c>
      <c r="N68" s="2">
        <v>0.54</v>
      </c>
      <c r="O68" s="2">
        <v>0.66</v>
      </c>
      <c r="P68" s="105">
        <v>391</v>
      </c>
      <c r="Q68" s="2">
        <v>0.49</v>
      </c>
      <c r="R68" s="2">
        <v>0.44</v>
      </c>
      <c r="S68" s="2">
        <v>0.55000000000000004</v>
      </c>
    </row>
    <row r="69" spans="1:19" x14ac:dyDescent="0.35">
      <c r="A69" t="s">
        <v>198</v>
      </c>
      <c r="B69" t="s">
        <v>38</v>
      </c>
      <c r="C69" s="122" t="s">
        <v>124</v>
      </c>
      <c r="D69" s="105" t="s">
        <v>37</v>
      </c>
      <c r="E69" s="105" t="s">
        <v>56</v>
      </c>
      <c r="F69" s="105">
        <v>1900</v>
      </c>
      <c r="G69" s="105">
        <v>1700</v>
      </c>
      <c r="H69" s="105">
        <v>2100</v>
      </c>
      <c r="I69" s="120">
        <v>1.09E-2</v>
      </c>
      <c r="J69" s="120">
        <v>9.7999999999999997E-3</v>
      </c>
      <c r="K69" s="120">
        <v>1.21E-2</v>
      </c>
      <c r="L69" s="105">
        <v>851</v>
      </c>
      <c r="M69" s="2">
        <v>0.45</v>
      </c>
      <c r="N69" s="2">
        <v>0.41</v>
      </c>
      <c r="O69" s="2">
        <v>0.5</v>
      </c>
      <c r="P69" s="105">
        <v>686</v>
      </c>
      <c r="Q69" s="2">
        <v>0.36</v>
      </c>
      <c r="R69" s="2">
        <v>0.33</v>
      </c>
      <c r="S69" s="2">
        <v>0.4</v>
      </c>
    </row>
    <row r="70" spans="1:19" x14ac:dyDescent="0.35">
      <c r="A70" t="s">
        <v>199</v>
      </c>
      <c r="B70" t="s">
        <v>38</v>
      </c>
      <c r="C70" s="122" t="s">
        <v>125</v>
      </c>
      <c r="D70" s="105" t="s">
        <v>42</v>
      </c>
      <c r="E70" s="105" t="s">
        <v>56</v>
      </c>
      <c r="F70" s="105">
        <v>700</v>
      </c>
      <c r="G70" s="105">
        <v>630</v>
      </c>
      <c r="H70" s="105">
        <v>780</v>
      </c>
      <c r="I70" s="120">
        <v>4.1999999999999997E-3</v>
      </c>
      <c r="J70" s="120">
        <v>3.8E-3</v>
      </c>
      <c r="K70" s="120">
        <v>4.7000000000000002E-3</v>
      </c>
      <c r="L70" s="105">
        <v>435</v>
      </c>
      <c r="M70" s="2">
        <v>0.62</v>
      </c>
      <c r="N70" s="2">
        <v>0.56000000000000005</v>
      </c>
      <c r="O70" s="2">
        <v>0.69</v>
      </c>
      <c r="P70" s="105">
        <v>356</v>
      </c>
      <c r="Q70" s="2">
        <v>0.51</v>
      </c>
      <c r="R70" s="2">
        <v>0.46</v>
      </c>
      <c r="S70" s="2">
        <v>0.56999999999999995</v>
      </c>
    </row>
    <row r="71" spans="1:19" x14ac:dyDescent="0.35">
      <c r="A71" t="s">
        <v>200</v>
      </c>
      <c r="B71" t="s">
        <v>38</v>
      </c>
      <c r="C71" s="122" t="s">
        <v>125</v>
      </c>
      <c r="D71" s="105" t="s">
        <v>37</v>
      </c>
      <c r="E71" s="105" t="s">
        <v>56</v>
      </c>
      <c r="F71" s="105">
        <v>1700</v>
      </c>
      <c r="G71" s="105">
        <v>1500</v>
      </c>
      <c r="H71" s="105">
        <v>1900</v>
      </c>
      <c r="I71" s="120">
        <v>9.7000000000000003E-3</v>
      </c>
      <c r="J71" s="120">
        <v>8.6999999999999994E-3</v>
      </c>
      <c r="K71" s="120">
        <v>1.09E-2</v>
      </c>
      <c r="L71" s="105">
        <v>810</v>
      </c>
      <c r="M71" s="2">
        <v>0.48</v>
      </c>
      <c r="N71" s="2">
        <v>0.43</v>
      </c>
      <c r="O71" s="2">
        <v>0.54</v>
      </c>
      <c r="P71" s="105">
        <v>656</v>
      </c>
      <c r="Q71" s="2">
        <v>0.39</v>
      </c>
      <c r="R71" s="2">
        <v>0.35</v>
      </c>
      <c r="S71" s="2">
        <v>0.44</v>
      </c>
    </row>
    <row r="72" spans="1:19" x14ac:dyDescent="0.35">
      <c r="A72" t="s">
        <v>201</v>
      </c>
      <c r="B72" t="s">
        <v>38</v>
      </c>
      <c r="C72" s="122" t="s">
        <v>126</v>
      </c>
      <c r="D72" s="105" t="s">
        <v>42</v>
      </c>
      <c r="E72" s="105" t="s">
        <v>56</v>
      </c>
      <c r="F72" s="105">
        <v>590</v>
      </c>
      <c r="G72" s="105">
        <v>530</v>
      </c>
      <c r="H72" s="105">
        <v>660</v>
      </c>
      <c r="I72" s="120">
        <v>3.5999999999999999E-3</v>
      </c>
      <c r="J72" s="120">
        <v>3.2000000000000002E-3</v>
      </c>
      <c r="K72" s="120">
        <v>4.0000000000000001E-3</v>
      </c>
      <c r="L72" s="105">
        <v>389</v>
      </c>
      <c r="M72" s="2">
        <v>0.66</v>
      </c>
      <c r="N72" s="2">
        <v>0.59</v>
      </c>
      <c r="O72" s="2">
        <v>0.73</v>
      </c>
      <c r="P72" s="105">
        <v>309</v>
      </c>
      <c r="Q72" s="2">
        <v>0.52</v>
      </c>
      <c r="R72" s="2">
        <v>0.47</v>
      </c>
      <c r="S72" s="2">
        <v>0.57999999999999996</v>
      </c>
    </row>
    <row r="73" spans="1:19" x14ac:dyDescent="0.35">
      <c r="A73" t="s">
        <v>202</v>
      </c>
      <c r="B73" t="s">
        <v>38</v>
      </c>
      <c r="C73" s="122" t="s">
        <v>126</v>
      </c>
      <c r="D73" s="105" t="s">
        <v>37</v>
      </c>
      <c r="E73" s="105" t="s">
        <v>56</v>
      </c>
      <c r="F73" s="105">
        <v>1400</v>
      </c>
      <c r="G73" s="105">
        <v>1300</v>
      </c>
      <c r="H73" s="105">
        <v>1600</v>
      </c>
      <c r="I73" s="120">
        <v>8.6E-3</v>
      </c>
      <c r="J73" s="120">
        <v>7.7000000000000002E-3</v>
      </c>
      <c r="K73" s="120">
        <v>9.5999999999999992E-3</v>
      </c>
      <c r="L73" s="105">
        <v>779</v>
      </c>
      <c r="M73" s="2">
        <v>0.56000000000000005</v>
      </c>
      <c r="N73" s="2">
        <v>0.49</v>
      </c>
      <c r="O73" s="2">
        <v>0.6</v>
      </c>
      <c r="P73" s="105">
        <v>618</v>
      </c>
      <c r="Q73" s="2">
        <v>0.44</v>
      </c>
      <c r="R73" s="2">
        <v>0.39</v>
      </c>
      <c r="S73" s="2">
        <v>0.48</v>
      </c>
    </row>
    <row r="74" spans="1:19" x14ac:dyDescent="0.35">
      <c r="A74" t="s">
        <v>203</v>
      </c>
      <c r="B74" t="s">
        <v>38</v>
      </c>
      <c r="C74" t="s">
        <v>39</v>
      </c>
      <c r="D74" s="105" t="s">
        <v>42</v>
      </c>
      <c r="E74" s="105" t="s">
        <v>57</v>
      </c>
      <c r="F74" s="105">
        <v>2700</v>
      </c>
      <c r="G74" s="105">
        <v>2500</v>
      </c>
      <c r="H74" s="105">
        <v>2800</v>
      </c>
      <c r="I74" s="120">
        <v>2.24E-2</v>
      </c>
      <c r="J74" s="120">
        <v>2.1299999999999999E-2</v>
      </c>
      <c r="K74" s="120">
        <v>2.3599999999999999E-2</v>
      </c>
      <c r="L74" s="105">
        <v>2251</v>
      </c>
      <c r="M74" s="2">
        <v>0.83</v>
      </c>
      <c r="N74" s="2">
        <v>0.8</v>
      </c>
      <c r="O74" s="2">
        <v>0.9</v>
      </c>
      <c r="P74" s="105">
        <v>1871</v>
      </c>
      <c r="Q74" s="2">
        <v>0.69</v>
      </c>
      <c r="R74" s="2">
        <v>0.67</v>
      </c>
      <c r="S74" s="2">
        <v>0.75</v>
      </c>
    </row>
    <row r="75" spans="1:19" x14ac:dyDescent="0.35">
      <c r="A75" t="s">
        <v>204</v>
      </c>
      <c r="B75" t="s">
        <v>38</v>
      </c>
      <c r="C75" t="s">
        <v>39</v>
      </c>
      <c r="D75" s="105" t="s">
        <v>37</v>
      </c>
      <c r="E75" s="105" t="s">
        <v>57</v>
      </c>
      <c r="F75" s="105">
        <v>6700</v>
      </c>
      <c r="G75" s="105">
        <v>6400</v>
      </c>
      <c r="H75" s="105">
        <v>7000</v>
      </c>
      <c r="I75" s="120">
        <v>6.0699999999999997E-2</v>
      </c>
      <c r="J75" s="120">
        <v>5.8200000000000002E-2</v>
      </c>
      <c r="K75" s="120">
        <v>6.3399999999999998E-2</v>
      </c>
      <c r="L75" s="105">
        <v>5496</v>
      </c>
      <c r="M75" s="2">
        <v>0.82</v>
      </c>
      <c r="N75" s="2">
        <v>0.79</v>
      </c>
      <c r="O75" s="2">
        <v>0.86</v>
      </c>
      <c r="P75" s="105">
        <v>4577</v>
      </c>
      <c r="Q75" s="2">
        <v>0.68</v>
      </c>
      <c r="R75" s="2">
        <v>0.65</v>
      </c>
      <c r="S75" s="2">
        <v>0.72</v>
      </c>
    </row>
    <row r="76" spans="1:19" x14ac:dyDescent="0.35">
      <c r="A76" t="s">
        <v>205</v>
      </c>
      <c r="B76" t="s">
        <v>38</v>
      </c>
      <c r="C76" t="s">
        <v>44</v>
      </c>
      <c r="D76" s="105" t="s">
        <v>42</v>
      </c>
      <c r="E76" s="105" t="s">
        <v>57</v>
      </c>
      <c r="F76" s="105">
        <v>2700</v>
      </c>
      <c r="G76" s="105">
        <v>2500</v>
      </c>
      <c r="H76" s="105">
        <v>2800</v>
      </c>
      <c r="I76" s="120">
        <v>2.2700000000000001E-2</v>
      </c>
      <c r="J76" s="120">
        <v>2.1700000000000001E-2</v>
      </c>
      <c r="K76" s="120">
        <v>2.3800000000000002E-2</v>
      </c>
      <c r="L76" s="105">
        <v>2310</v>
      </c>
      <c r="M76" s="2">
        <v>0.86</v>
      </c>
      <c r="N76" s="2">
        <v>0.83</v>
      </c>
      <c r="O76" s="2">
        <v>0.92</v>
      </c>
      <c r="P76" s="105">
        <v>1923</v>
      </c>
      <c r="Q76" s="2">
        <v>0.71</v>
      </c>
      <c r="R76" s="2">
        <v>0.69</v>
      </c>
      <c r="S76" s="2">
        <v>0.77</v>
      </c>
    </row>
    <row r="77" spans="1:19" x14ac:dyDescent="0.35">
      <c r="A77" t="s">
        <v>206</v>
      </c>
      <c r="B77" t="s">
        <v>38</v>
      </c>
      <c r="C77" t="s">
        <v>44</v>
      </c>
      <c r="D77" s="105" t="s">
        <v>37</v>
      </c>
      <c r="E77" s="105" t="s">
        <v>57</v>
      </c>
      <c r="F77" s="105">
        <v>6500</v>
      </c>
      <c r="G77" s="105">
        <v>6300</v>
      </c>
      <c r="H77" s="105">
        <v>6800</v>
      </c>
      <c r="I77" s="120">
        <v>5.9499999999999997E-2</v>
      </c>
      <c r="J77" s="120">
        <v>5.7299999999999997E-2</v>
      </c>
      <c r="K77" s="120">
        <v>6.2E-2</v>
      </c>
      <c r="L77" s="105">
        <v>5474</v>
      </c>
      <c r="M77" s="2">
        <v>0.84</v>
      </c>
      <c r="N77" s="2">
        <v>0.81</v>
      </c>
      <c r="O77" s="2">
        <v>0.87</v>
      </c>
      <c r="P77" s="105">
        <v>4618</v>
      </c>
      <c r="Q77" s="2">
        <v>0.71</v>
      </c>
      <c r="R77" s="2">
        <v>0.68</v>
      </c>
      <c r="S77" s="2">
        <v>0.73</v>
      </c>
    </row>
    <row r="78" spans="1:19" x14ac:dyDescent="0.35">
      <c r="A78" t="s">
        <v>207</v>
      </c>
      <c r="B78" t="s">
        <v>38</v>
      </c>
      <c r="C78" t="s">
        <v>46</v>
      </c>
      <c r="D78" s="105" t="s">
        <v>42</v>
      </c>
      <c r="E78" s="105" t="s">
        <v>57</v>
      </c>
      <c r="F78" s="105">
        <v>2700</v>
      </c>
      <c r="G78" s="105">
        <v>2500</v>
      </c>
      <c r="H78" s="105">
        <v>2800</v>
      </c>
      <c r="I78" s="120">
        <v>2.2700000000000001E-2</v>
      </c>
      <c r="J78" s="120">
        <v>2.1700000000000001E-2</v>
      </c>
      <c r="K78" s="120">
        <v>2.3800000000000002E-2</v>
      </c>
      <c r="L78" s="105">
        <v>2321</v>
      </c>
      <c r="M78" s="2">
        <v>0.86</v>
      </c>
      <c r="N78" s="2">
        <v>0.83</v>
      </c>
      <c r="O78" s="2">
        <v>0.93</v>
      </c>
      <c r="P78" s="105">
        <v>1943</v>
      </c>
      <c r="Q78" s="2">
        <v>0.72</v>
      </c>
      <c r="R78" s="2">
        <v>0.69</v>
      </c>
      <c r="S78" s="2">
        <v>0.78</v>
      </c>
    </row>
    <row r="79" spans="1:19" x14ac:dyDescent="0.35">
      <c r="A79" t="s">
        <v>208</v>
      </c>
      <c r="B79" t="s">
        <v>38</v>
      </c>
      <c r="C79" t="s">
        <v>46</v>
      </c>
      <c r="D79" s="105" t="s">
        <v>37</v>
      </c>
      <c r="E79" s="105" t="s">
        <v>57</v>
      </c>
      <c r="F79" s="105">
        <v>6400</v>
      </c>
      <c r="G79" s="105">
        <v>6200</v>
      </c>
      <c r="H79" s="105">
        <v>6600</v>
      </c>
      <c r="I79" s="120">
        <v>5.8400000000000001E-2</v>
      </c>
      <c r="J79" s="120">
        <v>5.6300000000000003E-2</v>
      </c>
      <c r="K79" s="120">
        <v>6.0600000000000001E-2</v>
      </c>
      <c r="L79" s="105">
        <v>5422</v>
      </c>
      <c r="M79" s="2">
        <v>0.85</v>
      </c>
      <c r="N79" s="2">
        <v>0.82</v>
      </c>
      <c r="O79" s="2">
        <v>0.87</v>
      </c>
      <c r="P79" s="105">
        <v>4537</v>
      </c>
      <c r="Q79" s="2">
        <v>0.71</v>
      </c>
      <c r="R79" s="2">
        <v>0.69</v>
      </c>
      <c r="S79" s="2">
        <v>0.73</v>
      </c>
    </row>
    <row r="80" spans="1:19" x14ac:dyDescent="0.35">
      <c r="A80" t="s">
        <v>209</v>
      </c>
      <c r="B80" t="s">
        <v>38</v>
      </c>
      <c r="C80" t="s">
        <v>47</v>
      </c>
      <c r="D80" s="105" t="s">
        <v>42</v>
      </c>
      <c r="E80" s="105" t="s">
        <v>57</v>
      </c>
      <c r="F80" s="105">
        <v>2600</v>
      </c>
      <c r="G80" s="105">
        <v>2500</v>
      </c>
      <c r="H80" s="105">
        <v>2700</v>
      </c>
      <c r="I80" s="120">
        <v>2.23E-2</v>
      </c>
      <c r="J80" s="120">
        <v>2.1299999999999999E-2</v>
      </c>
      <c r="K80" s="120">
        <v>2.3300000000000001E-2</v>
      </c>
      <c r="L80" s="105">
        <v>2297</v>
      </c>
      <c r="M80" s="2">
        <v>0.88</v>
      </c>
      <c r="N80" s="2">
        <v>0.85</v>
      </c>
      <c r="O80" s="2">
        <v>0.92</v>
      </c>
      <c r="P80" s="105">
        <v>1938</v>
      </c>
      <c r="Q80" s="2">
        <v>0.75</v>
      </c>
      <c r="R80" s="2">
        <v>0.72</v>
      </c>
      <c r="S80" s="2">
        <v>0.78</v>
      </c>
    </row>
    <row r="81" spans="1:19" x14ac:dyDescent="0.35">
      <c r="A81" t="s">
        <v>210</v>
      </c>
      <c r="B81" t="s">
        <v>38</v>
      </c>
      <c r="C81" t="s">
        <v>47</v>
      </c>
      <c r="D81" s="105" t="s">
        <v>37</v>
      </c>
      <c r="E81" s="105" t="s">
        <v>57</v>
      </c>
      <c r="F81" s="105">
        <v>6100</v>
      </c>
      <c r="G81" s="105">
        <v>5900</v>
      </c>
      <c r="H81" s="105">
        <v>6300</v>
      </c>
      <c r="I81" s="120">
        <v>5.57E-2</v>
      </c>
      <c r="J81" s="120">
        <v>5.3900000000000003E-2</v>
      </c>
      <c r="K81" s="120">
        <v>5.7799999999999997E-2</v>
      </c>
      <c r="L81" s="105">
        <v>5240</v>
      </c>
      <c r="M81" s="2">
        <v>0.86</v>
      </c>
      <c r="N81" s="2">
        <v>0.83</v>
      </c>
      <c r="O81" s="2">
        <v>0.89</v>
      </c>
      <c r="P81" s="105">
        <v>4444</v>
      </c>
      <c r="Q81" s="2">
        <v>0.73</v>
      </c>
      <c r="R81" s="2">
        <v>0.71</v>
      </c>
      <c r="S81" s="2">
        <v>0.75</v>
      </c>
    </row>
    <row r="82" spans="1:19" x14ac:dyDescent="0.35">
      <c r="A82" t="s">
        <v>211</v>
      </c>
      <c r="B82" t="s">
        <v>38</v>
      </c>
      <c r="C82" t="s">
        <v>48</v>
      </c>
      <c r="D82" s="105" t="s">
        <v>42</v>
      </c>
      <c r="E82" s="105" t="s">
        <v>57</v>
      </c>
      <c r="F82" s="105">
        <v>2500</v>
      </c>
      <c r="G82" s="105">
        <v>2400</v>
      </c>
      <c r="H82" s="105">
        <v>2700</v>
      </c>
      <c r="I82" s="120">
        <v>2.2100000000000002E-2</v>
      </c>
      <c r="J82" s="120">
        <v>2.1100000000000001E-2</v>
      </c>
      <c r="K82" s="120">
        <v>2.3099999999999999E-2</v>
      </c>
      <c r="L82" s="105">
        <v>2241</v>
      </c>
      <c r="M82" s="2">
        <v>0.9</v>
      </c>
      <c r="N82" s="2">
        <v>0.83</v>
      </c>
      <c r="O82" s="2">
        <v>0.93</v>
      </c>
      <c r="P82" s="105">
        <v>1899</v>
      </c>
      <c r="Q82" s="2">
        <v>0.76</v>
      </c>
      <c r="R82" s="2">
        <v>0.7</v>
      </c>
      <c r="S82" s="2">
        <v>0.79</v>
      </c>
    </row>
    <row r="83" spans="1:19" x14ac:dyDescent="0.35">
      <c r="A83" t="s">
        <v>212</v>
      </c>
      <c r="B83" t="s">
        <v>38</v>
      </c>
      <c r="C83" t="s">
        <v>48</v>
      </c>
      <c r="D83" s="105" t="s">
        <v>37</v>
      </c>
      <c r="E83" s="105" t="s">
        <v>57</v>
      </c>
      <c r="F83" s="105">
        <v>5800</v>
      </c>
      <c r="G83" s="105">
        <v>5600</v>
      </c>
      <c r="H83" s="105">
        <v>6000</v>
      </c>
      <c r="I83" s="120">
        <v>5.2999999999999999E-2</v>
      </c>
      <c r="J83" s="120">
        <v>5.1200000000000002E-2</v>
      </c>
      <c r="K83" s="120">
        <v>5.5E-2</v>
      </c>
      <c r="L83" s="105">
        <v>4921</v>
      </c>
      <c r="M83" s="2">
        <v>0.85</v>
      </c>
      <c r="N83" s="2">
        <v>0.82</v>
      </c>
      <c r="O83" s="2">
        <v>0.88</v>
      </c>
      <c r="P83" s="105">
        <v>4167</v>
      </c>
      <c r="Q83" s="2">
        <v>0.72</v>
      </c>
      <c r="R83" s="2">
        <v>0.69</v>
      </c>
      <c r="S83" s="2">
        <v>0.74</v>
      </c>
    </row>
    <row r="84" spans="1:19" x14ac:dyDescent="0.35">
      <c r="A84" t="s">
        <v>213</v>
      </c>
      <c r="B84" t="s">
        <v>38</v>
      </c>
      <c r="C84" t="s">
        <v>49</v>
      </c>
      <c r="D84" s="105" t="s">
        <v>42</v>
      </c>
      <c r="E84" s="105" t="s">
        <v>57</v>
      </c>
      <c r="F84" s="105">
        <v>2600</v>
      </c>
      <c r="G84" s="105">
        <v>2500</v>
      </c>
      <c r="H84" s="105">
        <v>2700</v>
      </c>
      <c r="I84" s="120">
        <v>2.2599999999999999E-2</v>
      </c>
      <c r="J84" s="120">
        <v>2.1499999999999998E-2</v>
      </c>
      <c r="K84" s="120">
        <v>2.3699999999999999E-2</v>
      </c>
      <c r="L84" s="105">
        <v>2215</v>
      </c>
      <c r="M84" s="2">
        <v>0.85</v>
      </c>
      <c r="N84" s="2">
        <v>0.82</v>
      </c>
      <c r="O84" s="2">
        <v>0.89</v>
      </c>
      <c r="P84" s="105">
        <v>1899</v>
      </c>
      <c r="Q84" s="2">
        <v>0.73</v>
      </c>
      <c r="R84" s="2">
        <v>0.7</v>
      </c>
      <c r="S84" s="2">
        <v>0.76</v>
      </c>
    </row>
    <row r="85" spans="1:19" x14ac:dyDescent="0.35">
      <c r="A85" t="s">
        <v>214</v>
      </c>
      <c r="B85" t="s">
        <v>38</v>
      </c>
      <c r="C85" t="s">
        <v>49</v>
      </c>
      <c r="D85" s="105" t="s">
        <v>37</v>
      </c>
      <c r="E85" s="105" t="s">
        <v>57</v>
      </c>
      <c r="F85" s="105">
        <v>5800</v>
      </c>
      <c r="G85" s="105">
        <v>5500</v>
      </c>
      <c r="H85" s="105">
        <v>6000</v>
      </c>
      <c r="I85" s="120">
        <v>5.2400000000000002E-2</v>
      </c>
      <c r="J85" s="120">
        <v>5.0299999999999997E-2</v>
      </c>
      <c r="K85" s="120">
        <v>5.4600000000000003E-2</v>
      </c>
      <c r="L85" s="105">
        <v>4651</v>
      </c>
      <c r="M85" s="2">
        <v>0.8</v>
      </c>
      <c r="N85" s="2">
        <v>0.78</v>
      </c>
      <c r="O85" s="2">
        <v>0.85</v>
      </c>
      <c r="P85" s="105">
        <v>3959</v>
      </c>
      <c r="Q85" s="2">
        <v>0.68</v>
      </c>
      <c r="R85" s="2">
        <v>0.66</v>
      </c>
      <c r="S85" s="2">
        <v>0.72</v>
      </c>
    </row>
    <row r="86" spans="1:19" x14ac:dyDescent="0.35">
      <c r="A86" t="s">
        <v>215</v>
      </c>
      <c r="B86" t="s">
        <v>38</v>
      </c>
      <c r="C86" t="s">
        <v>124</v>
      </c>
      <c r="D86" s="105" t="s">
        <v>42</v>
      </c>
      <c r="E86" s="105" t="s">
        <v>57</v>
      </c>
      <c r="F86" s="105">
        <v>2500</v>
      </c>
      <c r="G86" s="105">
        <v>2400</v>
      </c>
      <c r="H86" s="105">
        <v>2600</v>
      </c>
      <c r="I86" s="120">
        <v>2.1899999999999999E-2</v>
      </c>
      <c r="J86" s="120">
        <v>2.0799999999999999E-2</v>
      </c>
      <c r="K86" s="120">
        <v>2.29E-2</v>
      </c>
      <c r="L86" s="105">
        <v>2118</v>
      </c>
      <c r="M86" s="2">
        <v>0.85</v>
      </c>
      <c r="N86" s="2">
        <v>0.81</v>
      </c>
      <c r="O86" s="2">
        <v>0.88</v>
      </c>
      <c r="P86" s="105">
        <v>1839</v>
      </c>
      <c r="Q86" s="2">
        <v>0.74</v>
      </c>
      <c r="R86" s="2">
        <v>0.71</v>
      </c>
      <c r="S86" s="2">
        <v>0.77</v>
      </c>
    </row>
    <row r="87" spans="1:19" x14ac:dyDescent="0.35">
      <c r="A87" t="s">
        <v>216</v>
      </c>
      <c r="B87" t="s">
        <v>38</v>
      </c>
      <c r="C87" t="s">
        <v>124</v>
      </c>
      <c r="D87" s="105" t="s">
        <v>37</v>
      </c>
      <c r="E87" s="105" t="s">
        <v>57</v>
      </c>
      <c r="F87" s="105">
        <v>5500</v>
      </c>
      <c r="G87" s="105">
        <v>5300</v>
      </c>
      <c r="H87" s="105">
        <v>5700</v>
      </c>
      <c r="I87" s="120">
        <v>4.9500000000000002E-2</v>
      </c>
      <c r="J87" s="120">
        <v>4.7500000000000001E-2</v>
      </c>
      <c r="K87" s="120">
        <v>5.1700000000000003E-2</v>
      </c>
      <c r="L87" s="105">
        <v>4340</v>
      </c>
      <c r="M87" s="2">
        <v>0.79</v>
      </c>
      <c r="N87" s="2">
        <v>0.76</v>
      </c>
      <c r="O87" s="2">
        <v>0.82</v>
      </c>
      <c r="P87" s="105">
        <v>3683</v>
      </c>
      <c r="Q87" s="2">
        <v>0.67</v>
      </c>
      <c r="R87" s="2">
        <v>0.65</v>
      </c>
      <c r="S87" s="2">
        <v>0.69</v>
      </c>
    </row>
    <row r="88" spans="1:19" x14ac:dyDescent="0.35">
      <c r="A88" t="s">
        <v>217</v>
      </c>
      <c r="B88" t="s">
        <v>38</v>
      </c>
      <c r="C88" t="s">
        <v>125</v>
      </c>
      <c r="D88" s="105" t="s">
        <v>42</v>
      </c>
      <c r="E88" s="105" t="s">
        <v>57</v>
      </c>
      <c r="F88" s="105">
        <v>2400</v>
      </c>
      <c r="G88" s="105">
        <v>2200</v>
      </c>
      <c r="H88" s="105">
        <v>2500</v>
      </c>
      <c r="I88" s="120">
        <v>2.06E-2</v>
      </c>
      <c r="J88" s="120">
        <v>1.9599999999999999E-2</v>
      </c>
      <c r="K88" s="120">
        <v>2.1700000000000001E-2</v>
      </c>
      <c r="L88" s="105">
        <v>2025</v>
      </c>
      <c r="M88" s="2">
        <v>0.84</v>
      </c>
      <c r="N88" s="2">
        <v>0.81</v>
      </c>
      <c r="O88" s="2">
        <v>0.92</v>
      </c>
      <c r="P88" s="105">
        <v>1782</v>
      </c>
      <c r="Q88" s="2">
        <v>0.74</v>
      </c>
      <c r="R88" s="2">
        <v>0.71</v>
      </c>
      <c r="S88" s="2">
        <v>0.81</v>
      </c>
    </row>
    <row r="89" spans="1:19" x14ac:dyDescent="0.35">
      <c r="A89" t="s">
        <v>218</v>
      </c>
      <c r="B89" t="s">
        <v>38</v>
      </c>
      <c r="C89" t="s">
        <v>125</v>
      </c>
      <c r="D89" s="105" t="s">
        <v>37</v>
      </c>
      <c r="E89" s="105" t="s">
        <v>57</v>
      </c>
      <c r="F89" s="105">
        <v>5100</v>
      </c>
      <c r="G89" s="105">
        <v>4800</v>
      </c>
      <c r="H89" s="105">
        <v>5300</v>
      </c>
      <c r="I89" s="120">
        <v>4.4999999999999998E-2</v>
      </c>
      <c r="J89" s="120">
        <v>4.2999999999999997E-2</v>
      </c>
      <c r="K89" s="120">
        <v>4.7199999999999999E-2</v>
      </c>
      <c r="L89" s="105">
        <v>4037</v>
      </c>
      <c r="M89" s="2">
        <v>0.79</v>
      </c>
      <c r="N89" s="2">
        <v>0.76</v>
      </c>
      <c r="O89" s="2">
        <v>0.84</v>
      </c>
      <c r="P89" s="105">
        <v>3489</v>
      </c>
      <c r="Q89" s="2">
        <v>0.68</v>
      </c>
      <c r="R89" s="2">
        <v>0.66</v>
      </c>
      <c r="S89" s="2">
        <v>0.73</v>
      </c>
    </row>
    <row r="90" spans="1:19" x14ac:dyDescent="0.35">
      <c r="A90" t="s">
        <v>219</v>
      </c>
      <c r="B90" t="s">
        <v>38</v>
      </c>
      <c r="C90" t="s">
        <v>126</v>
      </c>
      <c r="D90" s="105" t="s">
        <v>42</v>
      </c>
      <c r="E90" s="105" t="s">
        <v>57</v>
      </c>
      <c r="F90" s="105">
        <v>2200</v>
      </c>
      <c r="G90" s="105">
        <v>2100</v>
      </c>
      <c r="H90" s="105">
        <v>2300</v>
      </c>
      <c r="I90" s="120">
        <v>1.9400000000000001E-2</v>
      </c>
      <c r="J90" s="120">
        <v>1.84E-2</v>
      </c>
      <c r="K90" s="120">
        <v>2.0299999999999999E-2</v>
      </c>
      <c r="L90" s="105">
        <v>1927</v>
      </c>
      <c r="M90" s="2">
        <v>0.88</v>
      </c>
      <c r="N90" s="2">
        <v>0.84</v>
      </c>
      <c r="O90" s="2">
        <v>0.92</v>
      </c>
      <c r="P90" s="105">
        <v>1687</v>
      </c>
      <c r="Q90" s="2">
        <v>0.77</v>
      </c>
      <c r="R90" s="2">
        <v>0.73</v>
      </c>
      <c r="S90" s="2">
        <v>0.8</v>
      </c>
    </row>
    <row r="91" spans="1:19" x14ac:dyDescent="0.35">
      <c r="A91" t="s">
        <v>220</v>
      </c>
      <c r="B91" t="s">
        <v>38</v>
      </c>
      <c r="C91" t="s">
        <v>126</v>
      </c>
      <c r="D91" s="105" t="s">
        <v>37</v>
      </c>
      <c r="E91" s="105" t="s">
        <v>57</v>
      </c>
      <c r="F91" s="105">
        <v>4500</v>
      </c>
      <c r="G91" s="105">
        <v>4300</v>
      </c>
      <c r="H91" s="105">
        <v>4800</v>
      </c>
      <c r="I91" s="120">
        <v>4.1500000000000002E-2</v>
      </c>
      <c r="J91" s="120">
        <v>3.9699999999999999E-2</v>
      </c>
      <c r="K91" s="120">
        <v>4.3499999999999997E-2</v>
      </c>
      <c r="L91" s="105">
        <v>3769</v>
      </c>
      <c r="M91" s="2">
        <v>0.84</v>
      </c>
      <c r="N91" s="2">
        <v>0.79</v>
      </c>
      <c r="O91" s="2">
        <v>0.88</v>
      </c>
      <c r="P91" s="105">
        <v>3259</v>
      </c>
      <c r="Q91" s="2">
        <v>0.72</v>
      </c>
      <c r="R91" s="2">
        <v>0.68</v>
      </c>
      <c r="S91" s="2">
        <v>0.76</v>
      </c>
    </row>
    <row r="92" spans="1:19" x14ac:dyDescent="0.35">
      <c r="A92" t="s">
        <v>221</v>
      </c>
      <c r="B92" t="s">
        <v>38</v>
      </c>
      <c r="C92" t="s">
        <v>39</v>
      </c>
      <c r="D92" s="105" t="s">
        <v>42</v>
      </c>
      <c r="E92" s="105" t="s">
        <v>58</v>
      </c>
      <c r="F92" s="105">
        <v>440</v>
      </c>
      <c r="G92" s="105">
        <v>380</v>
      </c>
      <c r="H92" s="105">
        <v>500</v>
      </c>
      <c r="I92" s="120">
        <v>3.8E-3</v>
      </c>
      <c r="J92" s="120">
        <v>3.3E-3</v>
      </c>
      <c r="K92" s="120">
        <v>4.4000000000000003E-3</v>
      </c>
      <c r="L92" s="105">
        <v>289</v>
      </c>
      <c r="M92" s="2">
        <v>0.66</v>
      </c>
      <c r="N92" s="2">
        <v>0.57999999999999996</v>
      </c>
      <c r="O92" s="2">
        <v>0.76</v>
      </c>
      <c r="P92" s="105">
        <v>218</v>
      </c>
      <c r="Q92" s="2">
        <v>0.5</v>
      </c>
      <c r="R92" s="2">
        <v>0.44</v>
      </c>
      <c r="S92" s="2">
        <v>0.56999999999999995</v>
      </c>
    </row>
    <row r="93" spans="1:19" x14ac:dyDescent="0.35">
      <c r="A93" t="s">
        <v>222</v>
      </c>
      <c r="B93" t="s">
        <v>38</v>
      </c>
      <c r="C93" t="s">
        <v>39</v>
      </c>
      <c r="D93" s="105" t="s">
        <v>37</v>
      </c>
      <c r="E93" s="105" t="s">
        <v>58</v>
      </c>
      <c r="F93" s="105">
        <v>1300</v>
      </c>
      <c r="G93" s="105">
        <v>1100</v>
      </c>
      <c r="H93" s="105">
        <v>1500</v>
      </c>
      <c r="I93" s="120">
        <v>1.21E-2</v>
      </c>
      <c r="J93" s="120">
        <v>1.0699999999999999E-2</v>
      </c>
      <c r="K93" s="120">
        <v>1.37E-2</v>
      </c>
      <c r="L93" s="105">
        <v>854</v>
      </c>
      <c r="M93" s="2">
        <v>0.66</v>
      </c>
      <c r="N93" s="2">
        <v>0.56999999999999995</v>
      </c>
      <c r="O93" s="2">
        <v>0.78</v>
      </c>
      <c r="P93" s="105">
        <v>690</v>
      </c>
      <c r="Q93" s="2">
        <v>0.53</v>
      </c>
      <c r="R93" s="2">
        <v>0.46</v>
      </c>
      <c r="S93" s="2">
        <v>0.63</v>
      </c>
    </row>
    <row r="94" spans="1:19" x14ac:dyDescent="0.35">
      <c r="A94" t="s">
        <v>223</v>
      </c>
      <c r="B94" t="s">
        <v>38</v>
      </c>
      <c r="C94" t="s">
        <v>44</v>
      </c>
      <c r="D94" s="105" t="s">
        <v>42</v>
      </c>
      <c r="E94" s="105" t="s">
        <v>58</v>
      </c>
      <c r="F94" s="105">
        <v>500</v>
      </c>
      <c r="G94" s="105">
        <v>450</v>
      </c>
      <c r="H94" s="105">
        <v>570</v>
      </c>
      <c r="I94" s="120">
        <v>4.3E-3</v>
      </c>
      <c r="J94" s="120">
        <v>3.8E-3</v>
      </c>
      <c r="K94" s="120">
        <v>4.8999999999999998E-3</v>
      </c>
      <c r="L94" s="105">
        <v>366</v>
      </c>
      <c r="M94" s="2">
        <v>0.73</v>
      </c>
      <c r="N94" s="2">
        <v>0.64</v>
      </c>
      <c r="O94" s="2">
        <v>0.81</v>
      </c>
      <c r="P94" s="105">
        <v>286</v>
      </c>
      <c r="Q94" s="2">
        <v>0.56999999999999995</v>
      </c>
      <c r="R94" s="2">
        <v>0.5</v>
      </c>
      <c r="S94" s="2">
        <v>0.64</v>
      </c>
    </row>
    <row r="95" spans="1:19" x14ac:dyDescent="0.35">
      <c r="A95" t="s">
        <v>224</v>
      </c>
      <c r="B95" t="s">
        <v>38</v>
      </c>
      <c r="C95" t="s">
        <v>44</v>
      </c>
      <c r="D95" s="105" t="s">
        <v>37</v>
      </c>
      <c r="E95" s="105" t="s">
        <v>58</v>
      </c>
      <c r="F95" s="105">
        <v>1400</v>
      </c>
      <c r="G95" s="105">
        <v>1300</v>
      </c>
      <c r="H95" s="105">
        <v>1600</v>
      </c>
      <c r="I95" s="120">
        <v>1.2999999999999999E-2</v>
      </c>
      <c r="J95" s="120">
        <v>1.17E-2</v>
      </c>
      <c r="K95" s="120">
        <v>1.4500000000000001E-2</v>
      </c>
      <c r="L95" s="105">
        <v>998</v>
      </c>
      <c r="M95" s="2">
        <v>0.71</v>
      </c>
      <c r="N95" s="2">
        <v>0.62</v>
      </c>
      <c r="O95" s="2">
        <v>0.77</v>
      </c>
      <c r="P95" s="105">
        <v>825</v>
      </c>
      <c r="Q95" s="2">
        <v>0.59</v>
      </c>
      <c r="R95" s="2">
        <v>0.52</v>
      </c>
      <c r="S95" s="2">
        <v>0.63</v>
      </c>
    </row>
    <row r="96" spans="1:19" x14ac:dyDescent="0.35">
      <c r="A96" t="s">
        <v>225</v>
      </c>
      <c r="B96" t="s">
        <v>38</v>
      </c>
      <c r="C96" t="s">
        <v>46</v>
      </c>
      <c r="D96" s="105" t="s">
        <v>42</v>
      </c>
      <c r="E96" s="105" t="s">
        <v>58</v>
      </c>
      <c r="F96" s="105">
        <v>580</v>
      </c>
      <c r="G96" s="105">
        <v>520</v>
      </c>
      <c r="H96" s="105">
        <v>650</v>
      </c>
      <c r="I96" s="120">
        <v>4.8999999999999998E-3</v>
      </c>
      <c r="J96" s="120">
        <v>4.4000000000000003E-3</v>
      </c>
      <c r="K96" s="120">
        <v>5.4999999999999997E-3</v>
      </c>
      <c r="L96" s="105">
        <v>427</v>
      </c>
      <c r="M96" s="2">
        <v>0.74</v>
      </c>
      <c r="N96" s="2">
        <v>0.66</v>
      </c>
      <c r="O96" s="2">
        <v>0.82</v>
      </c>
      <c r="P96" s="105">
        <v>340</v>
      </c>
      <c r="Q96" s="2">
        <v>0.59</v>
      </c>
      <c r="R96" s="2">
        <v>0.52</v>
      </c>
      <c r="S96" s="2">
        <v>0.65</v>
      </c>
    </row>
    <row r="97" spans="1:19" x14ac:dyDescent="0.35">
      <c r="A97" t="s">
        <v>226</v>
      </c>
      <c r="B97" t="s">
        <v>38</v>
      </c>
      <c r="C97" t="s">
        <v>46</v>
      </c>
      <c r="D97" s="105" t="s">
        <v>37</v>
      </c>
      <c r="E97" s="105" t="s">
        <v>58</v>
      </c>
      <c r="F97" s="105">
        <v>1600</v>
      </c>
      <c r="G97" s="105">
        <v>1500</v>
      </c>
      <c r="H97" s="105">
        <v>1800</v>
      </c>
      <c r="I97" s="120">
        <v>1.4999999999999999E-2</v>
      </c>
      <c r="J97" s="120">
        <v>1.38E-2</v>
      </c>
      <c r="K97" s="120">
        <v>1.6500000000000001E-2</v>
      </c>
      <c r="L97" s="105">
        <v>1210</v>
      </c>
      <c r="M97" s="2">
        <v>0.76</v>
      </c>
      <c r="N97" s="2">
        <v>0.67</v>
      </c>
      <c r="O97" s="2">
        <v>0.81</v>
      </c>
      <c r="P97" s="105">
        <v>1012</v>
      </c>
      <c r="Q97" s="2">
        <v>0.63</v>
      </c>
      <c r="R97" s="2">
        <v>0.56000000000000005</v>
      </c>
      <c r="S97" s="2">
        <v>0.67</v>
      </c>
    </row>
    <row r="98" spans="1:19" x14ac:dyDescent="0.35">
      <c r="A98" t="s">
        <v>227</v>
      </c>
      <c r="B98" t="s">
        <v>38</v>
      </c>
      <c r="C98" t="s">
        <v>47</v>
      </c>
      <c r="D98" s="105" t="s">
        <v>42</v>
      </c>
      <c r="E98" s="105" t="s">
        <v>58</v>
      </c>
      <c r="F98" s="105">
        <v>560</v>
      </c>
      <c r="G98" s="105">
        <v>510</v>
      </c>
      <c r="H98" s="105">
        <v>620</v>
      </c>
      <c r="I98" s="120">
        <v>4.7000000000000002E-3</v>
      </c>
      <c r="J98" s="120">
        <v>4.1999999999999997E-3</v>
      </c>
      <c r="K98" s="120">
        <v>5.1000000000000004E-3</v>
      </c>
      <c r="L98" s="105">
        <v>464</v>
      </c>
      <c r="M98" s="2">
        <v>0.83</v>
      </c>
      <c r="N98" s="2">
        <v>0.75</v>
      </c>
      <c r="O98" s="2">
        <v>0.91</v>
      </c>
      <c r="P98" s="105">
        <v>380</v>
      </c>
      <c r="Q98" s="2">
        <v>0.68</v>
      </c>
      <c r="R98" s="2">
        <v>0.61</v>
      </c>
      <c r="S98" s="2">
        <v>0.75</v>
      </c>
    </row>
    <row r="99" spans="1:19" x14ac:dyDescent="0.35">
      <c r="A99" t="s">
        <v>228</v>
      </c>
      <c r="B99" t="s">
        <v>38</v>
      </c>
      <c r="C99" t="s">
        <v>47</v>
      </c>
      <c r="D99" s="105" t="s">
        <v>37</v>
      </c>
      <c r="E99" s="105" t="s">
        <v>58</v>
      </c>
      <c r="F99" s="105">
        <v>1700</v>
      </c>
      <c r="G99" s="105">
        <v>1600</v>
      </c>
      <c r="H99" s="105">
        <v>1800</v>
      </c>
      <c r="I99" s="120">
        <v>1.55E-2</v>
      </c>
      <c r="J99" s="120">
        <v>1.44E-2</v>
      </c>
      <c r="K99" s="120">
        <v>1.66E-2</v>
      </c>
      <c r="L99" s="105">
        <v>1429</v>
      </c>
      <c r="M99" s="2">
        <v>0.84</v>
      </c>
      <c r="N99" s="2">
        <v>0.79</v>
      </c>
      <c r="O99" s="2">
        <v>0.89</v>
      </c>
      <c r="P99" s="105">
        <v>1204</v>
      </c>
      <c r="Q99" s="2">
        <v>0.71</v>
      </c>
      <c r="R99" s="2">
        <v>0.67</v>
      </c>
      <c r="S99" s="2">
        <v>0.75</v>
      </c>
    </row>
    <row r="100" spans="1:19" x14ac:dyDescent="0.35">
      <c r="A100" t="s">
        <v>229</v>
      </c>
      <c r="B100" t="s">
        <v>38</v>
      </c>
      <c r="C100" t="s">
        <v>48</v>
      </c>
      <c r="D100" s="105" t="s">
        <v>42</v>
      </c>
      <c r="E100" s="105" t="s">
        <v>58</v>
      </c>
      <c r="F100" s="105">
        <v>660</v>
      </c>
      <c r="G100" s="105">
        <v>600</v>
      </c>
      <c r="H100" s="105">
        <v>720</v>
      </c>
      <c r="I100" s="120">
        <v>5.4000000000000003E-3</v>
      </c>
      <c r="J100" s="120">
        <v>4.8999999999999998E-3</v>
      </c>
      <c r="K100" s="120">
        <v>5.8999999999999999E-3</v>
      </c>
      <c r="L100" s="105">
        <v>529</v>
      </c>
      <c r="M100" s="2">
        <v>0.8</v>
      </c>
      <c r="N100" s="2">
        <v>0.73</v>
      </c>
      <c r="O100" s="2">
        <v>0.88</v>
      </c>
      <c r="P100" s="105">
        <v>433</v>
      </c>
      <c r="Q100" s="2">
        <v>0.66</v>
      </c>
      <c r="R100" s="2">
        <v>0.6</v>
      </c>
      <c r="S100" s="2">
        <v>0.72</v>
      </c>
    </row>
    <row r="101" spans="1:19" x14ac:dyDescent="0.35">
      <c r="A101" t="s">
        <v>230</v>
      </c>
      <c r="B101" t="s">
        <v>38</v>
      </c>
      <c r="C101" t="s">
        <v>48</v>
      </c>
      <c r="D101" s="105" t="s">
        <v>37</v>
      </c>
      <c r="E101" s="105" t="s">
        <v>58</v>
      </c>
      <c r="F101" s="105">
        <v>2000</v>
      </c>
      <c r="G101" s="105">
        <v>1900</v>
      </c>
      <c r="H101" s="105">
        <v>2100</v>
      </c>
      <c r="I101" s="120">
        <v>1.7999999999999999E-2</v>
      </c>
      <c r="J101" s="120">
        <v>1.6899999999999998E-2</v>
      </c>
      <c r="K101" s="120">
        <v>1.9199999999999998E-2</v>
      </c>
      <c r="L101" s="105">
        <v>1638</v>
      </c>
      <c r="M101" s="2">
        <v>0.82</v>
      </c>
      <c r="N101" s="2">
        <v>0.78</v>
      </c>
      <c r="O101" s="2">
        <v>0.86</v>
      </c>
      <c r="P101" s="105">
        <v>1401</v>
      </c>
      <c r="Q101" s="2">
        <v>0.7</v>
      </c>
      <c r="R101" s="2">
        <v>0.67</v>
      </c>
      <c r="S101" s="2">
        <v>0.74</v>
      </c>
    </row>
    <row r="102" spans="1:19" x14ac:dyDescent="0.35">
      <c r="A102" t="s">
        <v>231</v>
      </c>
      <c r="B102" t="s">
        <v>38</v>
      </c>
      <c r="C102" t="s">
        <v>49</v>
      </c>
      <c r="D102" s="105" t="s">
        <v>42</v>
      </c>
      <c r="E102" s="105" t="s">
        <v>58</v>
      </c>
      <c r="F102" s="105">
        <v>710</v>
      </c>
      <c r="G102" s="105">
        <v>650</v>
      </c>
      <c r="H102" s="105">
        <v>780</v>
      </c>
      <c r="I102" s="120">
        <v>5.7000000000000002E-3</v>
      </c>
      <c r="J102" s="120">
        <v>5.1999999999999998E-3</v>
      </c>
      <c r="K102" s="120">
        <v>6.3E-3</v>
      </c>
      <c r="L102" s="105">
        <v>581</v>
      </c>
      <c r="M102" s="2">
        <v>0.82</v>
      </c>
      <c r="N102" s="2">
        <v>0.74</v>
      </c>
      <c r="O102" s="2">
        <v>0.89</v>
      </c>
      <c r="P102" s="105">
        <v>477</v>
      </c>
      <c r="Q102" s="2">
        <v>0.67</v>
      </c>
      <c r="R102" s="2">
        <v>0.61</v>
      </c>
      <c r="S102" s="2">
        <v>0.73</v>
      </c>
    </row>
    <row r="103" spans="1:19" x14ac:dyDescent="0.35">
      <c r="A103" t="s">
        <v>232</v>
      </c>
      <c r="B103" t="s">
        <v>38</v>
      </c>
      <c r="C103" t="s">
        <v>49</v>
      </c>
      <c r="D103" s="105" t="s">
        <v>37</v>
      </c>
      <c r="E103" s="105" t="s">
        <v>58</v>
      </c>
      <c r="F103" s="105">
        <v>2200</v>
      </c>
      <c r="G103" s="105">
        <v>2100</v>
      </c>
      <c r="H103" s="105">
        <v>2400</v>
      </c>
      <c r="I103" s="120">
        <v>1.9699999999999999E-2</v>
      </c>
      <c r="J103" s="120">
        <v>1.8499999999999999E-2</v>
      </c>
      <c r="K103" s="120">
        <v>2.1000000000000001E-2</v>
      </c>
      <c r="L103" s="105">
        <v>1843</v>
      </c>
      <c r="M103" s="2">
        <v>0.84</v>
      </c>
      <c r="N103" s="2">
        <v>0.77</v>
      </c>
      <c r="O103" s="2">
        <v>0.88</v>
      </c>
      <c r="P103" s="105">
        <v>1572</v>
      </c>
      <c r="Q103" s="2">
        <v>0.71</v>
      </c>
      <c r="R103" s="2">
        <v>0.66</v>
      </c>
      <c r="S103" s="2">
        <v>0.75</v>
      </c>
    </row>
    <row r="104" spans="1:19" x14ac:dyDescent="0.35">
      <c r="A104" t="s">
        <v>233</v>
      </c>
      <c r="B104" t="s">
        <v>38</v>
      </c>
      <c r="C104" t="s">
        <v>124</v>
      </c>
      <c r="D104" s="105" t="s">
        <v>42</v>
      </c>
      <c r="E104" s="105" t="s">
        <v>58</v>
      </c>
      <c r="F104" s="105">
        <v>820</v>
      </c>
      <c r="G104" s="105">
        <v>750</v>
      </c>
      <c r="H104" s="105">
        <v>900</v>
      </c>
      <c r="I104" s="120">
        <v>6.6E-3</v>
      </c>
      <c r="J104" s="120">
        <v>6.0000000000000001E-3</v>
      </c>
      <c r="K104" s="120">
        <v>7.1999999999999998E-3</v>
      </c>
      <c r="L104" s="105">
        <v>638</v>
      </c>
      <c r="M104" s="2">
        <v>0.78</v>
      </c>
      <c r="N104" s="2">
        <v>0.71</v>
      </c>
      <c r="O104" s="2">
        <v>0.85</v>
      </c>
      <c r="P104" s="105">
        <v>537</v>
      </c>
      <c r="Q104" s="2">
        <v>0.65</v>
      </c>
      <c r="R104" s="2">
        <v>0.6</v>
      </c>
      <c r="S104" s="2">
        <v>0.72</v>
      </c>
    </row>
    <row r="105" spans="1:19" x14ac:dyDescent="0.35">
      <c r="A105" t="s">
        <v>234</v>
      </c>
      <c r="B105" t="s">
        <v>38</v>
      </c>
      <c r="C105" t="s">
        <v>124</v>
      </c>
      <c r="D105" s="105" t="s">
        <v>37</v>
      </c>
      <c r="E105" s="105" t="s">
        <v>58</v>
      </c>
      <c r="F105" s="105">
        <v>2600</v>
      </c>
      <c r="G105" s="105">
        <v>2400</v>
      </c>
      <c r="H105" s="105">
        <v>2700</v>
      </c>
      <c r="I105" s="120">
        <v>2.2700000000000001E-2</v>
      </c>
      <c r="J105" s="120">
        <v>2.1399999999999999E-2</v>
      </c>
      <c r="K105" s="120">
        <v>2.4199999999999999E-2</v>
      </c>
      <c r="L105" s="105">
        <v>2037</v>
      </c>
      <c r="M105" s="2">
        <v>0.78</v>
      </c>
      <c r="N105" s="2">
        <v>0.75</v>
      </c>
      <c r="O105" s="2">
        <v>0.85</v>
      </c>
      <c r="P105" s="105">
        <v>1756</v>
      </c>
      <c r="Q105" s="2">
        <v>0.68</v>
      </c>
      <c r="R105" s="2">
        <v>0.65</v>
      </c>
      <c r="S105" s="2">
        <v>0.73</v>
      </c>
    </row>
    <row r="106" spans="1:19" x14ac:dyDescent="0.35">
      <c r="A106" t="s">
        <v>235</v>
      </c>
      <c r="B106" t="s">
        <v>38</v>
      </c>
      <c r="C106" t="s">
        <v>125</v>
      </c>
      <c r="D106" s="105" t="s">
        <v>42</v>
      </c>
      <c r="E106" s="105" t="s">
        <v>58</v>
      </c>
      <c r="F106" s="105">
        <v>860</v>
      </c>
      <c r="G106" s="105">
        <v>790</v>
      </c>
      <c r="H106" s="105">
        <v>940</v>
      </c>
      <c r="I106" s="120">
        <v>6.8999999999999999E-3</v>
      </c>
      <c r="J106" s="120">
        <v>6.3E-3</v>
      </c>
      <c r="K106" s="120">
        <v>7.4999999999999997E-3</v>
      </c>
      <c r="L106" s="105">
        <v>685</v>
      </c>
      <c r="M106" s="2">
        <v>0.8</v>
      </c>
      <c r="N106" s="2">
        <v>0.73</v>
      </c>
      <c r="O106" s="2">
        <v>0.87</v>
      </c>
      <c r="P106" s="105">
        <v>596</v>
      </c>
      <c r="Q106" s="2">
        <v>0.69</v>
      </c>
      <c r="R106" s="2">
        <v>0.63</v>
      </c>
      <c r="S106" s="2">
        <v>0.75</v>
      </c>
    </row>
    <row r="107" spans="1:19" x14ac:dyDescent="0.35">
      <c r="A107" t="s">
        <v>236</v>
      </c>
      <c r="B107" t="s">
        <v>38</v>
      </c>
      <c r="C107" t="s">
        <v>125</v>
      </c>
      <c r="D107" s="105" t="s">
        <v>37</v>
      </c>
      <c r="E107" s="105" t="s">
        <v>58</v>
      </c>
      <c r="F107" s="105">
        <v>2700</v>
      </c>
      <c r="G107" s="105">
        <v>2600</v>
      </c>
      <c r="H107" s="105">
        <v>2900</v>
      </c>
      <c r="I107" s="120">
        <v>2.46E-2</v>
      </c>
      <c r="J107" s="120">
        <v>2.3099999999999999E-2</v>
      </c>
      <c r="K107" s="120">
        <v>2.6200000000000001E-2</v>
      </c>
      <c r="L107" s="105">
        <v>2240</v>
      </c>
      <c r="M107" s="2">
        <v>0.83</v>
      </c>
      <c r="N107" s="2">
        <v>0.77</v>
      </c>
      <c r="O107" s="2">
        <v>0.86</v>
      </c>
      <c r="P107" s="105">
        <v>1940</v>
      </c>
      <c r="Q107" s="2">
        <v>0.72</v>
      </c>
      <c r="R107" s="2">
        <v>0.67</v>
      </c>
      <c r="S107" s="2">
        <v>0.75</v>
      </c>
    </row>
    <row r="108" spans="1:19" x14ac:dyDescent="0.35">
      <c r="A108" t="s">
        <v>237</v>
      </c>
      <c r="B108" t="s">
        <v>38</v>
      </c>
      <c r="C108" t="s">
        <v>126</v>
      </c>
      <c r="D108" s="105" t="s">
        <v>42</v>
      </c>
      <c r="E108" s="105" t="s">
        <v>58</v>
      </c>
      <c r="F108" s="105">
        <v>930</v>
      </c>
      <c r="G108" s="105">
        <v>850</v>
      </c>
      <c r="H108" s="105">
        <v>1000</v>
      </c>
      <c r="I108" s="120">
        <v>7.4999999999999997E-3</v>
      </c>
      <c r="J108" s="120">
        <v>6.7999999999999996E-3</v>
      </c>
      <c r="K108" s="120">
        <v>8.0999999999999996E-3</v>
      </c>
      <c r="L108" s="105">
        <v>754</v>
      </c>
      <c r="M108" s="2">
        <v>0.81</v>
      </c>
      <c r="N108" s="2">
        <v>0.75</v>
      </c>
      <c r="O108" s="2">
        <v>0.89</v>
      </c>
      <c r="P108" s="105">
        <v>654</v>
      </c>
      <c r="Q108" s="2">
        <v>0.7</v>
      </c>
      <c r="R108" s="2">
        <v>0.65</v>
      </c>
      <c r="S108" s="2">
        <v>0.77</v>
      </c>
    </row>
    <row r="109" spans="1:19" x14ac:dyDescent="0.35">
      <c r="A109" t="s">
        <v>238</v>
      </c>
      <c r="B109" t="s">
        <v>38</v>
      </c>
      <c r="C109" t="s">
        <v>126</v>
      </c>
      <c r="D109" s="105" t="s">
        <v>37</v>
      </c>
      <c r="E109" s="105" t="s">
        <v>58</v>
      </c>
      <c r="F109" s="105">
        <v>2900</v>
      </c>
      <c r="G109" s="105">
        <v>2700</v>
      </c>
      <c r="H109" s="105">
        <v>3100</v>
      </c>
      <c r="I109" s="120">
        <v>2.5000000000000001E-2</v>
      </c>
      <c r="J109" s="120">
        <v>2.35E-2</v>
      </c>
      <c r="K109" s="120">
        <v>2.6800000000000001E-2</v>
      </c>
      <c r="L109" s="105">
        <v>2395</v>
      </c>
      <c r="M109" s="2">
        <v>0.83</v>
      </c>
      <c r="N109" s="2">
        <v>0.77</v>
      </c>
      <c r="O109" s="2">
        <v>0.89</v>
      </c>
      <c r="P109" s="105">
        <v>2092</v>
      </c>
      <c r="Q109" s="2">
        <v>0.72</v>
      </c>
      <c r="R109" s="2">
        <v>0.67</v>
      </c>
      <c r="S109" s="2">
        <v>0.77</v>
      </c>
    </row>
    <row r="110" spans="1:19" x14ac:dyDescent="0.35">
      <c r="A110" t="s">
        <v>239</v>
      </c>
      <c r="B110" t="s">
        <v>43</v>
      </c>
      <c r="C110" t="s">
        <v>39</v>
      </c>
      <c r="D110" s="105" t="s">
        <v>42</v>
      </c>
      <c r="E110" s="105" t="s">
        <v>56</v>
      </c>
      <c r="F110" s="105">
        <v>1100</v>
      </c>
      <c r="G110" s="105">
        <v>980</v>
      </c>
      <c r="H110" s="105">
        <v>1100</v>
      </c>
      <c r="I110" s="120">
        <v>8.3000000000000001E-3</v>
      </c>
      <c r="J110" s="120">
        <v>7.7000000000000002E-3</v>
      </c>
      <c r="K110" s="120">
        <v>8.9999999999999993E-3</v>
      </c>
      <c r="L110" s="105">
        <v>829</v>
      </c>
      <c r="M110" s="2">
        <v>0.75</v>
      </c>
      <c r="N110" s="2">
        <v>0.75</v>
      </c>
      <c r="O110" s="2">
        <v>0.85</v>
      </c>
      <c r="P110" s="105">
        <v>681</v>
      </c>
      <c r="Q110" s="2">
        <v>0.62</v>
      </c>
      <c r="R110" s="2">
        <v>0.62</v>
      </c>
      <c r="S110" s="2">
        <v>0.69</v>
      </c>
    </row>
    <row r="111" spans="1:19" x14ac:dyDescent="0.35">
      <c r="A111" t="s">
        <v>240</v>
      </c>
      <c r="B111" t="s">
        <v>43</v>
      </c>
      <c r="C111" t="s">
        <v>39</v>
      </c>
      <c r="D111" s="105" t="s">
        <v>37</v>
      </c>
      <c r="E111" s="105" t="s">
        <v>56</v>
      </c>
      <c r="F111" s="105">
        <v>1700</v>
      </c>
      <c r="G111" s="105">
        <v>1600</v>
      </c>
      <c r="H111" s="105">
        <v>1900</v>
      </c>
      <c r="I111" s="120">
        <v>1.41E-2</v>
      </c>
      <c r="J111" s="120">
        <v>1.2999999999999999E-2</v>
      </c>
      <c r="K111" s="120">
        <v>1.5299999999999999E-2</v>
      </c>
      <c r="L111" s="105">
        <v>1174</v>
      </c>
      <c r="M111" s="2">
        <v>0.69</v>
      </c>
      <c r="N111" s="2">
        <v>0.62</v>
      </c>
      <c r="O111" s="2">
        <v>0.73</v>
      </c>
      <c r="P111" s="105">
        <v>970</v>
      </c>
      <c r="Q111" s="2">
        <v>0.56999999999999995</v>
      </c>
      <c r="R111" s="2">
        <v>0.51</v>
      </c>
      <c r="S111" s="2">
        <v>0.61</v>
      </c>
    </row>
    <row r="112" spans="1:19" x14ac:dyDescent="0.35">
      <c r="A112" t="s">
        <v>241</v>
      </c>
      <c r="B112" t="s">
        <v>43</v>
      </c>
      <c r="C112" t="s">
        <v>44</v>
      </c>
      <c r="D112" s="105" t="s">
        <v>42</v>
      </c>
      <c r="E112" s="105" t="s">
        <v>56</v>
      </c>
      <c r="F112" s="105">
        <v>980</v>
      </c>
      <c r="G112" s="105">
        <v>900</v>
      </c>
      <c r="H112" s="105">
        <v>1100</v>
      </c>
      <c r="I112" s="120">
        <v>7.4999999999999997E-3</v>
      </c>
      <c r="J112" s="120">
        <v>6.8999999999999999E-3</v>
      </c>
      <c r="K112" s="120">
        <v>8.2000000000000007E-3</v>
      </c>
      <c r="L112" s="105">
        <v>761</v>
      </c>
      <c r="M112" s="2">
        <v>0.78</v>
      </c>
      <c r="N112" s="2">
        <v>0.69</v>
      </c>
      <c r="O112" s="2">
        <v>0.85</v>
      </c>
      <c r="P112" s="105">
        <v>618</v>
      </c>
      <c r="Q112" s="2">
        <v>0.63</v>
      </c>
      <c r="R112" s="2">
        <v>0.56000000000000005</v>
      </c>
      <c r="S112" s="2">
        <v>0.69</v>
      </c>
    </row>
    <row r="113" spans="1:19" x14ac:dyDescent="0.35">
      <c r="A113" t="s">
        <v>242</v>
      </c>
      <c r="B113" t="s">
        <v>43</v>
      </c>
      <c r="C113" t="s">
        <v>44</v>
      </c>
      <c r="D113" s="105" t="s">
        <v>37</v>
      </c>
      <c r="E113" s="105" t="s">
        <v>56</v>
      </c>
      <c r="F113" s="105">
        <v>1600</v>
      </c>
      <c r="G113" s="105">
        <v>1400</v>
      </c>
      <c r="H113" s="105">
        <v>1700</v>
      </c>
      <c r="I113" s="120">
        <v>1.2699999999999999E-2</v>
      </c>
      <c r="J113" s="120">
        <v>1.17E-2</v>
      </c>
      <c r="K113" s="120">
        <v>1.38E-2</v>
      </c>
      <c r="L113" s="105">
        <v>1068</v>
      </c>
      <c r="M113" s="2">
        <v>0.67</v>
      </c>
      <c r="N113" s="2">
        <v>0.63</v>
      </c>
      <c r="O113" s="2">
        <v>0.76</v>
      </c>
      <c r="P113" s="105">
        <v>859</v>
      </c>
      <c r="Q113" s="2">
        <v>0.54</v>
      </c>
      <c r="R113" s="2">
        <v>0.51</v>
      </c>
      <c r="S113" s="2">
        <v>0.61</v>
      </c>
    </row>
    <row r="114" spans="1:19" x14ac:dyDescent="0.35">
      <c r="A114" t="s">
        <v>243</v>
      </c>
      <c r="B114" t="s">
        <v>43</v>
      </c>
      <c r="C114" t="s">
        <v>46</v>
      </c>
      <c r="D114" s="105" t="s">
        <v>42</v>
      </c>
      <c r="E114" s="105" t="s">
        <v>56</v>
      </c>
      <c r="F114" s="105">
        <v>870</v>
      </c>
      <c r="G114" s="105">
        <v>800</v>
      </c>
      <c r="H114" s="105">
        <v>940</v>
      </c>
      <c r="I114" s="120">
        <v>6.6E-3</v>
      </c>
      <c r="J114" s="120">
        <v>6.0000000000000001E-3</v>
      </c>
      <c r="K114" s="120">
        <v>7.1000000000000004E-3</v>
      </c>
      <c r="L114" s="105">
        <v>676</v>
      </c>
      <c r="M114" s="2">
        <v>0.78</v>
      </c>
      <c r="N114" s="2">
        <v>0.72</v>
      </c>
      <c r="O114" s="2">
        <v>0.85</v>
      </c>
      <c r="P114" s="105">
        <v>548</v>
      </c>
      <c r="Q114" s="2">
        <v>0.63</v>
      </c>
      <c r="R114" s="2">
        <v>0.57999999999999996</v>
      </c>
      <c r="S114" s="2">
        <v>0.69</v>
      </c>
    </row>
    <row r="115" spans="1:19" x14ac:dyDescent="0.35">
      <c r="A115" t="s">
        <v>244</v>
      </c>
      <c r="B115" t="s">
        <v>43</v>
      </c>
      <c r="C115" t="s">
        <v>46</v>
      </c>
      <c r="D115" s="105" t="s">
        <v>37</v>
      </c>
      <c r="E115" s="105" t="s">
        <v>56</v>
      </c>
      <c r="F115" s="105">
        <v>1400</v>
      </c>
      <c r="G115" s="105">
        <v>1300</v>
      </c>
      <c r="H115" s="105">
        <v>1500</v>
      </c>
      <c r="I115" s="120">
        <v>1.11E-2</v>
      </c>
      <c r="J115" s="120">
        <v>1.0200000000000001E-2</v>
      </c>
      <c r="K115" s="120">
        <v>1.21E-2</v>
      </c>
      <c r="L115" s="105">
        <v>946</v>
      </c>
      <c r="M115" s="2">
        <v>0.68</v>
      </c>
      <c r="N115" s="2">
        <v>0.63</v>
      </c>
      <c r="O115" s="2">
        <v>0.73</v>
      </c>
      <c r="P115" s="105">
        <v>768</v>
      </c>
      <c r="Q115" s="2">
        <v>0.55000000000000004</v>
      </c>
      <c r="R115" s="2">
        <v>0.51</v>
      </c>
      <c r="S115" s="2">
        <v>0.59</v>
      </c>
    </row>
    <row r="116" spans="1:19" x14ac:dyDescent="0.35">
      <c r="A116" t="s">
        <v>245</v>
      </c>
      <c r="B116" t="s">
        <v>43</v>
      </c>
      <c r="C116" t="s">
        <v>47</v>
      </c>
      <c r="D116" s="105" t="s">
        <v>42</v>
      </c>
      <c r="E116" s="105" t="s">
        <v>56</v>
      </c>
      <c r="F116" s="105">
        <v>770</v>
      </c>
      <c r="G116" s="105">
        <v>710</v>
      </c>
      <c r="H116" s="105">
        <v>840</v>
      </c>
      <c r="I116" s="120">
        <v>5.7999999999999996E-3</v>
      </c>
      <c r="J116" s="120">
        <v>5.3E-3</v>
      </c>
      <c r="K116" s="120">
        <v>6.4000000000000003E-3</v>
      </c>
      <c r="L116" s="105">
        <v>600</v>
      </c>
      <c r="M116" s="2">
        <v>0.78</v>
      </c>
      <c r="N116" s="2">
        <v>0.71</v>
      </c>
      <c r="O116" s="2">
        <v>0.85</v>
      </c>
      <c r="P116" s="105">
        <v>487</v>
      </c>
      <c r="Q116" s="2">
        <v>0.63</v>
      </c>
      <c r="R116" s="2">
        <v>0.57999999999999996</v>
      </c>
      <c r="S116" s="2">
        <v>0.69</v>
      </c>
    </row>
    <row r="117" spans="1:19" x14ac:dyDescent="0.35">
      <c r="A117" t="s">
        <v>246</v>
      </c>
      <c r="B117" t="s">
        <v>43</v>
      </c>
      <c r="C117" t="s">
        <v>47</v>
      </c>
      <c r="D117" s="105" t="s">
        <v>37</v>
      </c>
      <c r="E117" s="105" t="s">
        <v>56</v>
      </c>
      <c r="F117" s="105">
        <v>1200</v>
      </c>
      <c r="G117" s="105">
        <v>1100</v>
      </c>
      <c r="H117" s="105">
        <v>1300</v>
      </c>
      <c r="I117" s="120">
        <v>9.5999999999999992E-3</v>
      </c>
      <c r="J117" s="120">
        <v>8.8000000000000005E-3</v>
      </c>
      <c r="K117" s="120">
        <v>1.0500000000000001E-2</v>
      </c>
      <c r="L117" s="105">
        <v>814</v>
      </c>
      <c r="M117" s="2">
        <v>0.68</v>
      </c>
      <c r="N117" s="2">
        <v>0.63</v>
      </c>
      <c r="O117" s="2">
        <v>0.74</v>
      </c>
      <c r="P117" s="105">
        <v>645</v>
      </c>
      <c r="Q117" s="2">
        <v>0.54</v>
      </c>
      <c r="R117" s="2">
        <v>0.5</v>
      </c>
      <c r="S117" s="2">
        <v>0.59</v>
      </c>
    </row>
    <row r="118" spans="1:19" x14ac:dyDescent="0.35">
      <c r="A118" t="s">
        <v>247</v>
      </c>
      <c r="B118" t="s">
        <v>43</v>
      </c>
      <c r="C118" t="s">
        <v>48</v>
      </c>
      <c r="D118" s="105" t="s">
        <v>42</v>
      </c>
      <c r="E118" s="105" t="s">
        <v>56</v>
      </c>
      <c r="F118" s="105">
        <v>710</v>
      </c>
      <c r="G118" s="105">
        <v>650</v>
      </c>
      <c r="H118" s="105">
        <v>780</v>
      </c>
      <c r="I118" s="120">
        <v>5.4000000000000003E-3</v>
      </c>
      <c r="J118" s="120">
        <v>4.8999999999999998E-3</v>
      </c>
      <c r="K118" s="120">
        <v>5.8999999999999999E-3</v>
      </c>
      <c r="L118" s="105">
        <v>530</v>
      </c>
      <c r="M118" s="2">
        <v>0.75</v>
      </c>
      <c r="N118" s="2">
        <v>0.68</v>
      </c>
      <c r="O118" s="2">
        <v>0.82</v>
      </c>
      <c r="P118" s="105">
        <v>433</v>
      </c>
      <c r="Q118" s="2">
        <v>0.61</v>
      </c>
      <c r="R118" s="2">
        <v>0.56000000000000005</v>
      </c>
      <c r="S118" s="2">
        <v>0.67</v>
      </c>
    </row>
    <row r="119" spans="1:19" x14ac:dyDescent="0.35">
      <c r="A119" t="s">
        <v>248</v>
      </c>
      <c r="B119" t="s">
        <v>43</v>
      </c>
      <c r="C119" t="s">
        <v>48</v>
      </c>
      <c r="D119" s="105" t="s">
        <v>37</v>
      </c>
      <c r="E119" s="105" t="s">
        <v>56</v>
      </c>
      <c r="F119" s="105">
        <v>1100</v>
      </c>
      <c r="G119" s="105">
        <v>1000</v>
      </c>
      <c r="H119" s="105">
        <v>1300</v>
      </c>
      <c r="I119" s="120">
        <v>8.9999999999999993E-3</v>
      </c>
      <c r="J119" s="121">
        <v>8.3000000000000001E-3</v>
      </c>
      <c r="K119" s="120">
        <v>9.9000000000000008E-3</v>
      </c>
      <c r="L119" s="105">
        <v>721</v>
      </c>
      <c r="M119" s="2">
        <v>0.66</v>
      </c>
      <c r="N119" s="2">
        <v>0.55000000000000004</v>
      </c>
      <c r="O119" s="2">
        <v>0.72</v>
      </c>
      <c r="P119" s="105">
        <v>580</v>
      </c>
      <c r="Q119" s="2">
        <v>0.53</v>
      </c>
      <c r="R119" s="2">
        <v>0.45</v>
      </c>
      <c r="S119" s="2">
        <v>0.57999999999999996</v>
      </c>
    </row>
    <row r="120" spans="1:19" x14ac:dyDescent="0.35">
      <c r="A120" t="s">
        <v>249</v>
      </c>
      <c r="B120" t="s">
        <v>43</v>
      </c>
      <c r="C120" t="s">
        <v>49</v>
      </c>
      <c r="D120" s="105" t="s">
        <v>42</v>
      </c>
      <c r="E120" s="105" t="s">
        <v>56</v>
      </c>
      <c r="F120" s="105">
        <v>700</v>
      </c>
      <c r="G120" s="105">
        <v>640</v>
      </c>
      <c r="H120" s="105">
        <v>780</v>
      </c>
      <c r="I120" s="120">
        <v>5.3E-3</v>
      </c>
      <c r="J120" s="120">
        <v>4.7999999999999996E-3</v>
      </c>
      <c r="K120" s="120">
        <v>5.7999999999999996E-3</v>
      </c>
      <c r="L120" s="105">
        <v>476</v>
      </c>
      <c r="M120" s="2">
        <v>0.68</v>
      </c>
      <c r="N120" s="2">
        <v>0.61</v>
      </c>
      <c r="O120" s="2">
        <v>0.74</v>
      </c>
      <c r="P120" s="105">
        <v>404</v>
      </c>
      <c r="Q120" s="2">
        <v>0.57999999999999996</v>
      </c>
      <c r="R120" s="2">
        <v>0.52</v>
      </c>
      <c r="S120" s="2">
        <v>0.63</v>
      </c>
    </row>
    <row r="121" spans="1:19" x14ac:dyDescent="0.35">
      <c r="A121" t="s">
        <v>250</v>
      </c>
      <c r="B121" t="s">
        <v>43</v>
      </c>
      <c r="C121" t="s">
        <v>49</v>
      </c>
      <c r="D121" s="105" t="s">
        <v>37</v>
      </c>
      <c r="E121" s="105" t="s">
        <v>56</v>
      </c>
      <c r="F121" s="105">
        <v>1200</v>
      </c>
      <c r="G121" s="105">
        <v>1100</v>
      </c>
      <c r="H121" s="105">
        <v>1300</v>
      </c>
      <c r="I121" s="120">
        <v>9.2999999999999992E-3</v>
      </c>
      <c r="J121" s="120">
        <v>8.3999999999999995E-3</v>
      </c>
      <c r="K121" s="120">
        <v>1.03E-2</v>
      </c>
      <c r="L121" s="105">
        <v>664</v>
      </c>
      <c r="M121" s="2">
        <v>0.55000000000000004</v>
      </c>
      <c r="N121" s="2">
        <v>0.51</v>
      </c>
      <c r="O121" s="2">
        <v>0.6</v>
      </c>
      <c r="P121" s="105">
        <v>553</v>
      </c>
      <c r="Q121" s="2">
        <v>0.46</v>
      </c>
      <c r="R121" s="2">
        <v>0.43</v>
      </c>
      <c r="S121" s="2">
        <v>0.5</v>
      </c>
    </row>
    <row r="122" spans="1:19" x14ac:dyDescent="0.35">
      <c r="A122" t="s">
        <v>251</v>
      </c>
      <c r="B122" t="s">
        <v>43</v>
      </c>
      <c r="C122" t="s">
        <v>124</v>
      </c>
      <c r="D122" s="105" t="s">
        <v>42</v>
      </c>
      <c r="E122" s="105" t="s">
        <v>56</v>
      </c>
      <c r="F122" s="105">
        <v>670</v>
      </c>
      <c r="G122" s="105">
        <v>600</v>
      </c>
      <c r="H122" s="105">
        <v>740</v>
      </c>
      <c r="I122" s="120">
        <v>5.0000000000000001E-3</v>
      </c>
      <c r="J122" s="120">
        <v>4.4999999999999997E-3</v>
      </c>
      <c r="K122" s="120">
        <v>5.5999999999999999E-3</v>
      </c>
      <c r="L122" s="105">
        <v>432</v>
      </c>
      <c r="M122" s="2">
        <v>0.64</v>
      </c>
      <c r="N122" s="2">
        <v>0.57999999999999996</v>
      </c>
      <c r="O122" s="2">
        <v>0.72</v>
      </c>
      <c r="P122" s="105">
        <v>371</v>
      </c>
      <c r="Q122" s="2">
        <v>0.55000000000000004</v>
      </c>
      <c r="R122" s="2">
        <v>0.5</v>
      </c>
      <c r="S122" s="2">
        <v>0.62</v>
      </c>
    </row>
    <row r="123" spans="1:19" x14ac:dyDescent="0.35">
      <c r="A123" t="s">
        <v>252</v>
      </c>
      <c r="B123" t="s">
        <v>43</v>
      </c>
      <c r="C123" t="s">
        <v>124</v>
      </c>
      <c r="D123" s="105" t="s">
        <v>37</v>
      </c>
      <c r="E123" s="105" t="s">
        <v>56</v>
      </c>
      <c r="F123" s="105">
        <v>1200</v>
      </c>
      <c r="G123" s="105">
        <v>1000</v>
      </c>
      <c r="H123" s="105">
        <v>1300</v>
      </c>
      <c r="I123" s="120">
        <v>9.1000000000000004E-3</v>
      </c>
      <c r="J123" s="120">
        <v>8.0999999999999996E-3</v>
      </c>
      <c r="K123" s="120">
        <v>1.01E-2</v>
      </c>
      <c r="L123" s="105">
        <v>614</v>
      </c>
      <c r="M123" s="2">
        <v>0.51</v>
      </c>
      <c r="N123" s="2">
        <v>0.47</v>
      </c>
      <c r="O123" s="2">
        <v>0.61</v>
      </c>
      <c r="P123" s="105">
        <v>513</v>
      </c>
      <c r="Q123" s="2">
        <v>0.43</v>
      </c>
      <c r="R123" s="2">
        <v>0.39</v>
      </c>
      <c r="S123" s="2">
        <v>0.51</v>
      </c>
    </row>
    <row r="124" spans="1:19" x14ac:dyDescent="0.35">
      <c r="A124" t="s">
        <v>253</v>
      </c>
      <c r="B124" t="s">
        <v>43</v>
      </c>
      <c r="C124" t="s">
        <v>125</v>
      </c>
      <c r="D124" s="105" t="s">
        <v>42</v>
      </c>
      <c r="E124" s="105" t="s">
        <v>56</v>
      </c>
      <c r="F124" s="105">
        <v>570</v>
      </c>
      <c r="G124" s="105">
        <v>510</v>
      </c>
      <c r="H124" s="105">
        <v>640</v>
      </c>
      <c r="I124" s="120">
        <v>4.3E-3</v>
      </c>
      <c r="J124" s="120">
        <v>3.8999999999999998E-3</v>
      </c>
      <c r="K124" s="120">
        <v>4.7999999999999996E-3</v>
      </c>
      <c r="L124" s="105">
        <v>374</v>
      </c>
      <c r="M124" s="2">
        <v>0.66</v>
      </c>
      <c r="N124" s="2">
        <v>0.57999999999999996</v>
      </c>
      <c r="O124" s="2">
        <v>0.73</v>
      </c>
      <c r="P124" s="105">
        <v>305</v>
      </c>
      <c r="Q124" s="2">
        <v>0.54</v>
      </c>
      <c r="R124" s="2">
        <v>0.48</v>
      </c>
      <c r="S124" s="2">
        <v>0.6</v>
      </c>
    </row>
    <row r="125" spans="1:19" x14ac:dyDescent="0.35">
      <c r="A125" t="s">
        <v>254</v>
      </c>
      <c r="B125" t="s">
        <v>43</v>
      </c>
      <c r="C125" t="s">
        <v>125</v>
      </c>
      <c r="D125" s="105" t="s">
        <v>37</v>
      </c>
      <c r="E125" s="105" t="s">
        <v>56</v>
      </c>
      <c r="F125" s="105">
        <v>1000</v>
      </c>
      <c r="G125" s="105">
        <v>910</v>
      </c>
      <c r="H125" s="105">
        <v>1100</v>
      </c>
      <c r="I125" s="120">
        <v>8.0999999999999996E-3</v>
      </c>
      <c r="J125" s="120">
        <v>7.1999999999999998E-3</v>
      </c>
      <c r="K125" s="120">
        <v>8.9999999999999993E-3</v>
      </c>
      <c r="L125" s="105">
        <v>566</v>
      </c>
      <c r="M125" s="2">
        <v>0.56999999999999995</v>
      </c>
      <c r="N125" s="2">
        <v>0.51</v>
      </c>
      <c r="O125" s="2">
        <v>0.62</v>
      </c>
      <c r="P125" s="105">
        <v>448</v>
      </c>
      <c r="Q125" s="2">
        <v>0.45</v>
      </c>
      <c r="R125" s="2">
        <v>0.41</v>
      </c>
      <c r="S125" s="2">
        <v>0.49</v>
      </c>
    </row>
    <row r="126" spans="1:19" x14ac:dyDescent="0.35">
      <c r="A126" t="s">
        <v>255</v>
      </c>
      <c r="B126" t="s">
        <v>43</v>
      </c>
      <c r="C126" t="s">
        <v>126</v>
      </c>
      <c r="D126" s="105" t="s">
        <v>42</v>
      </c>
      <c r="E126" s="105" t="s">
        <v>56</v>
      </c>
      <c r="F126" s="105">
        <v>470</v>
      </c>
      <c r="G126" s="105">
        <v>410</v>
      </c>
      <c r="H126" s="105">
        <v>530</v>
      </c>
      <c r="I126" s="120">
        <v>3.5000000000000001E-3</v>
      </c>
      <c r="J126" s="120">
        <v>3.0999999999999999E-3</v>
      </c>
      <c r="K126" s="120">
        <v>4.0000000000000001E-3</v>
      </c>
      <c r="L126" s="105">
        <v>316</v>
      </c>
      <c r="M126" s="2">
        <v>0.67</v>
      </c>
      <c r="N126" s="2">
        <v>0.6</v>
      </c>
      <c r="O126" s="2">
        <v>0.77</v>
      </c>
      <c r="P126" s="105">
        <v>242</v>
      </c>
      <c r="Q126" s="2">
        <v>0.51</v>
      </c>
      <c r="R126" s="2">
        <v>0.46</v>
      </c>
      <c r="S126" s="2">
        <v>0.59</v>
      </c>
    </row>
    <row r="127" spans="1:19" x14ac:dyDescent="0.35">
      <c r="A127" t="s">
        <v>256</v>
      </c>
      <c r="B127" t="s">
        <v>43</v>
      </c>
      <c r="C127" t="s">
        <v>126</v>
      </c>
      <c r="D127" s="105" t="s">
        <v>37</v>
      </c>
      <c r="E127" s="105" t="s">
        <v>56</v>
      </c>
      <c r="F127" s="105">
        <v>830</v>
      </c>
      <c r="G127" s="105">
        <v>740</v>
      </c>
      <c r="H127" s="105">
        <v>930</v>
      </c>
      <c r="I127" s="120">
        <v>6.7999999999999996E-3</v>
      </c>
      <c r="J127" s="120">
        <v>6.0000000000000001E-3</v>
      </c>
      <c r="K127" s="120">
        <v>7.6E-3</v>
      </c>
      <c r="L127" s="105">
        <v>490</v>
      </c>
      <c r="M127" s="2">
        <v>0.59</v>
      </c>
      <c r="N127" s="2">
        <v>0.53</v>
      </c>
      <c r="O127" s="2">
        <v>0.66</v>
      </c>
      <c r="P127" s="105">
        <v>374</v>
      </c>
      <c r="Q127" s="2">
        <v>0.45</v>
      </c>
      <c r="R127" s="2">
        <v>0.4</v>
      </c>
      <c r="S127" s="2">
        <v>0.51</v>
      </c>
    </row>
    <row r="128" spans="1:19" x14ac:dyDescent="0.35">
      <c r="A128" t="s">
        <v>257</v>
      </c>
      <c r="B128" t="s">
        <v>43</v>
      </c>
      <c r="C128" t="s">
        <v>39</v>
      </c>
      <c r="D128" s="105" t="s">
        <v>42</v>
      </c>
      <c r="E128" s="105" t="s">
        <v>57</v>
      </c>
      <c r="F128" s="105">
        <v>1200</v>
      </c>
      <c r="G128" s="105">
        <v>1100</v>
      </c>
      <c r="H128" s="105">
        <v>1300</v>
      </c>
      <c r="I128" s="120">
        <v>1.3100000000000001E-2</v>
      </c>
      <c r="J128" s="120">
        <v>1.21E-2</v>
      </c>
      <c r="K128" s="120">
        <v>1.43E-2</v>
      </c>
      <c r="L128" s="105">
        <v>895</v>
      </c>
      <c r="M128" s="2">
        <v>0.75</v>
      </c>
      <c r="N128" s="2">
        <v>0.69</v>
      </c>
      <c r="O128" s="2">
        <v>0.81</v>
      </c>
      <c r="P128" s="105">
        <v>761</v>
      </c>
      <c r="Q128" s="2">
        <v>0.63</v>
      </c>
      <c r="R128" s="2">
        <v>0.59</v>
      </c>
      <c r="S128" s="2">
        <v>0.69</v>
      </c>
    </row>
    <row r="129" spans="1:19" x14ac:dyDescent="0.35">
      <c r="A129" t="s">
        <v>258</v>
      </c>
      <c r="B129" t="s">
        <v>43</v>
      </c>
      <c r="C129" t="s">
        <v>39</v>
      </c>
      <c r="D129" s="105" t="s">
        <v>37</v>
      </c>
      <c r="E129" s="105" t="s">
        <v>57</v>
      </c>
      <c r="F129" s="105">
        <v>2800</v>
      </c>
      <c r="G129" s="105">
        <v>2600</v>
      </c>
      <c r="H129" s="105">
        <v>3000</v>
      </c>
      <c r="I129" s="120">
        <v>3.1600000000000003E-2</v>
      </c>
      <c r="J129" s="120">
        <v>2.9700000000000001E-2</v>
      </c>
      <c r="K129" s="120">
        <v>3.3799999999999997E-2</v>
      </c>
      <c r="L129" s="105">
        <v>2133</v>
      </c>
      <c r="M129" s="2">
        <v>0.76</v>
      </c>
      <c r="N129" s="2">
        <v>0.71</v>
      </c>
      <c r="O129" s="2">
        <v>0.82</v>
      </c>
      <c r="P129" s="105">
        <v>1788</v>
      </c>
      <c r="Q129" s="2">
        <v>0.64</v>
      </c>
      <c r="R129" s="2">
        <v>0.6</v>
      </c>
      <c r="S129" s="2">
        <v>0.69</v>
      </c>
    </row>
    <row r="130" spans="1:19" x14ac:dyDescent="0.35">
      <c r="A130" t="s">
        <v>259</v>
      </c>
      <c r="B130" t="s">
        <v>43</v>
      </c>
      <c r="C130" t="s">
        <v>44</v>
      </c>
      <c r="D130" s="105" t="s">
        <v>42</v>
      </c>
      <c r="E130" s="105" t="s">
        <v>57</v>
      </c>
      <c r="F130" s="105">
        <v>1200</v>
      </c>
      <c r="G130" s="105">
        <v>1100</v>
      </c>
      <c r="H130" s="105">
        <v>1300</v>
      </c>
      <c r="I130" s="120">
        <v>1.32E-2</v>
      </c>
      <c r="J130" s="120">
        <v>1.23E-2</v>
      </c>
      <c r="K130" s="120">
        <v>1.43E-2</v>
      </c>
      <c r="L130" s="105">
        <v>942</v>
      </c>
      <c r="M130" s="2">
        <v>0.79</v>
      </c>
      <c r="N130" s="2">
        <v>0.72</v>
      </c>
      <c r="O130" s="2">
        <v>0.86</v>
      </c>
      <c r="P130" s="105">
        <v>785</v>
      </c>
      <c r="Q130" s="2">
        <v>0.65</v>
      </c>
      <c r="R130" s="2">
        <v>0.6</v>
      </c>
      <c r="S130" s="2">
        <v>0.71</v>
      </c>
    </row>
    <row r="131" spans="1:19" x14ac:dyDescent="0.35">
      <c r="A131" t="s">
        <v>260</v>
      </c>
      <c r="B131" t="s">
        <v>43</v>
      </c>
      <c r="C131" t="s">
        <v>44</v>
      </c>
      <c r="D131" s="105" t="s">
        <v>37</v>
      </c>
      <c r="E131" s="105" t="s">
        <v>57</v>
      </c>
      <c r="F131" s="105">
        <v>2800</v>
      </c>
      <c r="G131" s="105">
        <v>2700</v>
      </c>
      <c r="H131" s="105">
        <v>3000</v>
      </c>
      <c r="I131" s="120">
        <v>3.2000000000000001E-2</v>
      </c>
      <c r="J131" s="120">
        <v>3.0200000000000001E-2</v>
      </c>
      <c r="K131" s="120">
        <v>3.39E-2</v>
      </c>
      <c r="L131" s="105">
        <v>2244</v>
      </c>
      <c r="M131" s="2">
        <v>0.8</v>
      </c>
      <c r="N131" s="2">
        <v>0.75</v>
      </c>
      <c r="O131" s="2">
        <v>0.83</v>
      </c>
      <c r="P131" s="105">
        <v>1858</v>
      </c>
      <c r="Q131" s="2">
        <v>0.66</v>
      </c>
      <c r="R131" s="2">
        <v>0.62</v>
      </c>
      <c r="S131" s="2">
        <v>0.69</v>
      </c>
    </row>
    <row r="132" spans="1:19" x14ac:dyDescent="0.35">
      <c r="A132" t="s">
        <v>261</v>
      </c>
      <c r="B132" t="s">
        <v>43</v>
      </c>
      <c r="C132" t="s">
        <v>46</v>
      </c>
      <c r="D132" s="105" t="s">
        <v>42</v>
      </c>
      <c r="E132" s="105" t="s">
        <v>57</v>
      </c>
      <c r="F132" s="105">
        <v>1200</v>
      </c>
      <c r="G132" s="105">
        <v>1100</v>
      </c>
      <c r="H132" s="105">
        <v>1300</v>
      </c>
      <c r="I132" s="120">
        <v>1.3599999999999999E-2</v>
      </c>
      <c r="J132" s="120">
        <v>1.2699999999999999E-2</v>
      </c>
      <c r="K132" s="120">
        <v>1.46E-2</v>
      </c>
      <c r="L132" s="105">
        <v>998</v>
      </c>
      <c r="M132" s="2">
        <v>0.83</v>
      </c>
      <c r="N132" s="2">
        <v>0.77</v>
      </c>
      <c r="O132" s="2">
        <v>0.91</v>
      </c>
      <c r="P132" s="105">
        <v>833</v>
      </c>
      <c r="Q132" s="2">
        <v>0.69</v>
      </c>
      <c r="R132" s="2">
        <v>0.64</v>
      </c>
      <c r="S132" s="2">
        <v>0.76</v>
      </c>
    </row>
    <row r="133" spans="1:19" x14ac:dyDescent="0.35">
      <c r="A133" t="s">
        <v>262</v>
      </c>
      <c r="B133" t="s">
        <v>43</v>
      </c>
      <c r="C133" t="s">
        <v>46</v>
      </c>
      <c r="D133" s="105" t="s">
        <v>37</v>
      </c>
      <c r="E133" s="105" t="s">
        <v>57</v>
      </c>
      <c r="F133" s="105">
        <v>2900</v>
      </c>
      <c r="G133" s="105">
        <v>2700</v>
      </c>
      <c r="H133" s="105">
        <v>3000</v>
      </c>
      <c r="I133" s="120">
        <v>3.2300000000000002E-2</v>
      </c>
      <c r="J133" s="120">
        <v>3.0599999999999999E-2</v>
      </c>
      <c r="K133" s="120">
        <v>3.4099999999999998E-2</v>
      </c>
      <c r="L133" s="105">
        <v>2317</v>
      </c>
      <c r="M133" s="2">
        <v>0.8</v>
      </c>
      <c r="N133" s="2">
        <v>0.77</v>
      </c>
      <c r="O133" s="2">
        <v>0.86</v>
      </c>
      <c r="P133" s="105">
        <v>1929</v>
      </c>
      <c r="Q133" s="2">
        <v>0.67</v>
      </c>
      <c r="R133" s="2">
        <v>0.64</v>
      </c>
      <c r="S133" s="2">
        <v>0.71</v>
      </c>
    </row>
    <row r="134" spans="1:19" x14ac:dyDescent="0.35">
      <c r="A134" t="s">
        <v>263</v>
      </c>
      <c r="B134" t="s">
        <v>43</v>
      </c>
      <c r="C134" t="s">
        <v>47</v>
      </c>
      <c r="D134" s="105" t="s">
        <v>42</v>
      </c>
      <c r="E134" s="105" t="s">
        <v>57</v>
      </c>
      <c r="F134" s="105">
        <v>1300</v>
      </c>
      <c r="G134" s="105">
        <v>1200</v>
      </c>
      <c r="H134" s="105">
        <v>1300</v>
      </c>
      <c r="I134" s="120">
        <v>1.38E-2</v>
      </c>
      <c r="J134" s="120">
        <v>1.2999999999999999E-2</v>
      </c>
      <c r="K134" s="120">
        <v>1.47E-2</v>
      </c>
      <c r="L134" s="105">
        <v>1055</v>
      </c>
      <c r="M134" s="2">
        <v>0.81</v>
      </c>
      <c r="N134" s="2">
        <v>0.81</v>
      </c>
      <c r="O134" s="2">
        <v>0.88</v>
      </c>
      <c r="P134" s="105">
        <v>889</v>
      </c>
      <c r="Q134" s="2">
        <v>0.68</v>
      </c>
      <c r="R134" s="2">
        <v>0.68</v>
      </c>
      <c r="S134" s="2">
        <v>0.74</v>
      </c>
    </row>
    <row r="135" spans="1:19" x14ac:dyDescent="0.35">
      <c r="A135" t="s">
        <v>264</v>
      </c>
      <c r="B135" t="s">
        <v>43</v>
      </c>
      <c r="C135" t="s">
        <v>47</v>
      </c>
      <c r="D135" s="105" t="s">
        <v>37</v>
      </c>
      <c r="E135" s="105" t="s">
        <v>57</v>
      </c>
      <c r="F135" s="105">
        <v>2900</v>
      </c>
      <c r="G135" s="105">
        <v>2800</v>
      </c>
      <c r="H135" s="105">
        <v>3100</v>
      </c>
      <c r="I135" s="120">
        <v>3.2899999999999999E-2</v>
      </c>
      <c r="J135" s="120">
        <v>3.1300000000000001E-2</v>
      </c>
      <c r="K135" s="120">
        <v>3.4500000000000003E-2</v>
      </c>
      <c r="L135" s="105">
        <v>2446</v>
      </c>
      <c r="M135" s="2">
        <v>0.84</v>
      </c>
      <c r="N135" s="2">
        <v>0.79</v>
      </c>
      <c r="O135" s="2">
        <v>0.87</v>
      </c>
      <c r="P135" s="105">
        <v>2039</v>
      </c>
      <c r="Q135" s="2">
        <v>0.7</v>
      </c>
      <c r="R135" s="2">
        <v>0.66</v>
      </c>
      <c r="S135" s="2">
        <v>0.73</v>
      </c>
    </row>
    <row r="136" spans="1:19" x14ac:dyDescent="0.35">
      <c r="A136" t="s">
        <v>265</v>
      </c>
      <c r="B136" t="s">
        <v>43</v>
      </c>
      <c r="C136" t="s">
        <v>48</v>
      </c>
      <c r="D136" s="105" t="s">
        <v>42</v>
      </c>
      <c r="E136" s="105" t="s">
        <v>57</v>
      </c>
      <c r="F136" s="105">
        <v>1300</v>
      </c>
      <c r="G136" s="105">
        <v>1200</v>
      </c>
      <c r="H136" s="105">
        <v>1400</v>
      </c>
      <c r="I136" s="120">
        <v>1.4200000000000001E-2</v>
      </c>
      <c r="J136" s="120">
        <v>1.34E-2</v>
      </c>
      <c r="K136" s="120">
        <v>1.52E-2</v>
      </c>
      <c r="L136" s="105">
        <v>1089</v>
      </c>
      <c r="M136" s="2">
        <v>0.84</v>
      </c>
      <c r="N136" s="2">
        <v>0.78</v>
      </c>
      <c r="O136" s="2">
        <v>0.91</v>
      </c>
      <c r="P136" s="105">
        <v>914</v>
      </c>
      <c r="Q136" s="2">
        <v>0.7</v>
      </c>
      <c r="R136" s="2">
        <v>0.65</v>
      </c>
      <c r="S136" s="2">
        <v>0.76</v>
      </c>
    </row>
    <row r="137" spans="1:19" x14ac:dyDescent="0.35">
      <c r="A137" t="s">
        <v>266</v>
      </c>
      <c r="B137" t="s">
        <v>43</v>
      </c>
      <c r="C137" t="s">
        <v>48</v>
      </c>
      <c r="D137" s="105" t="s">
        <v>37</v>
      </c>
      <c r="E137" s="105" t="s">
        <v>57</v>
      </c>
      <c r="F137" s="105">
        <v>3000</v>
      </c>
      <c r="G137" s="105">
        <v>2800</v>
      </c>
      <c r="H137" s="105">
        <v>3100</v>
      </c>
      <c r="I137" s="120">
        <v>3.2899999999999999E-2</v>
      </c>
      <c r="J137" s="120">
        <v>3.1399999999999997E-2</v>
      </c>
      <c r="K137" s="120">
        <v>3.4599999999999999E-2</v>
      </c>
      <c r="L137" s="105">
        <v>2450</v>
      </c>
      <c r="M137" s="2">
        <v>0.82</v>
      </c>
      <c r="N137" s="2">
        <v>0.79</v>
      </c>
      <c r="O137" s="2">
        <v>0.88</v>
      </c>
      <c r="P137" s="105">
        <v>2053</v>
      </c>
      <c r="Q137" s="2">
        <v>0.68</v>
      </c>
      <c r="R137" s="2">
        <v>0.66</v>
      </c>
      <c r="S137" s="2">
        <v>0.73</v>
      </c>
    </row>
    <row r="138" spans="1:19" x14ac:dyDescent="0.35">
      <c r="A138" t="s">
        <v>267</v>
      </c>
      <c r="B138" t="s">
        <v>43</v>
      </c>
      <c r="C138" t="s">
        <v>49</v>
      </c>
      <c r="D138" s="105" t="s">
        <v>42</v>
      </c>
      <c r="E138" s="105" t="s">
        <v>57</v>
      </c>
      <c r="F138" s="105">
        <v>1400</v>
      </c>
      <c r="G138" s="105">
        <v>1300</v>
      </c>
      <c r="H138" s="105">
        <v>1500</v>
      </c>
      <c r="I138" s="120">
        <v>1.4999999999999999E-2</v>
      </c>
      <c r="J138" s="120">
        <v>1.4E-2</v>
      </c>
      <c r="K138" s="120">
        <v>1.6E-2</v>
      </c>
      <c r="L138" s="105">
        <v>1117</v>
      </c>
      <c r="M138" s="2">
        <v>0.8</v>
      </c>
      <c r="N138" s="2">
        <v>0.74</v>
      </c>
      <c r="O138" s="2">
        <v>0.86</v>
      </c>
      <c r="P138" s="105">
        <v>960</v>
      </c>
      <c r="Q138" s="2">
        <v>0.69</v>
      </c>
      <c r="R138" s="2">
        <v>0.64</v>
      </c>
      <c r="S138" s="2">
        <v>0.74</v>
      </c>
    </row>
    <row r="139" spans="1:19" x14ac:dyDescent="0.35">
      <c r="A139" t="s">
        <v>268</v>
      </c>
      <c r="B139" t="s">
        <v>43</v>
      </c>
      <c r="C139" t="s">
        <v>49</v>
      </c>
      <c r="D139" s="105" t="s">
        <v>37</v>
      </c>
      <c r="E139" s="105" t="s">
        <v>57</v>
      </c>
      <c r="F139" s="105">
        <v>3100</v>
      </c>
      <c r="G139" s="105">
        <v>2900</v>
      </c>
      <c r="H139" s="105">
        <v>3200</v>
      </c>
      <c r="I139" s="120">
        <v>3.3599999999999998E-2</v>
      </c>
      <c r="J139" s="120">
        <v>3.1899999999999998E-2</v>
      </c>
      <c r="K139" s="120">
        <v>3.5400000000000001E-2</v>
      </c>
      <c r="L139" s="105">
        <v>2412</v>
      </c>
      <c r="M139" s="2">
        <v>0.78</v>
      </c>
      <c r="N139" s="2">
        <v>0.75</v>
      </c>
      <c r="O139" s="2">
        <v>0.83</v>
      </c>
      <c r="P139" s="105">
        <v>2078</v>
      </c>
      <c r="Q139" s="2">
        <v>0.67</v>
      </c>
      <c r="R139" s="2">
        <v>0.65</v>
      </c>
      <c r="S139" s="2">
        <v>0.72</v>
      </c>
    </row>
    <row r="140" spans="1:19" x14ac:dyDescent="0.35">
      <c r="A140" t="s">
        <v>269</v>
      </c>
      <c r="B140" t="s">
        <v>43</v>
      </c>
      <c r="C140" t="s">
        <v>124</v>
      </c>
      <c r="D140" s="105" t="s">
        <v>42</v>
      </c>
      <c r="E140" s="105" t="s">
        <v>57</v>
      </c>
      <c r="F140" s="105">
        <v>1400</v>
      </c>
      <c r="G140" s="105">
        <v>1300</v>
      </c>
      <c r="H140" s="105">
        <v>1500</v>
      </c>
      <c r="I140" s="120">
        <v>1.4999999999999999E-2</v>
      </c>
      <c r="J140" s="120">
        <v>1.4E-2</v>
      </c>
      <c r="K140" s="120">
        <v>1.6E-2</v>
      </c>
      <c r="L140" s="105">
        <v>1123</v>
      </c>
      <c r="M140" s="2">
        <v>0.8</v>
      </c>
      <c r="N140" s="2">
        <v>0.75</v>
      </c>
      <c r="O140" s="2">
        <v>0.86</v>
      </c>
      <c r="P140" s="105">
        <v>972</v>
      </c>
      <c r="Q140" s="2">
        <v>0.69</v>
      </c>
      <c r="R140" s="2">
        <v>0.65</v>
      </c>
      <c r="S140" s="2">
        <v>0.75</v>
      </c>
    </row>
    <row r="141" spans="1:19" x14ac:dyDescent="0.35">
      <c r="A141" t="s">
        <v>270</v>
      </c>
      <c r="B141" t="s">
        <v>43</v>
      </c>
      <c r="C141" t="s">
        <v>124</v>
      </c>
      <c r="D141" s="105" t="s">
        <v>37</v>
      </c>
      <c r="E141" s="105" t="s">
        <v>57</v>
      </c>
      <c r="F141" s="105">
        <v>3000</v>
      </c>
      <c r="G141" s="105">
        <v>2900</v>
      </c>
      <c r="H141" s="105">
        <v>3200</v>
      </c>
      <c r="I141" s="120">
        <v>3.3099999999999997E-2</v>
      </c>
      <c r="J141" s="120">
        <v>3.1399999999999997E-2</v>
      </c>
      <c r="K141" s="120">
        <v>3.49E-2</v>
      </c>
      <c r="L141" s="105">
        <v>2374</v>
      </c>
      <c r="M141" s="2">
        <v>0.79</v>
      </c>
      <c r="N141" s="2">
        <v>0.74</v>
      </c>
      <c r="O141" s="2">
        <v>0.82</v>
      </c>
      <c r="P141" s="105">
        <v>2054</v>
      </c>
      <c r="Q141" s="2">
        <v>0.68</v>
      </c>
      <c r="R141" s="2">
        <v>0.64</v>
      </c>
      <c r="S141" s="2">
        <v>0.71</v>
      </c>
    </row>
    <row r="142" spans="1:19" x14ac:dyDescent="0.35">
      <c r="A142" t="s">
        <v>271</v>
      </c>
      <c r="B142" t="s">
        <v>43</v>
      </c>
      <c r="C142" t="s">
        <v>125</v>
      </c>
      <c r="D142" s="105" t="s">
        <v>42</v>
      </c>
      <c r="E142" s="105" t="s">
        <v>57</v>
      </c>
      <c r="F142" s="105">
        <v>1400</v>
      </c>
      <c r="G142" s="105">
        <v>1300</v>
      </c>
      <c r="H142" s="105">
        <v>1500</v>
      </c>
      <c r="I142" s="120">
        <v>1.4500000000000001E-2</v>
      </c>
      <c r="J142" s="120">
        <v>1.3599999999999999E-2</v>
      </c>
      <c r="K142" s="120">
        <v>1.55E-2</v>
      </c>
      <c r="L142" s="105">
        <v>1125</v>
      </c>
      <c r="M142" s="2">
        <v>0.8</v>
      </c>
      <c r="N142" s="2">
        <v>0.75</v>
      </c>
      <c r="O142" s="2">
        <v>0.87</v>
      </c>
      <c r="P142" s="105">
        <v>967</v>
      </c>
      <c r="Q142" s="2">
        <v>0.69</v>
      </c>
      <c r="R142" s="2">
        <v>0.64</v>
      </c>
      <c r="S142" s="2">
        <v>0.74</v>
      </c>
    </row>
    <row r="143" spans="1:19" x14ac:dyDescent="0.35">
      <c r="A143" t="s">
        <v>272</v>
      </c>
      <c r="B143" t="s">
        <v>43</v>
      </c>
      <c r="C143" t="s">
        <v>125</v>
      </c>
      <c r="D143" s="105" t="s">
        <v>37</v>
      </c>
      <c r="E143" s="105" t="s">
        <v>57</v>
      </c>
      <c r="F143" s="105">
        <v>2900</v>
      </c>
      <c r="G143" s="105">
        <v>2700</v>
      </c>
      <c r="H143" s="105">
        <v>3000</v>
      </c>
      <c r="I143" s="120">
        <v>3.0700000000000002E-2</v>
      </c>
      <c r="J143" s="120">
        <v>2.9100000000000001E-2</v>
      </c>
      <c r="K143" s="120">
        <v>3.2500000000000001E-2</v>
      </c>
      <c r="L143" s="105">
        <v>2267</v>
      </c>
      <c r="M143" s="2">
        <v>0.78</v>
      </c>
      <c r="N143" s="2">
        <v>0.76</v>
      </c>
      <c r="O143" s="2">
        <v>0.84</v>
      </c>
      <c r="P143" s="105">
        <v>1931</v>
      </c>
      <c r="Q143" s="2">
        <v>0.67</v>
      </c>
      <c r="R143" s="2">
        <v>0.64</v>
      </c>
      <c r="S143" s="2">
        <v>0.72</v>
      </c>
    </row>
    <row r="144" spans="1:19" x14ac:dyDescent="0.35">
      <c r="A144" t="s">
        <v>273</v>
      </c>
      <c r="B144" t="s">
        <v>43</v>
      </c>
      <c r="C144" t="s">
        <v>126</v>
      </c>
      <c r="D144" s="105" t="s">
        <v>42</v>
      </c>
      <c r="E144" s="105" t="s">
        <v>57</v>
      </c>
      <c r="F144" s="105">
        <v>1300</v>
      </c>
      <c r="G144" s="105">
        <v>1200</v>
      </c>
      <c r="H144" s="105">
        <v>1400</v>
      </c>
      <c r="I144" s="120">
        <v>1.4E-2</v>
      </c>
      <c r="J144" s="120">
        <v>1.32E-2</v>
      </c>
      <c r="K144" s="120">
        <v>1.4999999999999999E-2</v>
      </c>
      <c r="L144" s="105">
        <v>1103</v>
      </c>
      <c r="M144" s="2">
        <v>0.85</v>
      </c>
      <c r="N144" s="2">
        <v>0.79</v>
      </c>
      <c r="O144" s="2">
        <v>0.92</v>
      </c>
      <c r="P144" s="105">
        <v>924</v>
      </c>
      <c r="Q144" s="2">
        <v>0.71</v>
      </c>
      <c r="R144" s="2">
        <v>0.66</v>
      </c>
      <c r="S144" s="2">
        <v>0.77</v>
      </c>
    </row>
    <row r="145" spans="1:19" x14ac:dyDescent="0.35">
      <c r="A145" t="s">
        <v>274</v>
      </c>
      <c r="B145" t="s">
        <v>43</v>
      </c>
      <c r="C145" t="s">
        <v>126</v>
      </c>
      <c r="D145" s="105" t="s">
        <v>37</v>
      </c>
      <c r="E145" s="105" t="s">
        <v>57</v>
      </c>
      <c r="F145" s="105">
        <v>2600</v>
      </c>
      <c r="G145" s="105">
        <v>2500</v>
      </c>
      <c r="H145" s="105">
        <v>2800</v>
      </c>
      <c r="I145" s="120">
        <v>2.9600000000000001E-2</v>
      </c>
      <c r="J145" s="120">
        <v>2.81E-2</v>
      </c>
      <c r="K145" s="120">
        <v>3.1300000000000001E-2</v>
      </c>
      <c r="L145" s="105">
        <v>2178</v>
      </c>
      <c r="M145" s="2">
        <v>0.84</v>
      </c>
      <c r="N145" s="2">
        <v>0.78</v>
      </c>
      <c r="O145" s="2">
        <v>0.87</v>
      </c>
      <c r="P145" s="105">
        <v>1819</v>
      </c>
      <c r="Q145" s="2">
        <v>0.7</v>
      </c>
      <c r="R145" s="2">
        <v>0.65</v>
      </c>
      <c r="S145" s="2">
        <v>0.73</v>
      </c>
    </row>
    <row r="146" spans="1:19" x14ac:dyDescent="0.35">
      <c r="A146" t="s">
        <v>275</v>
      </c>
      <c r="B146" t="s">
        <v>43</v>
      </c>
      <c r="C146" t="s">
        <v>39</v>
      </c>
      <c r="D146" s="105" t="s">
        <v>42</v>
      </c>
      <c r="E146" s="105" t="s">
        <v>58</v>
      </c>
      <c r="F146" s="105">
        <v>230</v>
      </c>
      <c r="G146" s="105">
        <v>180</v>
      </c>
      <c r="H146" s="105">
        <v>280</v>
      </c>
      <c r="I146" s="120">
        <v>2.8E-3</v>
      </c>
      <c r="J146" s="120">
        <v>2.3E-3</v>
      </c>
      <c r="K146" s="120">
        <v>3.5000000000000001E-3</v>
      </c>
      <c r="L146" s="105">
        <v>112</v>
      </c>
      <c r="M146">
        <v>0.49</v>
      </c>
      <c r="N146">
        <v>0.4</v>
      </c>
      <c r="O146">
        <v>0.62</v>
      </c>
      <c r="P146" s="105">
        <v>89</v>
      </c>
      <c r="Q146">
        <v>0.39</v>
      </c>
      <c r="R146">
        <v>0.32</v>
      </c>
      <c r="S146">
        <v>0.49</v>
      </c>
    </row>
    <row r="147" spans="1:19" x14ac:dyDescent="0.35">
      <c r="A147" t="s">
        <v>276</v>
      </c>
      <c r="B147" t="s">
        <v>43</v>
      </c>
      <c r="C147" t="s">
        <v>39</v>
      </c>
      <c r="D147" s="105" t="s">
        <v>37</v>
      </c>
      <c r="E147" s="105" t="s">
        <v>58</v>
      </c>
      <c r="F147" s="105">
        <v>580</v>
      </c>
      <c r="G147" s="105">
        <v>490</v>
      </c>
      <c r="H147" s="105">
        <v>690</v>
      </c>
      <c r="I147" s="120">
        <v>7.4999999999999997E-3</v>
      </c>
      <c r="J147" s="120">
        <v>6.3E-3</v>
      </c>
      <c r="K147" s="120">
        <v>8.9999999999999993E-3</v>
      </c>
      <c r="L147" s="105">
        <v>314</v>
      </c>
      <c r="M147">
        <v>0.54</v>
      </c>
      <c r="N147">
        <v>0.46</v>
      </c>
      <c r="O147">
        <v>0.64</v>
      </c>
      <c r="P147" s="105">
        <v>253</v>
      </c>
      <c r="Q147">
        <v>0.44</v>
      </c>
      <c r="R147">
        <v>0.37</v>
      </c>
      <c r="S147">
        <v>0.52</v>
      </c>
    </row>
    <row r="148" spans="1:19" x14ac:dyDescent="0.35">
      <c r="A148" t="s">
        <v>277</v>
      </c>
      <c r="B148" t="s">
        <v>43</v>
      </c>
      <c r="C148" t="s">
        <v>44</v>
      </c>
      <c r="D148" s="105" t="s">
        <v>42</v>
      </c>
      <c r="E148" s="105" t="s">
        <v>58</v>
      </c>
      <c r="F148" s="105">
        <v>260</v>
      </c>
      <c r="G148" s="105">
        <v>220</v>
      </c>
      <c r="H148" s="105">
        <v>310</v>
      </c>
      <c r="I148" s="120">
        <v>3.2000000000000002E-3</v>
      </c>
      <c r="J148" s="120">
        <v>2.7000000000000001E-3</v>
      </c>
      <c r="K148" s="120">
        <v>3.8E-3</v>
      </c>
      <c r="L148" s="105">
        <v>153</v>
      </c>
      <c r="M148">
        <v>0.59</v>
      </c>
      <c r="N148">
        <v>0.49</v>
      </c>
      <c r="O148">
        <v>0.7</v>
      </c>
      <c r="P148" s="105">
        <v>118</v>
      </c>
      <c r="Q148">
        <v>0.45</v>
      </c>
      <c r="R148">
        <v>0.38</v>
      </c>
      <c r="S148">
        <v>0.54</v>
      </c>
    </row>
    <row r="149" spans="1:19" x14ac:dyDescent="0.35">
      <c r="A149" t="s">
        <v>278</v>
      </c>
      <c r="B149" t="s">
        <v>43</v>
      </c>
      <c r="C149" t="s">
        <v>44</v>
      </c>
      <c r="D149" s="105" t="s">
        <v>37</v>
      </c>
      <c r="E149" s="105" t="s">
        <v>58</v>
      </c>
      <c r="F149" s="105">
        <v>610</v>
      </c>
      <c r="G149" s="105">
        <v>520</v>
      </c>
      <c r="H149" s="105">
        <v>710</v>
      </c>
      <c r="I149" s="120">
        <v>7.7999999999999996E-3</v>
      </c>
      <c r="J149" s="120">
        <v>6.6E-3</v>
      </c>
      <c r="K149" s="120">
        <v>9.1000000000000004E-3</v>
      </c>
      <c r="L149" s="105">
        <v>358</v>
      </c>
      <c r="M149">
        <v>0.59</v>
      </c>
      <c r="N149">
        <v>0.5</v>
      </c>
      <c r="O149">
        <v>0.69</v>
      </c>
      <c r="P149" s="105">
        <v>299</v>
      </c>
      <c r="Q149">
        <v>0.49</v>
      </c>
      <c r="R149">
        <v>0.42</v>
      </c>
      <c r="S149">
        <v>0.57999999999999996</v>
      </c>
    </row>
    <row r="150" spans="1:19" x14ac:dyDescent="0.35">
      <c r="A150" t="s">
        <v>279</v>
      </c>
      <c r="B150" t="s">
        <v>43</v>
      </c>
      <c r="C150" t="s">
        <v>46</v>
      </c>
      <c r="D150" s="105" t="s">
        <v>42</v>
      </c>
      <c r="E150" s="105" t="s">
        <v>58</v>
      </c>
      <c r="F150" s="105">
        <v>290</v>
      </c>
      <c r="G150" s="105">
        <v>250</v>
      </c>
      <c r="H150" s="105">
        <v>350</v>
      </c>
      <c r="I150" s="120">
        <v>3.5000000000000001E-3</v>
      </c>
      <c r="J150" s="120">
        <v>3.0000000000000001E-3</v>
      </c>
      <c r="K150" s="120">
        <v>4.1999999999999997E-3</v>
      </c>
      <c r="L150" s="105">
        <v>174</v>
      </c>
      <c r="M150">
        <v>0.6</v>
      </c>
      <c r="N150">
        <v>0.5</v>
      </c>
      <c r="O150">
        <v>0.7</v>
      </c>
      <c r="P150" s="105">
        <v>132</v>
      </c>
      <c r="Q150">
        <v>0.46</v>
      </c>
      <c r="R150">
        <v>0.38</v>
      </c>
      <c r="S150">
        <v>0.53</v>
      </c>
    </row>
    <row r="151" spans="1:19" x14ac:dyDescent="0.35">
      <c r="A151" t="s">
        <v>280</v>
      </c>
      <c r="B151" t="s">
        <v>43</v>
      </c>
      <c r="C151" t="s">
        <v>46</v>
      </c>
      <c r="D151" s="105" t="s">
        <v>37</v>
      </c>
      <c r="E151" s="105" t="s">
        <v>58</v>
      </c>
      <c r="F151" s="105">
        <v>700</v>
      </c>
      <c r="G151" s="105">
        <v>610</v>
      </c>
      <c r="H151" s="105">
        <v>810</v>
      </c>
      <c r="I151" s="120">
        <v>8.8000000000000005E-3</v>
      </c>
      <c r="J151" s="120">
        <v>7.6E-3</v>
      </c>
      <c r="K151" s="120">
        <v>1.0200000000000001E-2</v>
      </c>
      <c r="L151" s="105">
        <v>431</v>
      </c>
      <c r="M151">
        <v>0.62</v>
      </c>
      <c r="N151">
        <v>0.53</v>
      </c>
      <c r="O151">
        <v>0.71</v>
      </c>
      <c r="P151" s="105">
        <v>359</v>
      </c>
      <c r="Q151">
        <v>0.51</v>
      </c>
      <c r="R151">
        <v>0.44</v>
      </c>
      <c r="S151">
        <v>0.59</v>
      </c>
    </row>
    <row r="152" spans="1:19" x14ac:dyDescent="0.35">
      <c r="A152" t="s">
        <v>281</v>
      </c>
      <c r="B152" t="s">
        <v>43</v>
      </c>
      <c r="C152" t="s">
        <v>47</v>
      </c>
      <c r="D152" s="105" t="s">
        <v>42</v>
      </c>
      <c r="E152" s="105" t="s">
        <v>58</v>
      </c>
      <c r="F152" s="105">
        <v>270</v>
      </c>
      <c r="G152" s="105">
        <v>230</v>
      </c>
      <c r="H152" s="105">
        <v>310</v>
      </c>
      <c r="I152" s="120">
        <v>3.2000000000000002E-3</v>
      </c>
      <c r="J152" s="120">
        <v>2.8E-3</v>
      </c>
      <c r="K152" s="120">
        <v>3.7000000000000002E-3</v>
      </c>
      <c r="L152" s="105">
        <v>196</v>
      </c>
      <c r="M152">
        <v>0.73</v>
      </c>
      <c r="N152">
        <v>0.63</v>
      </c>
      <c r="O152">
        <v>0.85</v>
      </c>
      <c r="P152" s="105">
        <v>150</v>
      </c>
      <c r="Q152">
        <v>0.56000000000000005</v>
      </c>
      <c r="R152">
        <v>0.48</v>
      </c>
      <c r="S152">
        <v>0.65</v>
      </c>
    </row>
    <row r="153" spans="1:19" x14ac:dyDescent="0.35">
      <c r="A153" t="s">
        <v>282</v>
      </c>
      <c r="B153" t="s">
        <v>43</v>
      </c>
      <c r="C153" t="s">
        <v>47</v>
      </c>
      <c r="D153" s="105" t="s">
        <v>37</v>
      </c>
      <c r="E153" s="105" t="s">
        <v>58</v>
      </c>
      <c r="F153" s="105">
        <v>660</v>
      </c>
      <c r="G153" s="105">
        <v>590</v>
      </c>
      <c r="H153" s="105">
        <v>740</v>
      </c>
      <c r="I153" s="120">
        <v>8.2000000000000007E-3</v>
      </c>
      <c r="J153" s="120">
        <v>7.3000000000000001E-3</v>
      </c>
      <c r="K153" s="120">
        <v>9.1999999999999998E-3</v>
      </c>
      <c r="L153" s="105">
        <v>485</v>
      </c>
      <c r="M153">
        <v>0.73</v>
      </c>
      <c r="N153">
        <v>0.66</v>
      </c>
      <c r="O153">
        <v>0.82</v>
      </c>
      <c r="P153" s="105">
        <v>402</v>
      </c>
      <c r="Q153">
        <v>0.61</v>
      </c>
      <c r="R153">
        <v>0.54</v>
      </c>
      <c r="S153">
        <v>0.68</v>
      </c>
    </row>
    <row r="154" spans="1:19" x14ac:dyDescent="0.35">
      <c r="A154" t="s">
        <v>283</v>
      </c>
      <c r="B154" t="s">
        <v>43</v>
      </c>
      <c r="C154" t="s">
        <v>48</v>
      </c>
      <c r="D154" s="105" t="s">
        <v>42</v>
      </c>
      <c r="E154" s="105" t="s">
        <v>58</v>
      </c>
      <c r="F154" s="105">
        <v>330</v>
      </c>
      <c r="G154" s="105">
        <v>290</v>
      </c>
      <c r="H154" s="105">
        <v>380</v>
      </c>
      <c r="I154" s="120">
        <v>3.8999999999999998E-3</v>
      </c>
      <c r="J154" s="120">
        <v>3.3999999999999998E-3</v>
      </c>
      <c r="K154" s="120">
        <v>4.4000000000000003E-3</v>
      </c>
      <c r="L154" s="105">
        <v>230</v>
      </c>
      <c r="M154">
        <v>0.7</v>
      </c>
      <c r="N154">
        <v>0.61</v>
      </c>
      <c r="O154">
        <v>0.79</v>
      </c>
      <c r="P154" s="105">
        <v>178</v>
      </c>
      <c r="Q154">
        <v>0.54</v>
      </c>
      <c r="R154">
        <v>0.47</v>
      </c>
      <c r="S154">
        <v>0.61</v>
      </c>
    </row>
    <row r="155" spans="1:19" x14ac:dyDescent="0.35">
      <c r="A155" t="s">
        <v>284</v>
      </c>
      <c r="B155" t="s">
        <v>43</v>
      </c>
      <c r="C155" t="s">
        <v>48</v>
      </c>
      <c r="D155" s="105" t="s">
        <v>37</v>
      </c>
      <c r="E155" s="105" t="s">
        <v>58</v>
      </c>
      <c r="F155" s="105">
        <v>800</v>
      </c>
      <c r="G155" s="105">
        <v>720</v>
      </c>
      <c r="H155" s="105">
        <v>890</v>
      </c>
      <c r="I155" s="120">
        <v>9.7000000000000003E-3</v>
      </c>
      <c r="J155" s="120">
        <v>8.6999999999999994E-3</v>
      </c>
      <c r="K155" s="120">
        <v>1.0800000000000001E-2</v>
      </c>
      <c r="L155" s="105">
        <v>564</v>
      </c>
      <c r="M155">
        <v>0.71</v>
      </c>
      <c r="N155">
        <v>0.63</v>
      </c>
      <c r="O155">
        <v>0.78</v>
      </c>
      <c r="P155" s="105">
        <v>464</v>
      </c>
      <c r="Q155">
        <v>0.57999999999999996</v>
      </c>
      <c r="R155">
        <v>0.52</v>
      </c>
      <c r="S155">
        <v>0.64</v>
      </c>
    </row>
    <row r="156" spans="1:19" x14ac:dyDescent="0.35">
      <c r="A156" t="s">
        <v>285</v>
      </c>
      <c r="B156" t="s">
        <v>43</v>
      </c>
      <c r="C156" t="s">
        <v>49</v>
      </c>
      <c r="D156" s="105" t="s">
        <v>42</v>
      </c>
      <c r="E156" s="105" t="s">
        <v>58</v>
      </c>
      <c r="F156" s="105">
        <v>370</v>
      </c>
      <c r="G156" s="105">
        <v>320</v>
      </c>
      <c r="H156" s="105">
        <v>420</v>
      </c>
      <c r="I156" s="120">
        <v>4.1999999999999997E-3</v>
      </c>
      <c r="J156" s="120">
        <v>3.7000000000000002E-3</v>
      </c>
      <c r="K156" s="120">
        <v>4.7999999999999996E-3</v>
      </c>
      <c r="L156" s="105">
        <v>267</v>
      </c>
      <c r="M156">
        <v>0.72</v>
      </c>
      <c r="N156">
        <v>0.64</v>
      </c>
      <c r="O156">
        <v>0.83</v>
      </c>
      <c r="P156" s="105">
        <v>211</v>
      </c>
      <c r="Q156">
        <v>0.56999999999999995</v>
      </c>
      <c r="R156">
        <v>0.5</v>
      </c>
      <c r="S156">
        <v>0.66</v>
      </c>
    </row>
    <row r="157" spans="1:19" x14ac:dyDescent="0.35">
      <c r="A157" t="s">
        <v>286</v>
      </c>
      <c r="B157" t="s">
        <v>43</v>
      </c>
      <c r="C157" t="s">
        <v>49</v>
      </c>
      <c r="D157" s="105" t="s">
        <v>37</v>
      </c>
      <c r="E157" s="105" t="s">
        <v>58</v>
      </c>
      <c r="F157" s="105">
        <v>900</v>
      </c>
      <c r="G157" s="105">
        <v>810</v>
      </c>
      <c r="H157" s="105">
        <v>1000</v>
      </c>
      <c r="I157" s="120">
        <v>1.0800000000000001E-2</v>
      </c>
      <c r="J157" s="120">
        <v>9.7999999999999997E-3</v>
      </c>
      <c r="K157" s="120">
        <v>1.2E-2</v>
      </c>
      <c r="L157" s="105">
        <v>666</v>
      </c>
      <c r="M157">
        <v>0.74</v>
      </c>
      <c r="N157">
        <v>0.67</v>
      </c>
      <c r="O157">
        <v>0.82</v>
      </c>
      <c r="P157" s="105">
        <v>546</v>
      </c>
      <c r="Q157">
        <v>0.61</v>
      </c>
      <c r="R157">
        <v>0.55000000000000004</v>
      </c>
      <c r="S157">
        <v>0.67</v>
      </c>
    </row>
    <row r="158" spans="1:19" x14ac:dyDescent="0.35">
      <c r="A158" t="s">
        <v>287</v>
      </c>
      <c r="B158" t="s">
        <v>43</v>
      </c>
      <c r="C158" t="s">
        <v>124</v>
      </c>
      <c r="D158" s="105" t="s">
        <v>42</v>
      </c>
      <c r="E158" s="105" t="s">
        <v>58</v>
      </c>
      <c r="F158" s="105">
        <v>420</v>
      </c>
      <c r="G158" s="105">
        <v>370</v>
      </c>
      <c r="H158" s="105">
        <v>480</v>
      </c>
      <c r="I158" s="120">
        <v>4.7999999999999996E-3</v>
      </c>
      <c r="J158" s="120">
        <v>4.1999999999999997E-3</v>
      </c>
      <c r="K158" s="120">
        <v>5.4999999999999997E-3</v>
      </c>
      <c r="L158" s="105">
        <v>276</v>
      </c>
      <c r="M158">
        <v>0.66</v>
      </c>
      <c r="N158">
        <v>0.57999999999999996</v>
      </c>
      <c r="O158">
        <v>0.75</v>
      </c>
      <c r="P158" s="105">
        <v>220</v>
      </c>
      <c r="Q158">
        <v>0.52</v>
      </c>
      <c r="R158">
        <v>0.46</v>
      </c>
      <c r="S158">
        <v>0.59</v>
      </c>
    </row>
    <row r="159" spans="1:19" x14ac:dyDescent="0.35">
      <c r="A159" t="s">
        <v>288</v>
      </c>
      <c r="B159" t="s">
        <v>43</v>
      </c>
      <c r="C159" t="s">
        <v>124</v>
      </c>
      <c r="D159" s="105" t="s">
        <v>37</v>
      </c>
      <c r="E159" s="105" t="s">
        <v>58</v>
      </c>
      <c r="F159" s="105">
        <v>1100</v>
      </c>
      <c r="G159" s="105">
        <v>990</v>
      </c>
      <c r="H159" s="105">
        <v>1200</v>
      </c>
      <c r="I159" s="120">
        <v>1.2999999999999999E-2</v>
      </c>
      <c r="J159" s="120">
        <v>1.18E-2</v>
      </c>
      <c r="K159" s="120">
        <v>1.44E-2</v>
      </c>
      <c r="L159" s="105">
        <v>759</v>
      </c>
      <c r="M159">
        <v>0.69</v>
      </c>
      <c r="N159">
        <v>0.63</v>
      </c>
      <c r="O159">
        <v>0.77</v>
      </c>
      <c r="P159" s="105">
        <v>637</v>
      </c>
      <c r="Q159">
        <v>0.57999999999999996</v>
      </c>
      <c r="R159">
        <v>0.53</v>
      </c>
      <c r="S159">
        <v>0.64</v>
      </c>
    </row>
    <row r="160" spans="1:19" x14ac:dyDescent="0.35">
      <c r="A160" t="s">
        <v>289</v>
      </c>
      <c r="B160" t="s">
        <v>43</v>
      </c>
      <c r="C160" t="s">
        <v>125</v>
      </c>
      <c r="D160" s="105" t="s">
        <v>42</v>
      </c>
      <c r="E160" s="105" t="s">
        <v>58</v>
      </c>
      <c r="F160" s="105">
        <v>450</v>
      </c>
      <c r="G160" s="105">
        <v>390</v>
      </c>
      <c r="H160" s="105">
        <v>520</v>
      </c>
      <c r="I160" s="120">
        <v>5.1000000000000004E-3</v>
      </c>
      <c r="J160" s="120">
        <v>4.4000000000000003E-3</v>
      </c>
      <c r="K160" s="120">
        <v>5.7999999999999996E-3</v>
      </c>
      <c r="L160" s="105">
        <v>310</v>
      </c>
      <c r="M160">
        <v>0.69</v>
      </c>
      <c r="N160">
        <v>0.6</v>
      </c>
      <c r="O160">
        <v>0.79</v>
      </c>
      <c r="P160" s="105">
        <v>254</v>
      </c>
      <c r="Q160">
        <v>0.56000000000000005</v>
      </c>
      <c r="R160">
        <v>0.49</v>
      </c>
      <c r="S160">
        <v>0.65</v>
      </c>
    </row>
    <row r="161" spans="1:19" x14ac:dyDescent="0.35">
      <c r="A161" t="s">
        <v>290</v>
      </c>
      <c r="B161" t="s">
        <v>43</v>
      </c>
      <c r="C161" t="s">
        <v>125</v>
      </c>
      <c r="D161" s="105" t="s">
        <v>37</v>
      </c>
      <c r="E161" s="105" t="s">
        <v>58</v>
      </c>
      <c r="F161" s="105">
        <v>1200</v>
      </c>
      <c r="G161" s="105">
        <v>1100</v>
      </c>
      <c r="H161" s="105">
        <v>1300</v>
      </c>
      <c r="I161" s="120">
        <v>1.38E-2</v>
      </c>
      <c r="J161" s="120">
        <v>1.2500000000000001E-2</v>
      </c>
      <c r="K161" s="120">
        <v>1.5299999999999999E-2</v>
      </c>
      <c r="L161" s="105">
        <v>840</v>
      </c>
      <c r="M161">
        <v>0.7</v>
      </c>
      <c r="N161">
        <v>0.65</v>
      </c>
      <c r="O161">
        <v>0.76</v>
      </c>
      <c r="P161" s="105">
        <v>717</v>
      </c>
      <c r="Q161">
        <v>0.6</v>
      </c>
      <c r="R161">
        <v>0.55000000000000004</v>
      </c>
      <c r="S161">
        <v>0.65</v>
      </c>
    </row>
    <row r="162" spans="1:19" x14ac:dyDescent="0.35">
      <c r="A162" t="s">
        <v>291</v>
      </c>
      <c r="B162" t="s">
        <v>43</v>
      </c>
      <c r="C162" t="s">
        <v>126</v>
      </c>
      <c r="D162" s="105" t="s">
        <v>42</v>
      </c>
      <c r="E162" s="105" t="s">
        <v>58</v>
      </c>
      <c r="F162" s="105">
        <v>490</v>
      </c>
      <c r="G162" s="105">
        <v>430</v>
      </c>
      <c r="H162" s="105">
        <v>560</v>
      </c>
      <c r="I162" s="120">
        <v>5.4000000000000003E-3</v>
      </c>
      <c r="J162" s="120">
        <v>4.7999999999999996E-3</v>
      </c>
      <c r="K162" s="120">
        <v>6.1999999999999998E-3</v>
      </c>
      <c r="L162" s="105">
        <v>348</v>
      </c>
      <c r="M162">
        <v>0.71</v>
      </c>
      <c r="N162">
        <v>0.62</v>
      </c>
      <c r="O162">
        <v>0.81</v>
      </c>
      <c r="P162" s="105">
        <v>286</v>
      </c>
      <c r="Q162">
        <v>0.57999999999999996</v>
      </c>
      <c r="R162">
        <v>0.51</v>
      </c>
      <c r="S162">
        <v>0.67</v>
      </c>
    </row>
    <row r="163" spans="1:19" x14ac:dyDescent="0.35">
      <c r="A163" t="s">
        <v>292</v>
      </c>
      <c r="B163" t="s">
        <v>43</v>
      </c>
      <c r="C163" t="s">
        <v>126</v>
      </c>
      <c r="D163" s="105" t="s">
        <v>37</v>
      </c>
      <c r="E163" s="105" t="s">
        <v>58</v>
      </c>
      <c r="F163" s="105">
        <v>1300</v>
      </c>
      <c r="G163" s="105">
        <v>1200</v>
      </c>
      <c r="H163" s="105">
        <v>1400</v>
      </c>
      <c r="I163" s="120">
        <v>1.49E-2</v>
      </c>
      <c r="J163" s="120">
        <v>1.34E-2</v>
      </c>
      <c r="K163" s="120">
        <v>1.6500000000000001E-2</v>
      </c>
      <c r="L163" s="105">
        <v>947</v>
      </c>
      <c r="M163">
        <v>0.73</v>
      </c>
      <c r="N163">
        <v>0.68</v>
      </c>
      <c r="O163">
        <v>0.79</v>
      </c>
      <c r="P163" s="105">
        <v>821</v>
      </c>
      <c r="Q163">
        <v>0.63</v>
      </c>
      <c r="R163">
        <v>0.59</v>
      </c>
      <c r="S163">
        <v>0.68</v>
      </c>
    </row>
    <row r="164" spans="1:19" x14ac:dyDescent="0.35">
      <c r="A164" t="s">
        <v>293</v>
      </c>
      <c r="B164" t="s">
        <v>127</v>
      </c>
      <c r="C164" t="s">
        <v>39</v>
      </c>
      <c r="D164" s="105" t="s">
        <v>42</v>
      </c>
      <c r="E164" s="105" t="s">
        <v>56</v>
      </c>
      <c r="F164" s="105">
        <v>730</v>
      </c>
      <c r="G164" s="105">
        <v>660</v>
      </c>
      <c r="H164" s="105">
        <v>820</v>
      </c>
      <c r="I164" s="120">
        <v>9.1999999999999998E-3</v>
      </c>
      <c r="J164" s="120">
        <v>8.2000000000000007E-3</v>
      </c>
      <c r="K164" s="120">
        <v>1.03E-2</v>
      </c>
      <c r="L164" s="105">
        <v>476</v>
      </c>
      <c r="M164">
        <v>0.65</v>
      </c>
      <c r="N164">
        <v>0.57999999999999996</v>
      </c>
      <c r="O164">
        <v>0.72</v>
      </c>
      <c r="P164" s="105">
        <v>432</v>
      </c>
      <c r="Q164">
        <v>0.59</v>
      </c>
      <c r="R164">
        <v>0.53</v>
      </c>
      <c r="S164">
        <v>0.65</v>
      </c>
    </row>
    <row r="165" spans="1:19" x14ac:dyDescent="0.35">
      <c r="A165" t="s">
        <v>294</v>
      </c>
      <c r="B165" t="s">
        <v>127</v>
      </c>
      <c r="C165" t="s">
        <v>39</v>
      </c>
      <c r="D165" s="105" t="s">
        <v>37</v>
      </c>
      <c r="E165" s="105" t="s">
        <v>56</v>
      </c>
      <c r="F165" s="105">
        <v>1300</v>
      </c>
      <c r="G165" s="105">
        <v>1200</v>
      </c>
      <c r="H165" s="105">
        <v>1500</v>
      </c>
      <c r="I165" s="120">
        <v>1.7100000000000001E-2</v>
      </c>
      <c r="J165" s="120">
        <v>1.5100000000000001E-2</v>
      </c>
      <c r="K165" s="120">
        <v>1.9400000000000001E-2</v>
      </c>
      <c r="L165" s="105">
        <v>659</v>
      </c>
      <c r="M165">
        <v>0.51</v>
      </c>
      <c r="N165">
        <v>0.44</v>
      </c>
      <c r="O165">
        <v>0.55000000000000004</v>
      </c>
      <c r="P165" s="105">
        <v>524</v>
      </c>
      <c r="Q165">
        <v>0.4</v>
      </c>
      <c r="R165">
        <v>0.35</v>
      </c>
      <c r="S165">
        <v>0.44</v>
      </c>
    </row>
    <row r="166" spans="1:19" x14ac:dyDescent="0.35">
      <c r="A166" t="s">
        <v>295</v>
      </c>
      <c r="B166" t="s">
        <v>127</v>
      </c>
      <c r="C166" t="s">
        <v>44</v>
      </c>
      <c r="D166" s="105" t="s">
        <v>42</v>
      </c>
      <c r="E166" s="105" t="s">
        <v>56</v>
      </c>
      <c r="F166" s="105">
        <v>660</v>
      </c>
      <c r="G166" s="105">
        <v>590</v>
      </c>
      <c r="H166" s="105">
        <v>740</v>
      </c>
      <c r="I166" s="120">
        <v>8.3000000000000001E-3</v>
      </c>
      <c r="J166" s="120">
        <v>7.4999999999999997E-3</v>
      </c>
      <c r="K166" s="120">
        <v>9.2999999999999992E-3</v>
      </c>
      <c r="L166" s="105">
        <v>430</v>
      </c>
      <c r="M166">
        <v>0.65</v>
      </c>
      <c r="N166">
        <v>0.57999999999999996</v>
      </c>
      <c r="O166">
        <v>0.73</v>
      </c>
      <c r="P166" s="105">
        <v>347</v>
      </c>
      <c r="Q166">
        <v>0.53</v>
      </c>
      <c r="R166">
        <v>0.47</v>
      </c>
      <c r="S166">
        <v>0.59</v>
      </c>
    </row>
    <row r="167" spans="1:19" x14ac:dyDescent="0.35">
      <c r="A167" t="s">
        <v>296</v>
      </c>
      <c r="B167" t="s">
        <v>127</v>
      </c>
      <c r="C167" t="s">
        <v>44</v>
      </c>
      <c r="D167" s="105" t="s">
        <v>37</v>
      </c>
      <c r="E167" s="105" t="s">
        <v>56</v>
      </c>
      <c r="F167" s="105">
        <v>1200</v>
      </c>
      <c r="G167" s="105">
        <v>1100</v>
      </c>
      <c r="H167" s="105">
        <v>1400</v>
      </c>
      <c r="I167" s="120">
        <v>1.55E-2</v>
      </c>
      <c r="J167" s="120">
        <v>1.37E-2</v>
      </c>
      <c r="K167" s="120">
        <v>1.7600000000000001E-2</v>
      </c>
      <c r="L167" s="105">
        <v>593</v>
      </c>
      <c r="M167">
        <v>0.49</v>
      </c>
      <c r="N167">
        <v>0.42</v>
      </c>
      <c r="O167">
        <v>0.54</v>
      </c>
      <c r="P167" s="105">
        <v>481</v>
      </c>
      <c r="Q167">
        <v>0.4</v>
      </c>
      <c r="R167">
        <v>0.34</v>
      </c>
      <c r="S167">
        <v>0.44</v>
      </c>
    </row>
    <row r="168" spans="1:19" x14ac:dyDescent="0.35">
      <c r="A168" t="s">
        <v>297</v>
      </c>
      <c r="B168" t="s">
        <v>127</v>
      </c>
      <c r="C168" t="s">
        <v>46</v>
      </c>
      <c r="D168" s="105" t="s">
        <v>42</v>
      </c>
      <c r="E168" s="105" t="s">
        <v>56</v>
      </c>
      <c r="F168" s="105">
        <v>580</v>
      </c>
      <c r="G168" s="105">
        <v>520</v>
      </c>
      <c r="H168" s="105">
        <v>650</v>
      </c>
      <c r="I168" s="120">
        <v>7.4000000000000003E-3</v>
      </c>
      <c r="J168" s="120">
        <v>6.6E-3</v>
      </c>
      <c r="K168" s="120">
        <v>8.3000000000000001E-3</v>
      </c>
      <c r="L168" s="105">
        <v>384</v>
      </c>
      <c r="M168">
        <v>0.66</v>
      </c>
      <c r="N168">
        <v>0.59</v>
      </c>
      <c r="O168">
        <v>0.74</v>
      </c>
      <c r="P168" s="105">
        <v>327</v>
      </c>
      <c r="Q168">
        <v>0.56000000000000005</v>
      </c>
      <c r="R168">
        <v>0.5</v>
      </c>
      <c r="S168">
        <v>0.63</v>
      </c>
    </row>
    <row r="169" spans="1:19" x14ac:dyDescent="0.35">
      <c r="A169" t="s">
        <v>298</v>
      </c>
      <c r="B169" t="s">
        <v>127</v>
      </c>
      <c r="C169" t="s">
        <v>46</v>
      </c>
      <c r="D169" s="105" t="s">
        <v>37</v>
      </c>
      <c r="E169" s="105" t="s">
        <v>56</v>
      </c>
      <c r="F169" s="105">
        <v>1100</v>
      </c>
      <c r="G169" s="105">
        <v>950</v>
      </c>
      <c r="H169" s="105">
        <v>1200</v>
      </c>
      <c r="I169" s="120">
        <v>1.38E-2</v>
      </c>
      <c r="J169" s="120">
        <v>1.2200000000000001E-2</v>
      </c>
      <c r="K169" s="120">
        <v>1.5599999999999999E-2</v>
      </c>
      <c r="L169" s="105">
        <v>538</v>
      </c>
      <c r="M169">
        <v>0.49</v>
      </c>
      <c r="N169">
        <v>0.45</v>
      </c>
      <c r="O169">
        <v>0.56999999999999995</v>
      </c>
      <c r="P169" s="105">
        <v>443</v>
      </c>
      <c r="Q169">
        <v>0.4</v>
      </c>
      <c r="R169">
        <v>0.37</v>
      </c>
      <c r="S169">
        <v>0.47</v>
      </c>
    </row>
    <row r="170" spans="1:19" x14ac:dyDescent="0.35">
      <c r="A170" t="s">
        <v>299</v>
      </c>
      <c r="B170" t="s">
        <v>127</v>
      </c>
      <c r="C170" t="s">
        <v>47</v>
      </c>
      <c r="D170" s="105" t="s">
        <v>42</v>
      </c>
      <c r="E170" s="105" t="s">
        <v>56</v>
      </c>
      <c r="F170" s="105">
        <v>530</v>
      </c>
      <c r="G170" s="105">
        <v>470</v>
      </c>
      <c r="H170" s="105">
        <v>590</v>
      </c>
      <c r="I170" s="120">
        <v>6.7999999999999996E-3</v>
      </c>
      <c r="J170" s="120">
        <v>6.1000000000000004E-3</v>
      </c>
      <c r="K170" s="120">
        <v>7.6E-3</v>
      </c>
      <c r="L170" s="105">
        <v>352</v>
      </c>
      <c r="M170">
        <v>0.66</v>
      </c>
      <c r="N170">
        <v>0.6</v>
      </c>
      <c r="O170">
        <v>0.75</v>
      </c>
      <c r="P170" s="105">
        <v>294</v>
      </c>
      <c r="Q170">
        <v>0.55000000000000004</v>
      </c>
      <c r="R170">
        <v>0.5</v>
      </c>
      <c r="S170">
        <v>0.63</v>
      </c>
    </row>
    <row r="171" spans="1:19" x14ac:dyDescent="0.35">
      <c r="A171" t="s">
        <v>300</v>
      </c>
      <c r="B171" t="s">
        <v>127</v>
      </c>
      <c r="C171" t="s">
        <v>47</v>
      </c>
      <c r="D171" s="105" t="s">
        <v>37</v>
      </c>
      <c r="E171" s="105" t="s">
        <v>56</v>
      </c>
      <c r="F171" s="105">
        <v>970</v>
      </c>
      <c r="G171" s="105">
        <v>870</v>
      </c>
      <c r="H171" s="105">
        <v>1100</v>
      </c>
      <c r="I171" s="120">
        <v>1.26E-2</v>
      </c>
      <c r="J171" s="120">
        <v>1.12E-2</v>
      </c>
      <c r="K171" s="120">
        <v>1.4200000000000001E-2</v>
      </c>
      <c r="L171" s="105">
        <v>493</v>
      </c>
      <c r="M171">
        <v>0.51</v>
      </c>
      <c r="N171">
        <v>0.45</v>
      </c>
      <c r="O171">
        <v>0.56999999999999995</v>
      </c>
      <c r="P171" s="105">
        <v>391</v>
      </c>
      <c r="Q171">
        <v>0.4</v>
      </c>
      <c r="R171">
        <v>0.36</v>
      </c>
      <c r="S171">
        <v>0.45</v>
      </c>
    </row>
    <row r="172" spans="1:19" x14ac:dyDescent="0.35">
      <c r="A172" t="s">
        <v>301</v>
      </c>
      <c r="B172" t="s">
        <v>127</v>
      </c>
      <c r="C172" t="s">
        <v>48</v>
      </c>
      <c r="D172" s="105" t="s">
        <v>42</v>
      </c>
      <c r="E172" s="105" t="s">
        <v>56</v>
      </c>
      <c r="F172" s="105">
        <v>510</v>
      </c>
      <c r="G172" s="105">
        <v>450</v>
      </c>
      <c r="H172" s="105">
        <v>570</v>
      </c>
      <c r="I172" s="120">
        <v>6.6E-3</v>
      </c>
      <c r="J172" s="120">
        <v>5.8999999999999999E-3</v>
      </c>
      <c r="K172" s="120">
        <v>7.4000000000000003E-3</v>
      </c>
      <c r="L172" s="105">
        <v>321</v>
      </c>
      <c r="M172">
        <v>0.63</v>
      </c>
      <c r="N172">
        <v>0.56000000000000005</v>
      </c>
      <c r="O172">
        <v>0.71</v>
      </c>
      <c r="P172" s="105">
        <v>261</v>
      </c>
      <c r="Q172">
        <v>0.51</v>
      </c>
      <c r="R172">
        <v>0.46</v>
      </c>
      <c r="S172">
        <v>0.57999999999999996</v>
      </c>
    </row>
    <row r="173" spans="1:19" x14ac:dyDescent="0.35">
      <c r="A173" t="s">
        <v>302</v>
      </c>
      <c r="B173" t="s">
        <v>127</v>
      </c>
      <c r="C173" t="s">
        <v>48</v>
      </c>
      <c r="D173" s="105" t="s">
        <v>37</v>
      </c>
      <c r="E173" s="105" t="s">
        <v>56</v>
      </c>
      <c r="F173" s="105">
        <v>970</v>
      </c>
      <c r="G173" s="105">
        <v>860</v>
      </c>
      <c r="H173" s="105">
        <v>1100</v>
      </c>
      <c r="I173" s="120">
        <v>1.26E-2</v>
      </c>
      <c r="J173" s="121">
        <v>1.12E-2</v>
      </c>
      <c r="K173" s="120">
        <v>1.41E-2</v>
      </c>
      <c r="L173" s="105">
        <v>460</v>
      </c>
      <c r="M173">
        <v>0.47</v>
      </c>
      <c r="N173">
        <v>0.42</v>
      </c>
      <c r="O173">
        <v>0.53</v>
      </c>
      <c r="P173" s="105">
        <v>353</v>
      </c>
      <c r="Q173">
        <v>0.36</v>
      </c>
      <c r="R173">
        <v>0.32</v>
      </c>
      <c r="S173">
        <v>0.41</v>
      </c>
    </row>
    <row r="174" spans="1:19" x14ac:dyDescent="0.35">
      <c r="A174" t="s">
        <v>303</v>
      </c>
      <c r="B174" t="s">
        <v>127</v>
      </c>
      <c r="C174" t="s">
        <v>49</v>
      </c>
      <c r="D174" s="105" t="s">
        <v>42</v>
      </c>
      <c r="E174" s="105" t="s">
        <v>56</v>
      </c>
      <c r="F174" s="105">
        <v>520</v>
      </c>
      <c r="G174" s="105">
        <v>460</v>
      </c>
      <c r="H174" s="105">
        <v>590</v>
      </c>
      <c r="I174" s="120">
        <v>6.7000000000000002E-3</v>
      </c>
      <c r="J174" s="120">
        <v>5.8999999999999999E-3</v>
      </c>
      <c r="K174" s="120">
        <v>7.7000000000000002E-3</v>
      </c>
      <c r="L174" s="105">
        <v>289</v>
      </c>
      <c r="M174">
        <v>0.56000000000000005</v>
      </c>
      <c r="N174">
        <v>0.49</v>
      </c>
      <c r="O174">
        <v>0.63</v>
      </c>
      <c r="P174" s="105">
        <v>216</v>
      </c>
      <c r="Q174">
        <v>0.42</v>
      </c>
      <c r="R174">
        <v>0.37</v>
      </c>
      <c r="S174">
        <v>0.47</v>
      </c>
    </row>
    <row r="175" spans="1:19" x14ac:dyDescent="0.35">
      <c r="A175" t="s">
        <v>304</v>
      </c>
      <c r="B175" t="s">
        <v>127</v>
      </c>
      <c r="C175" t="s">
        <v>49</v>
      </c>
      <c r="D175" s="105" t="s">
        <v>37</v>
      </c>
      <c r="E175" s="105" t="s">
        <v>56</v>
      </c>
      <c r="F175" s="105">
        <v>1100</v>
      </c>
      <c r="G175" s="105">
        <v>940</v>
      </c>
      <c r="H175" s="105">
        <v>1200</v>
      </c>
      <c r="I175" s="120">
        <v>1.38E-2</v>
      </c>
      <c r="J175" s="120">
        <v>1.2200000000000001E-2</v>
      </c>
      <c r="K175" s="120">
        <v>1.5699999999999999E-2</v>
      </c>
      <c r="L175" s="105">
        <v>442</v>
      </c>
      <c r="M175">
        <v>0.4</v>
      </c>
      <c r="N175">
        <v>0.37</v>
      </c>
      <c r="O175">
        <v>0.47</v>
      </c>
      <c r="P175" s="105">
        <v>318</v>
      </c>
      <c r="Q175">
        <v>0.28999999999999998</v>
      </c>
      <c r="R175">
        <v>0.27</v>
      </c>
      <c r="S175">
        <v>0.34</v>
      </c>
    </row>
    <row r="176" spans="1:19" x14ac:dyDescent="0.35">
      <c r="A176" t="s">
        <v>305</v>
      </c>
      <c r="B176" t="s">
        <v>127</v>
      </c>
      <c r="C176" t="s">
        <v>124</v>
      </c>
      <c r="D176" s="105" t="s">
        <v>42</v>
      </c>
      <c r="E176" s="105" t="s">
        <v>56</v>
      </c>
      <c r="F176" s="105">
        <v>510</v>
      </c>
      <c r="G176" s="105">
        <v>450</v>
      </c>
      <c r="H176" s="105">
        <v>580</v>
      </c>
      <c r="I176" s="120">
        <v>6.6E-3</v>
      </c>
      <c r="J176" s="120">
        <v>5.7999999999999996E-3</v>
      </c>
      <c r="K176" s="120">
        <v>7.4999999999999997E-3</v>
      </c>
      <c r="L176" s="105">
        <v>271</v>
      </c>
      <c r="M176">
        <v>0.53</v>
      </c>
      <c r="N176">
        <v>0.47</v>
      </c>
      <c r="O176">
        <v>0.6</v>
      </c>
      <c r="P176" s="105">
        <v>190</v>
      </c>
      <c r="Q176">
        <v>0.37</v>
      </c>
      <c r="R176">
        <v>0.33</v>
      </c>
      <c r="S176">
        <v>0.42</v>
      </c>
    </row>
    <row r="177" spans="1:19" x14ac:dyDescent="0.35">
      <c r="A177" t="s">
        <v>306</v>
      </c>
      <c r="B177" t="s">
        <v>127</v>
      </c>
      <c r="C177" t="s">
        <v>124</v>
      </c>
      <c r="D177" s="105" t="s">
        <v>37</v>
      </c>
      <c r="E177" s="105" t="s">
        <v>56</v>
      </c>
      <c r="F177" s="105">
        <v>1100</v>
      </c>
      <c r="G177" s="105">
        <v>940</v>
      </c>
      <c r="H177" s="105">
        <v>1200</v>
      </c>
      <c r="I177" s="120">
        <v>1.3899999999999999E-2</v>
      </c>
      <c r="J177" s="120">
        <v>1.2200000000000001E-2</v>
      </c>
      <c r="K177" s="120">
        <v>1.5900000000000001E-2</v>
      </c>
      <c r="L177" s="105">
        <v>429</v>
      </c>
      <c r="M177">
        <v>0.39</v>
      </c>
      <c r="N177">
        <v>0.36</v>
      </c>
      <c r="O177">
        <v>0.46</v>
      </c>
      <c r="P177" s="105">
        <v>316</v>
      </c>
      <c r="Q177">
        <v>0.28999999999999998</v>
      </c>
      <c r="R177">
        <v>0.26</v>
      </c>
      <c r="S177">
        <v>0.34</v>
      </c>
    </row>
    <row r="178" spans="1:19" x14ac:dyDescent="0.35">
      <c r="A178" t="s">
        <v>307</v>
      </c>
      <c r="B178" t="s">
        <v>127</v>
      </c>
      <c r="C178" t="s">
        <v>125</v>
      </c>
      <c r="D178" s="105" t="s">
        <v>42</v>
      </c>
      <c r="E178" s="105" t="s">
        <v>56</v>
      </c>
      <c r="F178" s="105">
        <v>460</v>
      </c>
      <c r="G178" s="105">
        <v>400</v>
      </c>
      <c r="H178" s="105">
        <v>520</v>
      </c>
      <c r="I178" s="120">
        <v>5.8999999999999999E-3</v>
      </c>
      <c r="J178" s="120">
        <v>5.1999999999999998E-3</v>
      </c>
      <c r="K178" s="120">
        <v>6.7999999999999996E-3</v>
      </c>
      <c r="L178" s="105">
        <v>255</v>
      </c>
      <c r="M178">
        <v>0.55000000000000004</v>
      </c>
      <c r="N178">
        <v>0.49</v>
      </c>
      <c r="O178">
        <v>0.64</v>
      </c>
      <c r="P178" s="105">
        <v>194</v>
      </c>
      <c r="Q178">
        <v>0.42</v>
      </c>
      <c r="R178">
        <v>0.37</v>
      </c>
      <c r="S178">
        <v>0.49</v>
      </c>
    </row>
    <row r="179" spans="1:19" x14ac:dyDescent="0.35">
      <c r="A179" t="s">
        <v>308</v>
      </c>
      <c r="B179" t="s">
        <v>127</v>
      </c>
      <c r="C179" t="s">
        <v>125</v>
      </c>
      <c r="D179" s="105" t="s">
        <v>37</v>
      </c>
      <c r="E179" s="105" t="s">
        <v>56</v>
      </c>
      <c r="F179" s="105">
        <v>970</v>
      </c>
      <c r="G179" s="105">
        <v>850</v>
      </c>
      <c r="H179" s="105">
        <v>1100</v>
      </c>
      <c r="I179" s="120">
        <v>1.2500000000000001E-2</v>
      </c>
      <c r="J179" s="120">
        <v>1.09E-2</v>
      </c>
      <c r="K179" s="120">
        <v>1.44E-2</v>
      </c>
      <c r="L179" s="105">
        <v>421</v>
      </c>
      <c r="M179">
        <v>0.43</v>
      </c>
      <c r="N179">
        <v>0.38</v>
      </c>
      <c r="O179">
        <v>0.5</v>
      </c>
      <c r="P179" s="105">
        <v>335</v>
      </c>
      <c r="Q179">
        <v>0.35</v>
      </c>
      <c r="R179">
        <v>0.3</v>
      </c>
      <c r="S179">
        <v>0.39</v>
      </c>
    </row>
    <row r="180" spans="1:19" x14ac:dyDescent="0.35">
      <c r="A180" t="s">
        <v>309</v>
      </c>
      <c r="B180" t="s">
        <v>127</v>
      </c>
      <c r="C180" t="s">
        <v>126</v>
      </c>
      <c r="D180" s="105" t="s">
        <v>42</v>
      </c>
      <c r="E180" s="105" t="s">
        <v>56</v>
      </c>
      <c r="F180" s="105">
        <v>390</v>
      </c>
      <c r="G180" s="105">
        <v>340</v>
      </c>
      <c r="H180" s="105">
        <v>450</v>
      </c>
      <c r="I180" s="120">
        <v>5.0000000000000001E-3</v>
      </c>
      <c r="J180" s="120">
        <v>4.4000000000000003E-3</v>
      </c>
      <c r="K180" s="120">
        <v>5.7999999999999996E-3</v>
      </c>
      <c r="L180" s="105">
        <v>234</v>
      </c>
      <c r="M180">
        <v>0.6</v>
      </c>
      <c r="N180">
        <v>0.52</v>
      </c>
      <c r="O180">
        <v>0.69</v>
      </c>
      <c r="P180" s="105">
        <v>180</v>
      </c>
      <c r="Q180">
        <v>0.46</v>
      </c>
      <c r="R180">
        <v>0.4</v>
      </c>
      <c r="S180">
        <v>0.53</v>
      </c>
    </row>
    <row r="181" spans="1:19" x14ac:dyDescent="0.35">
      <c r="A181" t="s">
        <v>310</v>
      </c>
      <c r="B181" t="s">
        <v>127</v>
      </c>
      <c r="C181" t="s">
        <v>126</v>
      </c>
      <c r="D181" s="105" t="s">
        <v>37</v>
      </c>
      <c r="E181" s="105" t="s">
        <v>56</v>
      </c>
      <c r="F181" s="105">
        <v>820</v>
      </c>
      <c r="G181" s="105">
        <v>720</v>
      </c>
      <c r="H181" s="105">
        <v>940</v>
      </c>
      <c r="I181" s="120">
        <v>1.0699999999999999E-2</v>
      </c>
      <c r="J181" s="120">
        <v>9.2999999999999992E-3</v>
      </c>
      <c r="K181" s="120">
        <v>1.23E-2</v>
      </c>
      <c r="L181" s="105">
        <v>399</v>
      </c>
      <c r="M181">
        <v>0.49</v>
      </c>
      <c r="N181">
        <v>0.42</v>
      </c>
      <c r="O181">
        <v>0.55000000000000004</v>
      </c>
      <c r="P181" s="105">
        <v>305</v>
      </c>
      <c r="Q181">
        <v>0.37</v>
      </c>
      <c r="R181">
        <v>0.32</v>
      </c>
      <c r="S181">
        <v>0.42</v>
      </c>
    </row>
    <row r="182" spans="1:19" x14ac:dyDescent="0.35">
      <c r="A182" t="s">
        <v>311</v>
      </c>
      <c r="B182" t="s">
        <v>127</v>
      </c>
      <c r="C182" t="s">
        <v>39</v>
      </c>
      <c r="D182" s="105" t="s">
        <v>42</v>
      </c>
      <c r="E182" s="105" t="s">
        <v>57</v>
      </c>
      <c r="F182" s="105">
        <v>840</v>
      </c>
      <c r="G182" s="105">
        <v>760</v>
      </c>
      <c r="H182" s="105">
        <v>920</v>
      </c>
      <c r="I182" s="120">
        <v>1.18E-2</v>
      </c>
      <c r="J182" s="120">
        <v>1.0699999999999999E-2</v>
      </c>
      <c r="K182" s="120">
        <v>1.29E-2</v>
      </c>
      <c r="L182" s="105">
        <v>615</v>
      </c>
      <c r="M182">
        <v>0.73</v>
      </c>
      <c r="N182">
        <v>0.67</v>
      </c>
      <c r="O182">
        <v>0.81</v>
      </c>
      <c r="P182" s="105">
        <v>494</v>
      </c>
      <c r="Q182">
        <v>0.59</v>
      </c>
      <c r="R182">
        <v>0.54</v>
      </c>
      <c r="S182">
        <v>0.65</v>
      </c>
    </row>
    <row r="183" spans="1:19" x14ac:dyDescent="0.35">
      <c r="A183" t="s">
        <v>312</v>
      </c>
      <c r="B183" t="s">
        <v>127</v>
      </c>
      <c r="C183" t="s">
        <v>39</v>
      </c>
      <c r="D183" s="105" t="s">
        <v>37</v>
      </c>
      <c r="E183" s="105" t="s">
        <v>57</v>
      </c>
      <c r="F183" s="105">
        <v>2100</v>
      </c>
      <c r="G183" s="105">
        <v>2000</v>
      </c>
      <c r="H183" s="105">
        <v>2300</v>
      </c>
      <c r="I183" s="120">
        <v>3.15E-2</v>
      </c>
      <c r="J183" s="120">
        <v>2.9399999999999999E-2</v>
      </c>
      <c r="K183" s="120">
        <v>3.4099999999999998E-2</v>
      </c>
      <c r="L183" s="105">
        <v>1550</v>
      </c>
      <c r="M183">
        <v>0.74</v>
      </c>
      <c r="N183">
        <v>0.67</v>
      </c>
      <c r="O183">
        <v>0.78</v>
      </c>
      <c r="P183" s="105">
        <v>1250</v>
      </c>
      <c r="Q183">
        <v>0.6</v>
      </c>
      <c r="R183">
        <v>0.54</v>
      </c>
      <c r="S183">
        <v>0.63</v>
      </c>
    </row>
    <row r="184" spans="1:19" x14ac:dyDescent="0.35">
      <c r="A184" t="s">
        <v>313</v>
      </c>
      <c r="B184" t="s">
        <v>127</v>
      </c>
      <c r="C184" t="s">
        <v>44</v>
      </c>
      <c r="D184" s="105" t="s">
        <v>42</v>
      </c>
      <c r="E184" s="105" t="s">
        <v>57</v>
      </c>
      <c r="F184" s="105">
        <v>840</v>
      </c>
      <c r="G184" s="105">
        <v>770</v>
      </c>
      <c r="H184" s="105">
        <v>920</v>
      </c>
      <c r="I184" s="120">
        <v>1.2E-2</v>
      </c>
      <c r="J184" s="120">
        <v>1.0999999999999999E-2</v>
      </c>
      <c r="K184" s="120">
        <v>1.3100000000000001E-2</v>
      </c>
      <c r="L184" s="105">
        <v>651</v>
      </c>
      <c r="M184">
        <v>0.78</v>
      </c>
      <c r="N184">
        <v>0.71</v>
      </c>
      <c r="O184">
        <v>0.85</v>
      </c>
      <c r="P184" s="105">
        <v>518</v>
      </c>
      <c r="Q184">
        <v>0.62</v>
      </c>
      <c r="R184">
        <v>0.56000000000000005</v>
      </c>
      <c r="S184">
        <v>0.67</v>
      </c>
    </row>
    <row r="185" spans="1:19" x14ac:dyDescent="0.35">
      <c r="A185" t="s">
        <v>314</v>
      </c>
      <c r="B185" t="s">
        <v>127</v>
      </c>
      <c r="C185" t="s">
        <v>44</v>
      </c>
      <c r="D185" s="105" t="s">
        <v>37</v>
      </c>
      <c r="E185" s="105" t="s">
        <v>57</v>
      </c>
      <c r="F185" s="105">
        <v>2100</v>
      </c>
      <c r="G185" s="105">
        <v>1900</v>
      </c>
      <c r="H185" s="105">
        <v>2200</v>
      </c>
      <c r="I185" s="120">
        <v>3.1399999999999997E-2</v>
      </c>
      <c r="J185" s="120">
        <v>2.9399999999999999E-2</v>
      </c>
      <c r="K185" s="120">
        <v>3.3599999999999998E-2</v>
      </c>
      <c r="L185" s="105">
        <v>1587</v>
      </c>
      <c r="M185">
        <v>0.76</v>
      </c>
      <c r="N185">
        <v>0.72</v>
      </c>
      <c r="O185">
        <v>0.84</v>
      </c>
      <c r="P185" s="105">
        <v>1328</v>
      </c>
      <c r="Q185">
        <v>0.63</v>
      </c>
      <c r="R185">
        <v>0.6</v>
      </c>
      <c r="S185">
        <v>0.7</v>
      </c>
    </row>
    <row r="186" spans="1:19" x14ac:dyDescent="0.35">
      <c r="A186" t="s">
        <v>315</v>
      </c>
      <c r="B186" t="s">
        <v>127</v>
      </c>
      <c r="C186" t="s">
        <v>46</v>
      </c>
      <c r="D186" s="105" t="s">
        <v>42</v>
      </c>
      <c r="E186" s="105" t="s">
        <v>57</v>
      </c>
      <c r="F186" s="105">
        <v>840</v>
      </c>
      <c r="G186" s="105">
        <v>780</v>
      </c>
      <c r="H186" s="105">
        <v>910</v>
      </c>
      <c r="I186" s="120">
        <v>1.21E-2</v>
      </c>
      <c r="J186" s="120">
        <v>1.12E-2</v>
      </c>
      <c r="K186" s="120">
        <v>1.3100000000000001E-2</v>
      </c>
      <c r="L186" s="105">
        <v>668</v>
      </c>
      <c r="M186">
        <v>0.8</v>
      </c>
      <c r="N186">
        <v>0.73</v>
      </c>
      <c r="O186">
        <v>0.86</v>
      </c>
      <c r="P186" s="105">
        <v>527</v>
      </c>
      <c r="Q186">
        <v>0.63</v>
      </c>
      <c r="R186">
        <v>0.57999999999999996</v>
      </c>
      <c r="S186">
        <v>0.68</v>
      </c>
    </row>
    <row r="187" spans="1:19" x14ac:dyDescent="0.35">
      <c r="A187" t="s">
        <v>316</v>
      </c>
      <c r="B187" t="s">
        <v>127</v>
      </c>
      <c r="C187" t="s">
        <v>46</v>
      </c>
      <c r="D187" s="105" t="s">
        <v>37</v>
      </c>
      <c r="E187" s="105" t="s">
        <v>57</v>
      </c>
      <c r="F187" s="105">
        <v>2100</v>
      </c>
      <c r="G187" s="105">
        <v>1900</v>
      </c>
      <c r="H187" s="105">
        <v>2200</v>
      </c>
      <c r="I187" s="120">
        <v>3.15E-2</v>
      </c>
      <c r="J187" s="120">
        <v>2.9600000000000001E-2</v>
      </c>
      <c r="K187" s="120">
        <v>3.3599999999999998E-2</v>
      </c>
      <c r="L187" s="105">
        <v>1615</v>
      </c>
      <c r="M187">
        <v>0.77</v>
      </c>
      <c r="N187">
        <v>0.73</v>
      </c>
      <c r="O187">
        <v>0.85</v>
      </c>
      <c r="P187" s="105">
        <v>1332</v>
      </c>
      <c r="Q187">
        <v>0.63</v>
      </c>
      <c r="R187">
        <v>0.61</v>
      </c>
      <c r="S187">
        <v>0.7</v>
      </c>
    </row>
    <row r="188" spans="1:19" x14ac:dyDescent="0.35">
      <c r="A188" t="s">
        <v>317</v>
      </c>
      <c r="B188" t="s">
        <v>127</v>
      </c>
      <c r="C188" t="s">
        <v>47</v>
      </c>
      <c r="D188" s="105" t="s">
        <v>42</v>
      </c>
      <c r="E188" s="105" t="s">
        <v>57</v>
      </c>
      <c r="F188" s="105">
        <v>850</v>
      </c>
      <c r="G188" s="105">
        <v>780</v>
      </c>
      <c r="H188" s="105">
        <v>910</v>
      </c>
      <c r="I188" s="120">
        <v>1.23E-2</v>
      </c>
      <c r="J188" s="120">
        <v>1.14E-2</v>
      </c>
      <c r="K188" s="120">
        <v>1.3299999999999999E-2</v>
      </c>
      <c r="L188" s="105">
        <v>693</v>
      </c>
      <c r="M188">
        <v>0.82</v>
      </c>
      <c r="N188">
        <v>0.76</v>
      </c>
      <c r="O188">
        <v>0.89</v>
      </c>
      <c r="P188" s="105">
        <v>540</v>
      </c>
      <c r="Q188">
        <v>0.64</v>
      </c>
      <c r="R188">
        <v>0.59</v>
      </c>
      <c r="S188">
        <v>0.69</v>
      </c>
    </row>
    <row r="189" spans="1:19" x14ac:dyDescent="0.35">
      <c r="A189" t="s">
        <v>318</v>
      </c>
      <c r="B189" t="s">
        <v>127</v>
      </c>
      <c r="C189" t="s">
        <v>47</v>
      </c>
      <c r="D189" s="105" t="s">
        <v>37</v>
      </c>
      <c r="E189" s="105" t="s">
        <v>57</v>
      </c>
      <c r="F189" s="105">
        <v>2000</v>
      </c>
      <c r="G189" s="105">
        <v>1900</v>
      </c>
      <c r="H189" s="105">
        <v>2200</v>
      </c>
      <c r="I189" s="120">
        <v>3.15E-2</v>
      </c>
      <c r="J189" s="120">
        <v>2.9700000000000001E-2</v>
      </c>
      <c r="K189" s="120">
        <v>3.3399999999999999E-2</v>
      </c>
      <c r="L189" s="105">
        <v>1646</v>
      </c>
      <c r="M189">
        <v>0.82</v>
      </c>
      <c r="N189">
        <v>0.75</v>
      </c>
      <c r="O189">
        <v>0.87</v>
      </c>
      <c r="P189" s="105">
        <v>1344</v>
      </c>
      <c r="Q189">
        <v>0.67</v>
      </c>
      <c r="R189">
        <v>0.61</v>
      </c>
      <c r="S189">
        <v>0.71</v>
      </c>
    </row>
    <row r="190" spans="1:19" x14ac:dyDescent="0.35">
      <c r="A190" t="s">
        <v>319</v>
      </c>
      <c r="B190" t="s">
        <v>127</v>
      </c>
      <c r="C190" t="s">
        <v>48</v>
      </c>
      <c r="D190" s="105" t="s">
        <v>42</v>
      </c>
      <c r="E190" s="105" t="s">
        <v>57</v>
      </c>
      <c r="F190" s="105">
        <v>860</v>
      </c>
      <c r="G190" s="105">
        <v>800</v>
      </c>
      <c r="H190" s="105">
        <v>930</v>
      </c>
      <c r="I190" s="120">
        <v>1.2699999999999999E-2</v>
      </c>
      <c r="J190" s="120">
        <v>1.18E-2</v>
      </c>
      <c r="K190" s="120">
        <v>1.37E-2</v>
      </c>
      <c r="L190" s="105">
        <v>708</v>
      </c>
      <c r="M190">
        <v>0.82</v>
      </c>
      <c r="N190">
        <v>0.76</v>
      </c>
      <c r="O190">
        <v>0.89</v>
      </c>
      <c r="P190" s="105">
        <v>563</v>
      </c>
      <c r="Q190">
        <v>0.65</v>
      </c>
      <c r="R190">
        <v>0.61</v>
      </c>
      <c r="S190">
        <v>0.7</v>
      </c>
    </row>
    <row r="191" spans="1:19" x14ac:dyDescent="0.35">
      <c r="A191" t="s">
        <v>320</v>
      </c>
      <c r="B191" t="s">
        <v>127</v>
      </c>
      <c r="C191" t="s">
        <v>48</v>
      </c>
      <c r="D191" s="105" t="s">
        <v>37</v>
      </c>
      <c r="E191" s="105" t="s">
        <v>57</v>
      </c>
      <c r="F191" s="105">
        <v>2100</v>
      </c>
      <c r="G191" s="105">
        <v>1900</v>
      </c>
      <c r="H191" s="105">
        <v>2200</v>
      </c>
      <c r="I191" s="120">
        <v>3.2199999999999999E-2</v>
      </c>
      <c r="J191" s="120">
        <v>3.04E-2</v>
      </c>
      <c r="K191" s="120">
        <v>3.4099999999999998E-2</v>
      </c>
      <c r="L191" s="105">
        <v>1654</v>
      </c>
      <c r="M191">
        <v>0.79</v>
      </c>
      <c r="N191">
        <v>0.75</v>
      </c>
      <c r="O191">
        <v>0.87</v>
      </c>
      <c r="P191" s="105">
        <v>1366</v>
      </c>
      <c r="Q191">
        <v>0.65</v>
      </c>
      <c r="R191">
        <v>0.62</v>
      </c>
      <c r="S191">
        <v>0.72</v>
      </c>
    </row>
    <row r="192" spans="1:19" x14ac:dyDescent="0.35">
      <c r="A192" t="s">
        <v>321</v>
      </c>
      <c r="B192" t="s">
        <v>127</v>
      </c>
      <c r="C192" t="s">
        <v>49</v>
      </c>
      <c r="D192" s="105" t="s">
        <v>42</v>
      </c>
      <c r="E192" s="105" t="s">
        <v>57</v>
      </c>
      <c r="F192" s="105">
        <v>910</v>
      </c>
      <c r="G192" s="105">
        <v>840</v>
      </c>
      <c r="H192" s="105">
        <v>980</v>
      </c>
      <c r="I192" s="120">
        <v>1.35E-2</v>
      </c>
      <c r="J192" s="120">
        <v>1.2500000000000001E-2</v>
      </c>
      <c r="K192" s="120">
        <v>1.46E-2</v>
      </c>
      <c r="L192" s="105">
        <v>717</v>
      </c>
      <c r="M192">
        <v>0.79</v>
      </c>
      <c r="N192">
        <v>0.73</v>
      </c>
      <c r="O192">
        <v>0.85</v>
      </c>
      <c r="P192" s="105">
        <v>538</v>
      </c>
      <c r="Q192">
        <v>0.59</v>
      </c>
      <c r="R192">
        <v>0.55000000000000004</v>
      </c>
      <c r="S192">
        <v>0.64</v>
      </c>
    </row>
    <row r="193" spans="1:19" x14ac:dyDescent="0.35">
      <c r="A193" t="s">
        <v>322</v>
      </c>
      <c r="B193" t="s">
        <v>127</v>
      </c>
      <c r="C193" t="s">
        <v>49</v>
      </c>
      <c r="D193" s="105" t="s">
        <v>37</v>
      </c>
      <c r="E193" s="105" t="s">
        <v>57</v>
      </c>
      <c r="F193" s="105">
        <v>2100</v>
      </c>
      <c r="G193" s="105">
        <v>2000</v>
      </c>
      <c r="H193" s="105">
        <v>2200</v>
      </c>
      <c r="I193" s="120">
        <v>3.32E-2</v>
      </c>
      <c r="J193" s="120">
        <v>3.1199999999999999E-2</v>
      </c>
      <c r="K193" s="120">
        <v>3.5499999999999997E-2</v>
      </c>
      <c r="L193" s="105">
        <v>1606</v>
      </c>
      <c r="M193">
        <v>0.76</v>
      </c>
      <c r="N193">
        <v>0.73</v>
      </c>
      <c r="O193">
        <v>0.8</v>
      </c>
      <c r="P193" s="105">
        <v>1221</v>
      </c>
      <c r="Q193">
        <v>0.57999999999999996</v>
      </c>
      <c r="R193">
        <v>0.56000000000000005</v>
      </c>
      <c r="S193">
        <v>0.61</v>
      </c>
    </row>
    <row r="194" spans="1:19" x14ac:dyDescent="0.35">
      <c r="A194" t="s">
        <v>323</v>
      </c>
      <c r="B194" t="s">
        <v>127</v>
      </c>
      <c r="C194" t="s">
        <v>124</v>
      </c>
      <c r="D194" s="105" t="s">
        <v>42</v>
      </c>
      <c r="E194" s="105" t="s">
        <v>57</v>
      </c>
      <c r="F194" s="105">
        <v>920</v>
      </c>
      <c r="G194" s="105">
        <v>850</v>
      </c>
      <c r="H194" s="105">
        <v>990</v>
      </c>
      <c r="I194" s="120">
        <v>1.38E-2</v>
      </c>
      <c r="J194" s="120">
        <v>1.2699999999999999E-2</v>
      </c>
      <c r="K194" s="120">
        <v>1.49E-2</v>
      </c>
      <c r="L194" s="105">
        <v>724</v>
      </c>
      <c r="M194">
        <v>0.79</v>
      </c>
      <c r="N194">
        <v>0.73</v>
      </c>
      <c r="O194">
        <v>0.85</v>
      </c>
      <c r="P194" s="105">
        <v>526</v>
      </c>
      <c r="Q194">
        <v>0.56999999999999995</v>
      </c>
      <c r="R194">
        <v>0.53</v>
      </c>
      <c r="S194">
        <v>0.62</v>
      </c>
    </row>
    <row r="195" spans="1:19" x14ac:dyDescent="0.35">
      <c r="A195" t="s">
        <v>324</v>
      </c>
      <c r="B195" t="s">
        <v>127</v>
      </c>
      <c r="C195" t="s">
        <v>124</v>
      </c>
      <c r="D195" s="105" t="s">
        <v>37</v>
      </c>
      <c r="E195" s="105" t="s">
        <v>57</v>
      </c>
      <c r="F195" s="105">
        <v>2100</v>
      </c>
      <c r="G195" s="105">
        <v>1900</v>
      </c>
      <c r="H195" s="105">
        <v>2200</v>
      </c>
      <c r="I195" s="120">
        <v>3.3000000000000002E-2</v>
      </c>
      <c r="J195" s="120">
        <v>3.1E-2</v>
      </c>
      <c r="K195" s="120">
        <v>3.5299999999999998E-2</v>
      </c>
      <c r="L195" s="105">
        <v>1560</v>
      </c>
      <c r="M195">
        <v>0.74</v>
      </c>
      <c r="N195">
        <v>0.71</v>
      </c>
      <c r="O195">
        <v>0.82</v>
      </c>
      <c r="P195" s="105">
        <v>1154</v>
      </c>
      <c r="Q195">
        <v>0.55000000000000004</v>
      </c>
      <c r="R195">
        <v>0.52</v>
      </c>
      <c r="S195">
        <v>0.61</v>
      </c>
    </row>
    <row r="196" spans="1:19" x14ac:dyDescent="0.35">
      <c r="A196" t="s">
        <v>325</v>
      </c>
      <c r="B196" t="s">
        <v>127</v>
      </c>
      <c r="C196" t="s">
        <v>125</v>
      </c>
      <c r="D196" s="105" t="s">
        <v>42</v>
      </c>
      <c r="E196" s="105" t="s">
        <v>57</v>
      </c>
      <c r="F196" s="105">
        <v>870</v>
      </c>
      <c r="G196" s="105">
        <v>810</v>
      </c>
      <c r="H196" s="105">
        <v>940</v>
      </c>
      <c r="I196" s="120">
        <v>1.32E-2</v>
      </c>
      <c r="J196" s="120">
        <v>1.21E-2</v>
      </c>
      <c r="K196" s="120">
        <v>1.4200000000000001E-2</v>
      </c>
      <c r="L196" s="105">
        <v>704</v>
      </c>
      <c r="M196">
        <v>0.81</v>
      </c>
      <c r="N196">
        <v>0.75</v>
      </c>
      <c r="O196">
        <v>0.87</v>
      </c>
      <c r="P196" s="105">
        <v>573</v>
      </c>
      <c r="Q196">
        <v>0.66</v>
      </c>
      <c r="R196">
        <v>0.61</v>
      </c>
      <c r="S196">
        <v>0.71</v>
      </c>
    </row>
    <row r="197" spans="1:19" x14ac:dyDescent="0.35">
      <c r="A197" t="s">
        <v>326</v>
      </c>
      <c r="B197" t="s">
        <v>127</v>
      </c>
      <c r="C197" t="s">
        <v>125</v>
      </c>
      <c r="D197" s="105" t="s">
        <v>37</v>
      </c>
      <c r="E197" s="105" t="s">
        <v>57</v>
      </c>
      <c r="F197" s="105">
        <v>1900</v>
      </c>
      <c r="G197" s="105">
        <v>1800</v>
      </c>
      <c r="H197" s="105">
        <v>2100</v>
      </c>
      <c r="I197" s="120">
        <v>3.1099999999999999E-2</v>
      </c>
      <c r="J197" s="120">
        <v>2.9100000000000001E-2</v>
      </c>
      <c r="K197" s="120">
        <v>3.32E-2</v>
      </c>
      <c r="L197" s="105">
        <v>1496</v>
      </c>
      <c r="M197">
        <v>0.79</v>
      </c>
      <c r="N197">
        <v>0.71</v>
      </c>
      <c r="O197">
        <v>0.83</v>
      </c>
      <c r="P197" s="105">
        <v>1207</v>
      </c>
      <c r="Q197">
        <v>0.64</v>
      </c>
      <c r="R197">
        <v>0.56999999999999995</v>
      </c>
      <c r="S197">
        <v>0.67</v>
      </c>
    </row>
    <row r="198" spans="1:19" x14ac:dyDescent="0.35">
      <c r="A198" t="s">
        <v>327</v>
      </c>
      <c r="B198" t="s">
        <v>127</v>
      </c>
      <c r="C198" t="s">
        <v>126</v>
      </c>
      <c r="D198" s="105" t="s">
        <v>42</v>
      </c>
      <c r="E198" s="105" t="s">
        <v>57</v>
      </c>
      <c r="F198" s="105">
        <v>830</v>
      </c>
      <c r="G198" s="105">
        <v>770</v>
      </c>
      <c r="H198" s="105">
        <v>900</v>
      </c>
      <c r="I198" s="120">
        <v>1.26E-2</v>
      </c>
      <c r="J198" s="120">
        <v>1.1599999999999999E-2</v>
      </c>
      <c r="K198" s="120">
        <v>1.3599999999999999E-2</v>
      </c>
      <c r="L198" s="105">
        <v>697</v>
      </c>
      <c r="M198">
        <v>0.84</v>
      </c>
      <c r="N198">
        <v>0.77</v>
      </c>
      <c r="O198">
        <v>0.91</v>
      </c>
      <c r="P198" s="105">
        <v>551</v>
      </c>
      <c r="Q198">
        <v>0.66</v>
      </c>
      <c r="R198">
        <v>0.61</v>
      </c>
      <c r="S198">
        <v>0.72</v>
      </c>
    </row>
    <row r="199" spans="1:19" x14ac:dyDescent="0.35">
      <c r="A199" t="s">
        <v>328</v>
      </c>
      <c r="B199" t="s">
        <v>127</v>
      </c>
      <c r="C199" t="s">
        <v>126</v>
      </c>
      <c r="D199" s="105" t="s">
        <v>37</v>
      </c>
      <c r="E199" s="105" t="s">
        <v>57</v>
      </c>
      <c r="F199" s="105">
        <v>1800</v>
      </c>
      <c r="G199" s="105">
        <v>1600</v>
      </c>
      <c r="H199" s="105">
        <v>1900</v>
      </c>
      <c r="I199" s="120">
        <v>2.8299999999999999E-2</v>
      </c>
      <c r="J199" s="120">
        <v>2.6599999999999999E-2</v>
      </c>
      <c r="K199" s="120">
        <v>3.0200000000000001E-2</v>
      </c>
      <c r="L199" s="105">
        <v>1418</v>
      </c>
      <c r="M199">
        <v>0.79</v>
      </c>
      <c r="N199">
        <v>0.75</v>
      </c>
      <c r="O199">
        <v>0.89</v>
      </c>
      <c r="P199" s="105">
        <v>1156</v>
      </c>
      <c r="Q199">
        <v>0.64</v>
      </c>
      <c r="R199">
        <v>0.61</v>
      </c>
      <c r="S199">
        <v>0.72</v>
      </c>
    </row>
    <row r="200" spans="1:19" x14ac:dyDescent="0.35">
      <c r="A200" t="s">
        <v>329</v>
      </c>
      <c r="B200" t="s">
        <v>127</v>
      </c>
      <c r="C200" t="s">
        <v>39</v>
      </c>
      <c r="D200" s="105" t="s">
        <v>42</v>
      </c>
      <c r="E200" s="105" t="s">
        <v>58</v>
      </c>
      <c r="F200" s="105">
        <v>130</v>
      </c>
      <c r="G200" s="105">
        <v>100</v>
      </c>
      <c r="H200" s="105">
        <v>160</v>
      </c>
      <c r="I200" s="120">
        <v>1.9E-3</v>
      </c>
      <c r="J200" s="120">
        <v>1.5E-3</v>
      </c>
      <c r="K200" s="120">
        <v>2.3999999999999998E-3</v>
      </c>
      <c r="L200" s="105">
        <v>74</v>
      </c>
      <c r="M200">
        <v>0.56999999999999995</v>
      </c>
      <c r="N200">
        <v>0.46</v>
      </c>
      <c r="O200">
        <v>0.74</v>
      </c>
      <c r="P200" s="105">
        <v>50</v>
      </c>
      <c r="Q200">
        <v>0.38</v>
      </c>
      <c r="R200">
        <v>0.31</v>
      </c>
      <c r="S200">
        <v>0.5</v>
      </c>
    </row>
    <row r="201" spans="1:19" x14ac:dyDescent="0.35">
      <c r="A201" t="s">
        <v>330</v>
      </c>
      <c r="B201" t="s">
        <v>127</v>
      </c>
      <c r="C201" t="s">
        <v>39</v>
      </c>
      <c r="D201" s="105" t="s">
        <v>37</v>
      </c>
      <c r="E201" s="105" t="s">
        <v>58</v>
      </c>
      <c r="F201" s="105">
        <v>330</v>
      </c>
      <c r="G201" s="105">
        <v>270</v>
      </c>
      <c r="H201" s="105">
        <v>400</v>
      </c>
      <c r="I201" s="120">
        <v>5.1000000000000004E-3</v>
      </c>
      <c r="J201" s="120">
        <v>4.1999999999999997E-3</v>
      </c>
      <c r="K201" s="120">
        <v>6.1999999999999998E-3</v>
      </c>
      <c r="L201" s="105">
        <v>184</v>
      </c>
      <c r="M201">
        <v>0.56000000000000005</v>
      </c>
      <c r="N201">
        <v>0.46</v>
      </c>
      <c r="O201">
        <v>0.68</v>
      </c>
      <c r="P201" s="105">
        <v>141</v>
      </c>
      <c r="Q201">
        <v>0.43</v>
      </c>
      <c r="R201">
        <v>0.35</v>
      </c>
      <c r="S201">
        <v>0.52</v>
      </c>
    </row>
    <row r="202" spans="1:19" x14ac:dyDescent="0.35">
      <c r="A202" t="s">
        <v>331</v>
      </c>
      <c r="B202" t="s">
        <v>127</v>
      </c>
      <c r="C202" t="s">
        <v>44</v>
      </c>
      <c r="D202" s="105" t="s">
        <v>42</v>
      </c>
      <c r="E202" s="105" t="s">
        <v>58</v>
      </c>
      <c r="F202" s="105">
        <v>140</v>
      </c>
      <c r="G202" s="105">
        <v>110</v>
      </c>
      <c r="H202" s="105">
        <v>170</v>
      </c>
      <c r="I202" s="120">
        <v>2E-3</v>
      </c>
      <c r="J202" s="120">
        <v>1.6000000000000001E-3</v>
      </c>
      <c r="K202" s="120">
        <v>2.3999999999999998E-3</v>
      </c>
      <c r="L202" s="105">
        <v>86</v>
      </c>
      <c r="M202">
        <v>0.61</v>
      </c>
      <c r="N202">
        <v>0.51</v>
      </c>
      <c r="O202">
        <v>0.78</v>
      </c>
      <c r="P202" s="105">
        <v>60</v>
      </c>
      <c r="Q202">
        <v>0.43</v>
      </c>
      <c r="R202">
        <v>0.35</v>
      </c>
      <c r="S202">
        <v>0.55000000000000004</v>
      </c>
    </row>
    <row r="203" spans="1:19" x14ac:dyDescent="0.35">
      <c r="A203" t="s">
        <v>332</v>
      </c>
      <c r="B203" t="s">
        <v>127</v>
      </c>
      <c r="C203" t="s">
        <v>44</v>
      </c>
      <c r="D203" s="105" t="s">
        <v>37</v>
      </c>
      <c r="E203" s="105" t="s">
        <v>58</v>
      </c>
      <c r="F203" s="105">
        <v>360</v>
      </c>
      <c r="G203" s="105">
        <v>300</v>
      </c>
      <c r="H203" s="105">
        <v>420</v>
      </c>
      <c r="I203" s="120">
        <v>5.4000000000000003E-3</v>
      </c>
      <c r="J203" s="120">
        <v>4.5999999999999999E-3</v>
      </c>
      <c r="K203" s="120">
        <v>6.4999999999999997E-3</v>
      </c>
      <c r="L203" s="105">
        <v>222</v>
      </c>
      <c r="M203">
        <v>0.62</v>
      </c>
      <c r="N203">
        <v>0.53</v>
      </c>
      <c r="O203">
        <v>0.74</v>
      </c>
      <c r="P203" s="105">
        <v>173</v>
      </c>
      <c r="Q203">
        <v>0.48</v>
      </c>
      <c r="R203">
        <v>0.41</v>
      </c>
      <c r="S203">
        <v>0.57999999999999996</v>
      </c>
    </row>
    <row r="204" spans="1:19" x14ac:dyDescent="0.35">
      <c r="A204" t="s">
        <v>333</v>
      </c>
      <c r="B204" t="s">
        <v>127</v>
      </c>
      <c r="C204" t="s">
        <v>46</v>
      </c>
      <c r="D204" s="105" t="s">
        <v>42</v>
      </c>
      <c r="E204" s="105" t="s">
        <v>58</v>
      </c>
      <c r="F204" s="105">
        <v>160</v>
      </c>
      <c r="G204" s="105">
        <v>140</v>
      </c>
      <c r="H204" s="105">
        <v>200</v>
      </c>
      <c r="I204" s="120">
        <v>2.3E-3</v>
      </c>
      <c r="J204" s="120">
        <v>1.9E-3</v>
      </c>
      <c r="K204" s="120">
        <v>2.7000000000000001E-3</v>
      </c>
      <c r="L204" s="105">
        <v>106</v>
      </c>
      <c r="M204">
        <v>0.66</v>
      </c>
      <c r="N204">
        <v>0.53</v>
      </c>
      <c r="O204">
        <v>0.76</v>
      </c>
      <c r="P204" s="105">
        <v>79</v>
      </c>
      <c r="Q204">
        <v>0.49</v>
      </c>
      <c r="R204">
        <v>0.4</v>
      </c>
      <c r="S204">
        <v>0.56000000000000005</v>
      </c>
    </row>
    <row r="205" spans="1:19" x14ac:dyDescent="0.35">
      <c r="A205" t="s">
        <v>334</v>
      </c>
      <c r="B205" t="s">
        <v>127</v>
      </c>
      <c r="C205" t="s">
        <v>46</v>
      </c>
      <c r="D205" s="105" t="s">
        <v>37</v>
      </c>
      <c r="E205" s="105" t="s">
        <v>58</v>
      </c>
      <c r="F205" s="105">
        <v>420</v>
      </c>
      <c r="G205" s="105">
        <v>360</v>
      </c>
      <c r="H205" s="105">
        <v>490</v>
      </c>
      <c r="I205" s="120">
        <v>6.1999999999999998E-3</v>
      </c>
      <c r="J205" s="120">
        <v>5.4000000000000003E-3</v>
      </c>
      <c r="K205" s="120">
        <v>7.3000000000000001E-3</v>
      </c>
      <c r="L205" s="105">
        <v>269</v>
      </c>
      <c r="M205">
        <v>0.64</v>
      </c>
      <c r="N205">
        <v>0.55000000000000004</v>
      </c>
      <c r="O205">
        <v>0.75</v>
      </c>
      <c r="P205" s="105">
        <v>216</v>
      </c>
      <c r="Q205">
        <v>0.51</v>
      </c>
      <c r="R205">
        <v>0.44</v>
      </c>
      <c r="S205">
        <v>0.6</v>
      </c>
    </row>
    <row r="206" spans="1:19" x14ac:dyDescent="0.35">
      <c r="A206" t="s">
        <v>335</v>
      </c>
      <c r="B206" t="s">
        <v>127</v>
      </c>
      <c r="C206" t="s">
        <v>47</v>
      </c>
      <c r="D206" s="105" t="s">
        <v>42</v>
      </c>
      <c r="E206" s="105" t="s">
        <v>58</v>
      </c>
      <c r="F206" s="105">
        <v>160</v>
      </c>
      <c r="G206" s="105">
        <v>140</v>
      </c>
      <c r="H206" s="105">
        <v>190</v>
      </c>
      <c r="I206" s="120">
        <v>2.3E-3</v>
      </c>
      <c r="J206" s="120">
        <v>1.9E-3</v>
      </c>
      <c r="K206" s="120">
        <v>2.5999999999999999E-3</v>
      </c>
      <c r="L206" s="105">
        <v>126</v>
      </c>
      <c r="M206">
        <v>0.79</v>
      </c>
      <c r="N206">
        <v>0.66</v>
      </c>
      <c r="O206">
        <v>0.9</v>
      </c>
      <c r="P206" s="105">
        <v>97</v>
      </c>
      <c r="Q206">
        <v>0.61</v>
      </c>
      <c r="R206">
        <v>0.51</v>
      </c>
      <c r="S206">
        <v>0.69</v>
      </c>
    </row>
    <row r="207" spans="1:19" x14ac:dyDescent="0.35">
      <c r="A207" t="s">
        <v>336</v>
      </c>
      <c r="B207" t="s">
        <v>127</v>
      </c>
      <c r="C207" t="s">
        <v>47</v>
      </c>
      <c r="D207" s="105" t="s">
        <v>37</v>
      </c>
      <c r="E207" s="105" t="s">
        <v>58</v>
      </c>
      <c r="F207" s="105">
        <v>400</v>
      </c>
      <c r="G207" s="105">
        <v>360</v>
      </c>
      <c r="H207" s="105">
        <v>460</v>
      </c>
      <c r="I207" s="120">
        <v>6.0000000000000001E-3</v>
      </c>
      <c r="J207" s="120">
        <v>5.1999999999999998E-3</v>
      </c>
      <c r="K207" s="120">
        <v>6.7000000000000002E-3</v>
      </c>
      <c r="L207" s="105">
        <v>307</v>
      </c>
      <c r="M207">
        <v>0.77</v>
      </c>
      <c r="N207">
        <v>0.67</v>
      </c>
      <c r="O207">
        <v>0.85</v>
      </c>
      <c r="P207" s="105">
        <v>244</v>
      </c>
      <c r="Q207">
        <v>0.61</v>
      </c>
      <c r="R207">
        <v>0.53</v>
      </c>
      <c r="S207">
        <v>0.68</v>
      </c>
    </row>
    <row r="208" spans="1:19" x14ac:dyDescent="0.35">
      <c r="A208" t="s">
        <v>337</v>
      </c>
      <c r="B208" t="s">
        <v>127</v>
      </c>
      <c r="C208" t="s">
        <v>48</v>
      </c>
      <c r="D208" s="105" t="s">
        <v>42</v>
      </c>
      <c r="E208" s="105" t="s">
        <v>58</v>
      </c>
      <c r="F208" s="105">
        <v>190</v>
      </c>
      <c r="G208" s="105">
        <v>160</v>
      </c>
      <c r="H208" s="105">
        <v>230</v>
      </c>
      <c r="I208" s="120">
        <v>2.5999999999999999E-3</v>
      </c>
      <c r="J208" s="120">
        <v>2.2000000000000001E-3</v>
      </c>
      <c r="K208" s="120">
        <v>3.0000000000000001E-3</v>
      </c>
      <c r="L208" s="105">
        <v>143</v>
      </c>
      <c r="M208">
        <v>0.75</v>
      </c>
      <c r="N208">
        <v>0.62</v>
      </c>
      <c r="O208">
        <v>0.89</v>
      </c>
      <c r="P208" s="105">
        <v>111</v>
      </c>
      <c r="Q208">
        <v>0.57999999999999996</v>
      </c>
      <c r="R208">
        <v>0.48</v>
      </c>
      <c r="S208">
        <v>0.69</v>
      </c>
    </row>
    <row r="209" spans="1:19" x14ac:dyDescent="0.35">
      <c r="A209" t="s">
        <v>338</v>
      </c>
      <c r="B209" t="s">
        <v>127</v>
      </c>
      <c r="C209" t="s">
        <v>48</v>
      </c>
      <c r="D209" s="105" t="s">
        <v>37</v>
      </c>
      <c r="E209" s="105" t="s">
        <v>58</v>
      </c>
      <c r="F209" s="105">
        <v>470</v>
      </c>
      <c r="G209" s="105">
        <v>420</v>
      </c>
      <c r="H209" s="105">
        <v>540</v>
      </c>
      <c r="I209" s="120">
        <v>6.8999999999999999E-3</v>
      </c>
      <c r="J209" s="120">
        <v>6.1000000000000004E-3</v>
      </c>
      <c r="K209" s="120">
        <v>7.7999999999999996E-3</v>
      </c>
      <c r="L209" s="105">
        <v>348</v>
      </c>
      <c r="M209">
        <v>0.74</v>
      </c>
      <c r="N209">
        <v>0.64</v>
      </c>
      <c r="O209">
        <v>0.83</v>
      </c>
      <c r="P209" s="105">
        <v>288</v>
      </c>
      <c r="Q209">
        <v>0.61</v>
      </c>
      <c r="R209">
        <v>0.53</v>
      </c>
      <c r="S209">
        <v>0.69</v>
      </c>
    </row>
    <row r="210" spans="1:19" x14ac:dyDescent="0.35">
      <c r="A210" t="s">
        <v>339</v>
      </c>
      <c r="B210" t="s">
        <v>127</v>
      </c>
      <c r="C210" t="s">
        <v>49</v>
      </c>
      <c r="D210" s="105" t="s">
        <v>42</v>
      </c>
      <c r="E210" s="105" t="s">
        <v>58</v>
      </c>
      <c r="F210" s="105">
        <v>200</v>
      </c>
      <c r="G210" s="105">
        <v>170</v>
      </c>
      <c r="H210" s="105">
        <v>240</v>
      </c>
      <c r="I210" s="120">
        <v>2.7000000000000001E-3</v>
      </c>
      <c r="J210" s="120">
        <v>2.3E-3</v>
      </c>
      <c r="K210" s="120">
        <v>3.2000000000000002E-3</v>
      </c>
      <c r="L210" s="105">
        <v>154</v>
      </c>
      <c r="M210">
        <v>0.77</v>
      </c>
      <c r="N210">
        <v>0.64</v>
      </c>
      <c r="O210">
        <v>0.91</v>
      </c>
      <c r="P210" s="105">
        <v>117</v>
      </c>
      <c r="Q210">
        <v>0.59</v>
      </c>
      <c r="R210">
        <v>0.49</v>
      </c>
      <c r="S210">
        <v>0.69</v>
      </c>
    </row>
    <row r="211" spans="1:19" x14ac:dyDescent="0.35">
      <c r="A211" t="s">
        <v>340</v>
      </c>
      <c r="B211" t="s">
        <v>127</v>
      </c>
      <c r="C211" t="s">
        <v>49</v>
      </c>
      <c r="D211" s="105" t="s">
        <v>37</v>
      </c>
      <c r="E211" s="105" t="s">
        <v>58</v>
      </c>
      <c r="F211" s="105">
        <v>530</v>
      </c>
      <c r="G211" s="105">
        <v>480</v>
      </c>
      <c r="H211" s="105">
        <v>600</v>
      </c>
      <c r="I211" s="120">
        <v>7.7000000000000002E-3</v>
      </c>
      <c r="J211" s="120">
        <v>6.8999999999999999E-3</v>
      </c>
      <c r="K211" s="120">
        <v>8.6E-3</v>
      </c>
      <c r="L211" s="105">
        <v>407</v>
      </c>
      <c r="M211">
        <v>0.77</v>
      </c>
      <c r="N211">
        <v>0.68</v>
      </c>
      <c r="O211">
        <v>0.85</v>
      </c>
      <c r="P211" s="105">
        <v>319</v>
      </c>
      <c r="Q211">
        <v>0.6</v>
      </c>
      <c r="R211">
        <v>0.53</v>
      </c>
      <c r="S211">
        <v>0.66</v>
      </c>
    </row>
    <row r="212" spans="1:19" x14ac:dyDescent="0.35">
      <c r="A212" t="s">
        <v>341</v>
      </c>
      <c r="B212" t="s">
        <v>127</v>
      </c>
      <c r="C212" t="s">
        <v>124</v>
      </c>
      <c r="D212" s="105" t="s">
        <v>42</v>
      </c>
      <c r="E212" s="105" t="s">
        <v>58</v>
      </c>
      <c r="F212" s="105">
        <v>230</v>
      </c>
      <c r="G212" s="105">
        <v>200</v>
      </c>
      <c r="H212" s="105">
        <v>270</v>
      </c>
      <c r="I212" s="120">
        <v>3.0000000000000001E-3</v>
      </c>
      <c r="J212" s="120">
        <v>2.5999999999999999E-3</v>
      </c>
      <c r="K212" s="120">
        <v>3.5000000000000001E-3</v>
      </c>
      <c r="L212" s="105">
        <v>158</v>
      </c>
      <c r="M212">
        <v>0.69</v>
      </c>
      <c r="N212">
        <v>0.59</v>
      </c>
      <c r="O212">
        <v>0.79</v>
      </c>
      <c r="P212" s="105">
        <v>113</v>
      </c>
      <c r="Q212">
        <v>0.49</v>
      </c>
      <c r="R212">
        <v>0.42</v>
      </c>
      <c r="S212">
        <v>0.56999999999999995</v>
      </c>
    </row>
    <row r="213" spans="1:19" x14ac:dyDescent="0.35">
      <c r="A213" t="s">
        <v>342</v>
      </c>
      <c r="B213" t="s">
        <v>127</v>
      </c>
      <c r="C213" t="s">
        <v>124</v>
      </c>
      <c r="D213" s="105" t="s">
        <v>37</v>
      </c>
      <c r="E213" s="105" t="s">
        <v>58</v>
      </c>
      <c r="F213" s="105">
        <v>630</v>
      </c>
      <c r="G213" s="105">
        <v>570</v>
      </c>
      <c r="H213" s="105">
        <v>710</v>
      </c>
      <c r="I213" s="120">
        <v>9.1000000000000004E-3</v>
      </c>
      <c r="J213" s="120">
        <v>8.0999999999999996E-3</v>
      </c>
      <c r="K213" s="120">
        <v>1.0200000000000001E-2</v>
      </c>
      <c r="L213" s="105">
        <v>455</v>
      </c>
      <c r="M213">
        <v>0.72</v>
      </c>
      <c r="N213">
        <v>0.64</v>
      </c>
      <c r="O213">
        <v>0.8</v>
      </c>
      <c r="P213" s="105">
        <v>345</v>
      </c>
      <c r="Q213">
        <v>0.55000000000000004</v>
      </c>
      <c r="R213">
        <v>0.49</v>
      </c>
      <c r="S213">
        <v>0.61</v>
      </c>
    </row>
    <row r="214" spans="1:19" x14ac:dyDescent="0.35">
      <c r="A214" t="s">
        <v>343</v>
      </c>
      <c r="B214" t="s">
        <v>127</v>
      </c>
      <c r="C214" t="s">
        <v>125</v>
      </c>
      <c r="D214" s="105" t="s">
        <v>42</v>
      </c>
      <c r="E214" s="105" t="s">
        <v>58</v>
      </c>
      <c r="F214" s="105">
        <v>250</v>
      </c>
      <c r="G214" s="105">
        <v>210</v>
      </c>
      <c r="H214" s="105">
        <v>290</v>
      </c>
      <c r="I214" s="120">
        <v>3.2000000000000002E-3</v>
      </c>
      <c r="J214" s="120">
        <v>2.8E-3</v>
      </c>
      <c r="K214" s="120">
        <v>3.8E-3</v>
      </c>
      <c r="L214" s="105">
        <v>177</v>
      </c>
      <c r="M214">
        <v>0.71</v>
      </c>
      <c r="N214">
        <v>0.61</v>
      </c>
      <c r="O214">
        <v>0.84</v>
      </c>
      <c r="P214" s="105">
        <v>137</v>
      </c>
      <c r="Q214">
        <v>0.55000000000000004</v>
      </c>
      <c r="R214">
        <v>0.47</v>
      </c>
      <c r="S214">
        <v>0.65</v>
      </c>
    </row>
    <row r="215" spans="1:19" x14ac:dyDescent="0.35">
      <c r="A215" t="s">
        <v>344</v>
      </c>
      <c r="B215" t="s">
        <v>127</v>
      </c>
      <c r="C215" t="s">
        <v>125</v>
      </c>
      <c r="D215" s="105" t="s">
        <v>37</v>
      </c>
      <c r="E215" s="105" t="s">
        <v>58</v>
      </c>
      <c r="F215" s="105">
        <v>680</v>
      </c>
      <c r="G215" s="105">
        <v>610</v>
      </c>
      <c r="H215" s="105">
        <v>760</v>
      </c>
      <c r="I215" s="120">
        <v>9.7000000000000003E-3</v>
      </c>
      <c r="J215" s="120">
        <v>8.6999999999999994E-3</v>
      </c>
      <c r="K215" s="120">
        <v>1.09E-2</v>
      </c>
      <c r="L215" s="105">
        <v>505</v>
      </c>
      <c r="M215">
        <v>0.74</v>
      </c>
      <c r="N215">
        <v>0.66</v>
      </c>
      <c r="O215">
        <v>0.83</v>
      </c>
      <c r="P215" s="105">
        <v>429</v>
      </c>
      <c r="Q215">
        <v>0.63</v>
      </c>
      <c r="R215">
        <v>0.56000000000000005</v>
      </c>
      <c r="S215">
        <v>0.7</v>
      </c>
    </row>
    <row r="216" spans="1:19" x14ac:dyDescent="0.35">
      <c r="A216" t="s">
        <v>345</v>
      </c>
      <c r="B216" t="s">
        <v>127</v>
      </c>
      <c r="C216" t="s">
        <v>126</v>
      </c>
      <c r="D216" s="105" t="s">
        <v>42</v>
      </c>
      <c r="E216" s="105" t="s">
        <v>58</v>
      </c>
      <c r="F216" s="105">
        <v>270</v>
      </c>
      <c r="G216" s="105">
        <v>230</v>
      </c>
      <c r="H216" s="105">
        <v>310</v>
      </c>
      <c r="I216" s="120">
        <v>3.5000000000000001E-3</v>
      </c>
      <c r="J216" s="120">
        <v>3.0000000000000001E-3</v>
      </c>
      <c r="K216" s="120">
        <v>4.1000000000000003E-3</v>
      </c>
      <c r="L216" s="105">
        <v>201</v>
      </c>
      <c r="M216">
        <v>0.74</v>
      </c>
      <c r="N216">
        <v>0.65</v>
      </c>
      <c r="O216">
        <v>0.87</v>
      </c>
      <c r="P216" s="105">
        <v>163</v>
      </c>
      <c r="Q216">
        <v>0.6</v>
      </c>
      <c r="R216">
        <v>0.53</v>
      </c>
      <c r="S216">
        <v>0.71</v>
      </c>
    </row>
    <row r="217" spans="1:19" x14ac:dyDescent="0.35">
      <c r="A217" t="s">
        <v>346</v>
      </c>
      <c r="B217" t="s">
        <v>127</v>
      </c>
      <c r="C217" t="s">
        <v>126</v>
      </c>
      <c r="D217" s="105" t="s">
        <v>37</v>
      </c>
      <c r="E217" s="105" t="s">
        <v>58</v>
      </c>
      <c r="F217" s="105">
        <v>740</v>
      </c>
      <c r="G217" s="105">
        <v>660</v>
      </c>
      <c r="H217" s="105">
        <v>830</v>
      </c>
      <c r="I217" s="120">
        <v>1.0200000000000001E-2</v>
      </c>
      <c r="J217" s="120">
        <v>9.1000000000000004E-3</v>
      </c>
      <c r="K217" s="120">
        <v>1.14E-2</v>
      </c>
      <c r="L217" s="105">
        <v>558</v>
      </c>
      <c r="M217">
        <v>0.75</v>
      </c>
      <c r="N217">
        <v>0.67</v>
      </c>
      <c r="O217">
        <v>0.85</v>
      </c>
      <c r="P217" s="105">
        <v>472</v>
      </c>
      <c r="Q217">
        <v>0.64</v>
      </c>
      <c r="R217">
        <v>0.56999999999999995</v>
      </c>
      <c r="S217">
        <v>0.72</v>
      </c>
    </row>
    <row r="218" spans="1:19" x14ac:dyDescent="0.35">
      <c r="A218" t="s">
        <v>347</v>
      </c>
      <c r="B218" t="s">
        <v>128</v>
      </c>
      <c r="C218" t="s">
        <v>39</v>
      </c>
      <c r="D218" s="105" t="s">
        <v>42</v>
      </c>
      <c r="E218" s="105" t="s">
        <v>56</v>
      </c>
      <c r="F218" s="105">
        <v>670</v>
      </c>
      <c r="G218" s="105">
        <v>610</v>
      </c>
      <c r="H218" s="105">
        <v>720</v>
      </c>
      <c r="I218" s="120">
        <v>8.5000000000000006E-3</v>
      </c>
      <c r="J218" s="120">
        <v>7.7999999999999996E-3</v>
      </c>
      <c r="K218" s="120">
        <v>9.1999999999999998E-3</v>
      </c>
      <c r="L218" s="105">
        <v>573</v>
      </c>
      <c r="M218">
        <v>0.86</v>
      </c>
      <c r="N218">
        <v>0.8</v>
      </c>
      <c r="O218">
        <v>0.94</v>
      </c>
      <c r="P218" s="105">
        <v>427</v>
      </c>
      <c r="Q218">
        <v>0.64</v>
      </c>
      <c r="R218">
        <v>0.59</v>
      </c>
      <c r="S218">
        <v>0.7</v>
      </c>
    </row>
    <row r="219" spans="1:19" x14ac:dyDescent="0.35">
      <c r="A219" t="s">
        <v>348</v>
      </c>
      <c r="B219" t="s">
        <v>128</v>
      </c>
      <c r="C219" t="s">
        <v>39</v>
      </c>
      <c r="D219" s="105" t="s">
        <v>37</v>
      </c>
      <c r="E219" s="105" t="s">
        <v>56</v>
      </c>
      <c r="F219" s="105">
        <v>1000</v>
      </c>
      <c r="G219" s="105">
        <v>930</v>
      </c>
      <c r="H219" s="105">
        <v>1100</v>
      </c>
      <c r="I219" s="120">
        <v>1.26E-2</v>
      </c>
      <c r="J219" s="120">
        <v>1.15E-2</v>
      </c>
      <c r="K219" s="120">
        <v>1.38E-2</v>
      </c>
      <c r="L219" s="105">
        <v>742</v>
      </c>
      <c r="M219">
        <v>0.74</v>
      </c>
      <c r="N219">
        <v>0.67</v>
      </c>
      <c r="O219">
        <v>0.8</v>
      </c>
      <c r="P219" s="105">
        <v>556</v>
      </c>
      <c r="Q219">
        <v>0.56000000000000005</v>
      </c>
      <c r="R219">
        <v>0.51</v>
      </c>
      <c r="S219">
        <v>0.6</v>
      </c>
    </row>
    <row r="220" spans="1:19" x14ac:dyDescent="0.35">
      <c r="A220" t="s">
        <v>349</v>
      </c>
      <c r="B220" t="s">
        <v>128</v>
      </c>
      <c r="C220" t="s">
        <v>44</v>
      </c>
      <c r="D220" s="105" t="s">
        <v>42</v>
      </c>
      <c r="E220" s="105" t="s">
        <v>56</v>
      </c>
      <c r="F220" s="105">
        <v>580</v>
      </c>
      <c r="G220" s="105">
        <v>530</v>
      </c>
      <c r="H220" s="105">
        <v>630</v>
      </c>
      <c r="I220" s="120">
        <v>7.4000000000000003E-3</v>
      </c>
      <c r="J220" s="120">
        <v>6.7000000000000002E-3</v>
      </c>
      <c r="K220" s="120">
        <v>8.0000000000000002E-3</v>
      </c>
      <c r="L220" s="105">
        <v>494</v>
      </c>
      <c r="M220">
        <v>0.85</v>
      </c>
      <c r="N220">
        <v>0.78</v>
      </c>
      <c r="O220">
        <v>0.93</v>
      </c>
      <c r="P220" s="105">
        <v>368</v>
      </c>
      <c r="Q220">
        <v>0.63</v>
      </c>
      <c r="R220">
        <v>0.57999999999999996</v>
      </c>
      <c r="S220">
        <v>0.69</v>
      </c>
    </row>
    <row r="221" spans="1:19" x14ac:dyDescent="0.35">
      <c r="A221" t="s">
        <v>350</v>
      </c>
      <c r="B221" t="s">
        <v>128</v>
      </c>
      <c r="C221" t="s">
        <v>44</v>
      </c>
      <c r="D221" s="105" t="s">
        <v>37</v>
      </c>
      <c r="E221" s="105" t="s">
        <v>56</v>
      </c>
      <c r="F221" s="105">
        <v>900</v>
      </c>
      <c r="G221" s="105">
        <v>820</v>
      </c>
      <c r="H221" s="105">
        <v>990</v>
      </c>
      <c r="I221" s="120">
        <v>1.11E-2</v>
      </c>
      <c r="J221" s="120">
        <v>1.01E-2</v>
      </c>
      <c r="K221" s="120">
        <v>1.2200000000000001E-2</v>
      </c>
      <c r="L221" s="105">
        <v>651</v>
      </c>
      <c r="M221">
        <v>0.72</v>
      </c>
      <c r="N221">
        <v>0.66</v>
      </c>
      <c r="O221">
        <v>0.79</v>
      </c>
      <c r="P221" s="105">
        <v>496</v>
      </c>
      <c r="Q221">
        <v>0.55000000000000004</v>
      </c>
      <c r="R221">
        <v>0.5</v>
      </c>
      <c r="S221">
        <v>0.6</v>
      </c>
    </row>
    <row r="222" spans="1:19" x14ac:dyDescent="0.35">
      <c r="A222" t="s">
        <v>351</v>
      </c>
      <c r="B222" t="s">
        <v>128</v>
      </c>
      <c r="C222" t="s">
        <v>46</v>
      </c>
      <c r="D222" s="105" t="s">
        <v>42</v>
      </c>
      <c r="E222" s="105" t="s">
        <v>56</v>
      </c>
      <c r="F222" s="105">
        <v>540</v>
      </c>
      <c r="G222" s="105">
        <v>490</v>
      </c>
      <c r="H222" s="105">
        <v>590</v>
      </c>
      <c r="I222" s="120">
        <v>7.0000000000000001E-3</v>
      </c>
      <c r="J222" s="120">
        <v>6.4000000000000003E-3</v>
      </c>
      <c r="K222" s="120">
        <v>7.6E-3</v>
      </c>
      <c r="L222" s="105">
        <v>467</v>
      </c>
      <c r="M222">
        <v>0.86</v>
      </c>
      <c r="N222">
        <v>0.79</v>
      </c>
      <c r="O222">
        <v>0.95</v>
      </c>
      <c r="P222" s="105">
        <v>399</v>
      </c>
      <c r="Q222">
        <v>0.74</v>
      </c>
      <c r="R222">
        <v>0.68</v>
      </c>
      <c r="S222">
        <v>0.81</v>
      </c>
    </row>
    <row r="223" spans="1:19" x14ac:dyDescent="0.35">
      <c r="A223" t="s">
        <v>352</v>
      </c>
      <c r="B223" t="s">
        <v>128</v>
      </c>
      <c r="C223" t="s">
        <v>46</v>
      </c>
      <c r="D223" s="105" t="s">
        <v>37</v>
      </c>
      <c r="E223" s="105" t="s">
        <v>56</v>
      </c>
      <c r="F223" s="105">
        <v>830</v>
      </c>
      <c r="G223" s="105">
        <v>760</v>
      </c>
      <c r="H223" s="105">
        <v>910</v>
      </c>
      <c r="I223" s="120">
        <v>1.03E-2</v>
      </c>
      <c r="J223" s="120">
        <v>9.4000000000000004E-3</v>
      </c>
      <c r="K223" s="120">
        <v>1.1299999999999999E-2</v>
      </c>
      <c r="L223" s="105">
        <v>615</v>
      </c>
      <c r="M223">
        <v>0.74</v>
      </c>
      <c r="N223">
        <v>0.68</v>
      </c>
      <c r="O223">
        <v>0.81</v>
      </c>
      <c r="P223" s="105">
        <v>502</v>
      </c>
      <c r="Q223">
        <v>0.6</v>
      </c>
      <c r="R223">
        <v>0.55000000000000004</v>
      </c>
      <c r="S223">
        <v>0.66</v>
      </c>
    </row>
    <row r="224" spans="1:19" x14ac:dyDescent="0.35">
      <c r="A224" t="s">
        <v>353</v>
      </c>
      <c r="B224" t="s">
        <v>128</v>
      </c>
      <c r="C224" t="s">
        <v>47</v>
      </c>
      <c r="D224" s="105" t="s">
        <v>42</v>
      </c>
      <c r="E224" s="105" t="s">
        <v>56</v>
      </c>
      <c r="F224" s="105">
        <v>490</v>
      </c>
      <c r="G224" s="105">
        <v>450</v>
      </c>
      <c r="H224" s="105">
        <v>540</v>
      </c>
      <c r="I224" s="120">
        <v>6.6E-3</v>
      </c>
      <c r="J224" s="120">
        <v>6.0000000000000001E-3</v>
      </c>
      <c r="K224" s="120">
        <v>7.1999999999999998E-3</v>
      </c>
      <c r="L224" s="105">
        <v>428</v>
      </c>
      <c r="M224">
        <v>0.87</v>
      </c>
      <c r="N224">
        <v>0.79</v>
      </c>
      <c r="O224">
        <v>0.95</v>
      </c>
      <c r="P224" s="105">
        <v>375</v>
      </c>
      <c r="Q224">
        <v>0.77</v>
      </c>
      <c r="R224">
        <v>0.69</v>
      </c>
      <c r="S224">
        <v>0.83</v>
      </c>
    </row>
    <row r="225" spans="1:19" x14ac:dyDescent="0.35">
      <c r="A225" t="s">
        <v>354</v>
      </c>
      <c r="B225" t="s">
        <v>128</v>
      </c>
      <c r="C225" t="s">
        <v>47</v>
      </c>
      <c r="D225" s="105" t="s">
        <v>37</v>
      </c>
      <c r="E225" s="105" t="s">
        <v>56</v>
      </c>
      <c r="F225" s="105">
        <v>780</v>
      </c>
      <c r="G225" s="105">
        <v>710</v>
      </c>
      <c r="H225" s="105">
        <v>850</v>
      </c>
      <c r="I225" s="120">
        <v>9.9000000000000008E-3</v>
      </c>
      <c r="J225" s="120">
        <v>9.1000000000000004E-3</v>
      </c>
      <c r="K225" s="120">
        <v>1.09E-2</v>
      </c>
      <c r="L225" s="105">
        <v>590</v>
      </c>
      <c r="M225">
        <v>0.76</v>
      </c>
      <c r="N225">
        <v>0.69</v>
      </c>
      <c r="O225">
        <v>0.83</v>
      </c>
      <c r="P225" s="105">
        <v>492</v>
      </c>
      <c r="Q225">
        <v>0.63</v>
      </c>
      <c r="R225">
        <v>0.57999999999999996</v>
      </c>
      <c r="S225">
        <v>0.69</v>
      </c>
    </row>
    <row r="226" spans="1:19" x14ac:dyDescent="0.35">
      <c r="A226" t="s">
        <v>355</v>
      </c>
      <c r="B226" t="s">
        <v>128</v>
      </c>
      <c r="C226" t="s">
        <v>48</v>
      </c>
      <c r="D226" s="105" t="s">
        <v>42</v>
      </c>
      <c r="E226" s="105" t="s">
        <v>56</v>
      </c>
      <c r="F226" s="105">
        <v>460</v>
      </c>
      <c r="G226" s="105">
        <v>410</v>
      </c>
      <c r="H226" s="105">
        <v>500</v>
      </c>
      <c r="I226" s="120">
        <v>6.3E-3</v>
      </c>
      <c r="J226" s="120">
        <v>5.7000000000000002E-3</v>
      </c>
      <c r="K226" s="120">
        <v>6.8999999999999999E-3</v>
      </c>
      <c r="L226" s="105">
        <v>390</v>
      </c>
      <c r="M226">
        <v>0.85</v>
      </c>
      <c r="N226">
        <v>0.78</v>
      </c>
      <c r="O226">
        <v>0.95</v>
      </c>
      <c r="P226" s="105">
        <v>335</v>
      </c>
      <c r="Q226">
        <v>0.73</v>
      </c>
      <c r="R226">
        <v>0.67</v>
      </c>
      <c r="S226">
        <v>0.82</v>
      </c>
    </row>
    <row r="227" spans="1:19" x14ac:dyDescent="0.35">
      <c r="A227" t="s">
        <v>356</v>
      </c>
      <c r="B227" t="s">
        <v>128</v>
      </c>
      <c r="C227" t="s">
        <v>48</v>
      </c>
      <c r="D227" s="105" t="s">
        <v>37</v>
      </c>
      <c r="E227" s="105" t="s">
        <v>56</v>
      </c>
      <c r="F227" s="105">
        <v>700</v>
      </c>
      <c r="G227" s="105">
        <v>640</v>
      </c>
      <c r="H227" s="105">
        <v>770</v>
      </c>
      <c r="I227" s="120">
        <v>9.1999999999999998E-3</v>
      </c>
      <c r="J227" s="121">
        <v>8.3999999999999995E-3</v>
      </c>
      <c r="K227" s="120">
        <v>1.01E-2</v>
      </c>
      <c r="L227" s="105">
        <v>508</v>
      </c>
      <c r="M227">
        <v>0.73</v>
      </c>
      <c r="N227">
        <v>0.66</v>
      </c>
      <c r="O227">
        <v>0.79</v>
      </c>
      <c r="P227" s="105">
        <v>409</v>
      </c>
      <c r="Q227">
        <v>0.57999999999999996</v>
      </c>
      <c r="R227">
        <v>0.53</v>
      </c>
      <c r="S227">
        <v>0.64</v>
      </c>
    </row>
    <row r="228" spans="1:19" x14ac:dyDescent="0.35">
      <c r="A228" t="s">
        <v>357</v>
      </c>
      <c r="B228" t="s">
        <v>128</v>
      </c>
      <c r="C228" t="s">
        <v>49</v>
      </c>
      <c r="D228" s="105" t="s">
        <v>42</v>
      </c>
      <c r="E228" s="105" t="s">
        <v>56</v>
      </c>
      <c r="F228" s="105">
        <v>430</v>
      </c>
      <c r="G228" s="105">
        <v>380</v>
      </c>
      <c r="H228" s="105">
        <v>470</v>
      </c>
      <c r="I228" s="120">
        <v>5.8999999999999999E-3</v>
      </c>
      <c r="J228" s="120">
        <v>5.3E-3</v>
      </c>
      <c r="K228" s="120">
        <v>6.6E-3</v>
      </c>
      <c r="L228" s="105">
        <v>346</v>
      </c>
      <c r="M228">
        <v>0.8</v>
      </c>
      <c r="N228">
        <v>0.74</v>
      </c>
      <c r="O228">
        <v>0.91</v>
      </c>
      <c r="P228" s="105">
        <v>283</v>
      </c>
      <c r="Q228">
        <v>0.66</v>
      </c>
      <c r="R228">
        <v>0.6</v>
      </c>
      <c r="S228">
        <v>0.74</v>
      </c>
    </row>
    <row r="229" spans="1:19" x14ac:dyDescent="0.35">
      <c r="A229" t="s">
        <v>358</v>
      </c>
      <c r="B229" t="s">
        <v>128</v>
      </c>
      <c r="C229" t="s">
        <v>49</v>
      </c>
      <c r="D229" s="105" t="s">
        <v>37</v>
      </c>
      <c r="E229" s="105" t="s">
        <v>56</v>
      </c>
      <c r="F229" s="105">
        <v>690</v>
      </c>
      <c r="G229" s="105">
        <v>620</v>
      </c>
      <c r="H229" s="105">
        <v>770</v>
      </c>
      <c r="I229" s="120">
        <v>9.1999999999999998E-3</v>
      </c>
      <c r="J229" s="120">
        <v>8.2000000000000007E-3</v>
      </c>
      <c r="K229" s="120">
        <v>1.0200000000000001E-2</v>
      </c>
      <c r="L229" s="105">
        <v>454</v>
      </c>
      <c r="M229">
        <v>0.66</v>
      </c>
      <c r="N229">
        <v>0.59</v>
      </c>
      <c r="O229">
        <v>0.73</v>
      </c>
      <c r="P229" s="105">
        <v>352</v>
      </c>
      <c r="Q229">
        <v>0.51</v>
      </c>
      <c r="R229">
        <v>0.46</v>
      </c>
      <c r="S229">
        <v>0.56999999999999995</v>
      </c>
    </row>
    <row r="230" spans="1:19" x14ac:dyDescent="0.35">
      <c r="A230" t="s">
        <v>359</v>
      </c>
      <c r="B230" t="s">
        <v>128</v>
      </c>
      <c r="C230" t="s">
        <v>124</v>
      </c>
      <c r="D230" s="105" t="s">
        <v>42</v>
      </c>
      <c r="E230" s="105" t="s">
        <v>56</v>
      </c>
      <c r="F230" s="105">
        <v>390</v>
      </c>
      <c r="G230" s="105">
        <v>350</v>
      </c>
      <c r="H230" s="105">
        <v>440</v>
      </c>
      <c r="I230" s="120">
        <v>5.4999999999999997E-3</v>
      </c>
      <c r="J230" s="120">
        <v>5.0000000000000001E-3</v>
      </c>
      <c r="K230" s="120">
        <v>6.1999999999999998E-3</v>
      </c>
      <c r="L230" s="105">
        <v>311</v>
      </c>
      <c r="M230">
        <v>0.8</v>
      </c>
      <c r="N230">
        <v>0.71</v>
      </c>
      <c r="O230">
        <v>0.89</v>
      </c>
      <c r="P230" s="105">
        <v>248</v>
      </c>
      <c r="Q230">
        <v>0.64</v>
      </c>
      <c r="R230">
        <v>0.56000000000000005</v>
      </c>
      <c r="S230">
        <v>0.71</v>
      </c>
    </row>
    <row r="231" spans="1:19" x14ac:dyDescent="0.35">
      <c r="A231" t="s">
        <v>360</v>
      </c>
      <c r="B231" t="s">
        <v>128</v>
      </c>
      <c r="C231" t="s">
        <v>124</v>
      </c>
      <c r="D231" s="105" t="s">
        <v>37</v>
      </c>
      <c r="E231" s="105" t="s">
        <v>56</v>
      </c>
      <c r="F231" s="105">
        <v>670</v>
      </c>
      <c r="G231" s="105">
        <v>600</v>
      </c>
      <c r="H231" s="105">
        <v>750</v>
      </c>
      <c r="I231" s="120">
        <v>8.9999999999999993E-3</v>
      </c>
      <c r="J231" s="120">
        <v>8.0999999999999996E-3</v>
      </c>
      <c r="K231" s="120">
        <v>1.01E-2</v>
      </c>
      <c r="L231" s="105">
        <v>429</v>
      </c>
      <c r="M231">
        <v>0.64</v>
      </c>
      <c r="N231">
        <v>0.56999999999999995</v>
      </c>
      <c r="O231">
        <v>0.72</v>
      </c>
      <c r="P231" s="105">
        <v>322</v>
      </c>
      <c r="Q231">
        <v>0.48</v>
      </c>
      <c r="R231">
        <v>0.43</v>
      </c>
      <c r="S231">
        <v>0.54</v>
      </c>
    </row>
    <row r="232" spans="1:19" x14ac:dyDescent="0.35">
      <c r="A232" t="s">
        <v>361</v>
      </c>
      <c r="B232" t="s">
        <v>128</v>
      </c>
      <c r="C232" t="s">
        <v>125</v>
      </c>
      <c r="D232" s="105" t="s">
        <v>42</v>
      </c>
      <c r="E232" s="105" t="s">
        <v>56</v>
      </c>
      <c r="F232" s="105">
        <v>350</v>
      </c>
      <c r="G232" s="105">
        <v>310</v>
      </c>
      <c r="H232" s="105">
        <v>390</v>
      </c>
      <c r="I232" s="120">
        <v>5.0000000000000001E-3</v>
      </c>
      <c r="J232" s="120">
        <v>4.4999999999999997E-3</v>
      </c>
      <c r="K232" s="120">
        <v>5.5999999999999999E-3</v>
      </c>
      <c r="L232" s="105">
        <v>280</v>
      </c>
      <c r="M232">
        <v>0.8</v>
      </c>
      <c r="N232">
        <v>0.72</v>
      </c>
      <c r="O232">
        <v>0.9</v>
      </c>
      <c r="P232" s="105">
        <v>218</v>
      </c>
      <c r="Q232">
        <v>0.62</v>
      </c>
      <c r="R232">
        <v>0.56000000000000005</v>
      </c>
      <c r="S232">
        <v>0.7</v>
      </c>
    </row>
    <row r="233" spans="1:19" x14ac:dyDescent="0.35">
      <c r="A233" t="s">
        <v>362</v>
      </c>
      <c r="B233" t="s">
        <v>128</v>
      </c>
      <c r="C233" t="s">
        <v>125</v>
      </c>
      <c r="D233" s="105" t="s">
        <v>37</v>
      </c>
      <c r="E233" s="105" t="s">
        <v>56</v>
      </c>
      <c r="F233" s="105">
        <v>620</v>
      </c>
      <c r="G233" s="105">
        <v>550</v>
      </c>
      <c r="H233" s="105">
        <v>690</v>
      </c>
      <c r="I233" s="120">
        <v>8.3999999999999995E-3</v>
      </c>
      <c r="J233" s="120">
        <v>7.6E-3</v>
      </c>
      <c r="K233" s="120">
        <v>9.4000000000000004E-3</v>
      </c>
      <c r="L233" s="105">
        <v>414</v>
      </c>
      <c r="M233">
        <v>0.67</v>
      </c>
      <c r="N233">
        <v>0.6</v>
      </c>
      <c r="O233">
        <v>0.75</v>
      </c>
      <c r="P233" s="105">
        <v>316</v>
      </c>
      <c r="Q233">
        <v>0.51</v>
      </c>
      <c r="R233">
        <v>0.46</v>
      </c>
      <c r="S233">
        <v>0.56999999999999995</v>
      </c>
    </row>
    <row r="234" spans="1:19" x14ac:dyDescent="0.35">
      <c r="A234" t="s">
        <v>363</v>
      </c>
      <c r="B234" t="s">
        <v>128</v>
      </c>
      <c r="C234" t="s">
        <v>126</v>
      </c>
      <c r="D234" s="105" t="s">
        <v>42</v>
      </c>
      <c r="E234" s="105" t="s">
        <v>56</v>
      </c>
      <c r="F234" s="105">
        <v>300</v>
      </c>
      <c r="G234" s="105">
        <v>270</v>
      </c>
      <c r="H234" s="105">
        <v>340</v>
      </c>
      <c r="I234" s="120">
        <v>4.4000000000000003E-3</v>
      </c>
      <c r="J234" s="120">
        <v>3.8999999999999998E-3</v>
      </c>
      <c r="K234" s="120">
        <v>4.8999999999999998E-3</v>
      </c>
      <c r="L234" s="105">
        <v>250</v>
      </c>
      <c r="M234">
        <v>0.83</v>
      </c>
      <c r="N234">
        <v>0.74</v>
      </c>
      <c r="O234">
        <v>0.93</v>
      </c>
      <c r="P234" s="105">
        <v>215</v>
      </c>
      <c r="Q234">
        <v>0.72</v>
      </c>
      <c r="R234">
        <v>0.63</v>
      </c>
      <c r="S234">
        <v>0.8</v>
      </c>
    </row>
    <row r="235" spans="1:19" x14ac:dyDescent="0.35">
      <c r="A235" t="s">
        <v>364</v>
      </c>
      <c r="B235" t="s">
        <v>128</v>
      </c>
      <c r="C235" t="s">
        <v>126</v>
      </c>
      <c r="D235" s="105" t="s">
        <v>37</v>
      </c>
      <c r="E235" s="105" t="s">
        <v>56</v>
      </c>
      <c r="F235" s="105">
        <v>510</v>
      </c>
      <c r="G235" s="105">
        <v>450</v>
      </c>
      <c r="H235" s="105">
        <v>570</v>
      </c>
      <c r="I235" s="120">
        <v>7.4000000000000003E-3</v>
      </c>
      <c r="J235" s="120">
        <v>6.6E-3</v>
      </c>
      <c r="K235" s="120">
        <v>8.3000000000000001E-3</v>
      </c>
      <c r="L235" s="105">
        <v>362</v>
      </c>
      <c r="M235">
        <v>0.71</v>
      </c>
      <c r="N235">
        <v>0.64</v>
      </c>
      <c r="O235">
        <v>0.8</v>
      </c>
      <c r="P235" s="105">
        <v>287</v>
      </c>
      <c r="Q235">
        <v>0.56000000000000005</v>
      </c>
      <c r="R235">
        <v>0.5</v>
      </c>
      <c r="S235">
        <v>0.64</v>
      </c>
    </row>
    <row r="236" spans="1:19" x14ac:dyDescent="0.35">
      <c r="A236" t="s">
        <v>365</v>
      </c>
      <c r="B236" t="s">
        <v>128</v>
      </c>
      <c r="C236" t="s">
        <v>39</v>
      </c>
      <c r="D236" s="105" t="s">
        <v>42</v>
      </c>
      <c r="E236" s="105" t="s">
        <v>57</v>
      </c>
      <c r="F236" s="105">
        <v>620</v>
      </c>
      <c r="G236" s="105">
        <v>570</v>
      </c>
      <c r="H236" s="105">
        <v>680</v>
      </c>
      <c r="I236" s="120">
        <v>1.04E-2</v>
      </c>
      <c r="J236" s="120">
        <v>9.4999999999999998E-3</v>
      </c>
      <c r="K236" s="120">
        <v>1.14E-2</v>
      </c>
      <c r="L236" s="105">
        <v>513</v>
      </c>
      <c r="M236">
        <v>0.83</v>
      </c>
      <c r="N236">
        <v>0.75</v>
      </c>
      <c r="O236">
        <v>0.9</v>
      </c>
      <c r="P236" s="105">
        <v>407</v>
      </c>
      <c r="Q236">
        <v>0.66</v>
      </c>
      <c r="R236">
        <v>0.6</v>
      </c>
      <c r="S236">
        <v>0.71</v>
      </c>
    </row>
    <row r="237" spans="1:19" x14ac:dyDescent="0.35">
      <c r="A237" t="s">
        <v>366</v>
      </c>
      <c r="B237" t="s">
        <v>128</v>
      </c>
      <c r="C237" t="s">
        <v>39</v>
      </c>
      <c r="D237" s="105" t="s">
        <v>37</v>
      </c>
      <c r="E237" s="105" t="s">
        <v>57</v>
      </c>
      <c r="F237" s="105">
        <v>1700</v>
      </c>
      <c r="G237" s="105">
        <v>1600</v>
      </c>
      <c r="H237" s="105">
        <v>1800</v>
      </c>
      <c r="I237" s="120">
        <v>2.8199999999999999E-2</v>
      </c>
      <c r="J237" s="120">
        <v>2.64E-2</v>
      </c>
      <c r="K237" s="120">
        <v>3.0200000000000001E-2</v>
      </c>
      <c r="L237" s="105">
        <v>1432</v>
      </c>
      <c r="M237">
        <v>0.84</v>
      </c>
      <c r="N237">
        <v>0.8</v>
      </c>
      <c r="O237">
        <v>0.9</v>
      </c>
      <c r="P237" s="105">
        <v>1081</v>
      </c>
      <c r="Q237">
        <v>0.64</v>
      </c>
      <c r="R237">
        <v>0.6</v>
      </c>
      <c r="S237">
        <v>0.68</v>
      </c>
    </row>
    <row r="238" spans="1:19" x14ac:dyDescent="0.35">
      <c r="A238" t="s">
        <v>367</v>
      </c>
      <c r="B238" t="s">
        <v>128</v>
      </c>
      <c r="C238" t="s">
        <v>44</v>
      </c>
      <c r="D238" s="105" t="s">
        <v>42</v>
      </c>
      <c r="E238" s="105" t="s">
        <v>57</v>
      </c>
      <c r="F238" s="105">
        <v>670</v>
      </c>
      <c r="G238" s="105">
        <v>620</v>
      </c>
      <c r="H238" s="105">
        <v>730</v>
      </c>
      <c r="I238" s="120">
        <v>1.14E-2</v>
      </c>
      <c r="J238" s="120">
        <v>1.04E-2</v>
      </c>
      <c r="K238" s="120">
        <v>1.23E-2</v>
      </c>
      <c r="L238" s="105">
        <v>579</v>
      </c>
      <c r="M238">
        <v>0.86</v>
      </c>
      <c r="N238">
        <v>0.79</v>
      </c>
      <c r="O238">
        <v>0.93</v>
      </c>
      <c r="P238" s="105">
        <v>451</v>
      </c>
      <c r="Q238">
        <v>0.67</v>
      </c>
      <c r="R238">
        <v>0.62</v>
      </c>
      <c r="S238">
        <v>0.73</v>
      </c>
    </row>
    <row r="239" spans="1:19" x14ac:dyDescent="0.35">
      <c r="A239" t="s">
        <v>368</v>
      </c>
      <c r="B239" t="s">
        <v>128</v>
      </c>
      <c r="C239" t="s">
        <v>44</v>
      </c>
      <c r="D239" s="105" t="s">
        <v>37</v>
      </c>
      <c r="E239" s="105" t="s">
        <v>57</v>
      </c>
      <c r="F239" s="105">
        <v>1700</v>
      </c>
      <c r="G239" s="105">
        <v>1600</v>
      </c>
      <c r="H239" s="105">
        <v>1900</v>
      </c>
      <c r="I239" s="120">
        <v>2.9100000000000001E-2</v>
      </c>
      <c r="J239" s="120">
        <v>2.7400000000000001E-2</v>
      </c>
      <c r="K239" s="120">
        <v>3.1E-2</v>
      </c>
      <c r="L239" s="105">
        <v>1470</v>
      </c>
      <c r="M239">
        <v>0.86</v>
      </c>
      <c r="N239">
        <v>0.77</v>
      </c>
      <c r="O239">
        <v>0.92</v>
      </c>
      <c r="P239" s="105">
        <v>1169</v>
      </c>
      <c r="Q239">
        <v>0.69</v>
      </c>
      <c r="R239">
        <v>0.62</v>
      </c>
      <c r="S239">
        <v>0.73</v>
      </c>
    </row>
    <row r="240" spans="1:19" x14ac:dyDescent="0.35">
      <c r="A240" t="s">
        <v>369</v>
      </c>
      <c r="B240" t="s">
        <v>128</v>
      </c>
      <c r="C240" t="s">
        <v>46</v>
      </c>
      <c r="D240" s="105" t="s">
        <v>42</v>
      </c>
      <c r="E240" s="105" t="s">
        <v>57</v>
      </c>
      <c r="F240" s="105">
        <v>720</v>
      </c>
      <c r="G240" s="105">
        <v>670</v>
      </c>
      <c r="H240" s="105">
        <v>780</v>
      </c>
      <c r="I240" s="120">
        <v>1.23E-2</v>
      </c>
      <c r="J240" s="120">
        <v>1.1299999999999999E-2</v>
      </c>
      <c r="K240" s="120">
        <v>1.3299999999999999E-2</v>
      </c>
      <c r="L240" s="105">
        <v>635</v>
      </c>
      <c r="M240">
        <v>0.88</v>
      </c>
      <c r="N240">
        <v>0.81</v>
      </c>
      <c r="O240">
        <v>0.95</v>
      </c>
      <c r="P240" s="105">
        <v>540</v>
      </c>
      <c r="Q240">
        <v>0.75</v>
      </c>
      <c r="R240">
        <v>0.69</v>
      </c>
      <c r="S240">
        <v>0.81</v>
      </c>
    </row>
    <row r="241" spans="1:19" x14ac:dyDescent="0.35">
      <c r="A241" t="s">
        <v>370</v>
      </c>
      <c r="B241" t="s">
        <v>128</v>
      </c>
      <c r="C241" t="s">
        <v>46</v>
      </c>
      <c r="D241" s="105" t="s">
        <v>37</v>
      </c>
      <c r="E241" s="105" t="s">
        <v>57</v>
      </c>
      <c r="F241" s="105">
        <v>1800</v>
      </c>
      <c r="G241" s="105">
        <v>1700</v>
      </c>
      <c r="H241" s="105">
        <v>1900</v>
      </c>
      <c r="I241" s="120">
        <v>3.0599999999999999E-2</v>
      </c>
      <c r="J241" s="120">
        <v>2.9000000000000001E-2</v>
      </c>
      <c r="K241" s="120">
        <v>3.2500000000000001E-2</v>
      </c>
      <c r="L241" s="105">
        <v>1577</v>
      </c>
      <c r="M241">
        <v>0.88</v>
      </c>
      <c r="N241">
        <v>0.83</v>
      </c>
      <c r="O241">
        <v>0.93</v>
      </c>
      <c r="P241" s="105">
        <v>1373</v>
      </c>
      <c r="Q241">
        <v>0.76</v>
      </c>
      <c r="R241">
        <v>0.72</v>
      </c>
      <c r="S241">
        <v>0.81</v>
      </c>
    </row>
    <row r="242" spans="1:19" x14ac:dyDescent="0.35">
      <c r="A242" t="s">
        <v>371</v>
      </c>
      <c r="B242" t="s">
        <v>128</v>
      </c>
      <c r="C242" t="s">
        <v>47</v>
      </c>
      <c r="D242" s="105" t="s">
        <v>42</v>
      </c>
      <c r="E242" s="105" t="s">
        <v>57</v>
      </c>
      <c r="F242" s="105">
        <v>760</v>
      </c>
      <c r="G242" s="105">
        <v>700</v>
      </c>
      <c r="H242" s="105">
        <v>820</v>
      </c>
      <c r="I242" s="120">
        <v>1.2999999999999999E-2</v>
      </c>
      <c r="J242" s="120">
        <v>1.2E-2</v>
      </c>
      <c r="K242" s="120">
        <v>1.4E-2</v>
      </c>
      <c r="L242" s="105">
        <v>683</v>
      </c>
      <c r="M242">
        <v>0.9</v>
      </c>
      <c r="N242">
        <v>0.83</v>
      </c>
      <c r="O242">
        <v>0.98</v>
      </c>
      <c r="P242" s="105">
        <v>589</v>
      </c>
      <c r="Q242">
        <v>0.78</v>
      </c>
      <c r="R242">
        <v>0.72</v>
      </c>
      <c r="S242">
        <v>0.84</v>
      </c>
    </row>
    <row r="243" spans="1:19" x14ac:dyDescent="0.35">
      <c r="A243" t="s">
        <v>372</v>
      </c>
      <c r="B243" t="s">
        <v>128</v>
      </c>
      <c r="C243" t="s">
        <v>47</v>
      </c>
      <c r="D243" s="105" t="s">
        <v>37</v>
      </c>
      <c r="E243" s="105" t="s">
        <v>57</v>
      </c>
      <c r="F243" s="105">
        <v>1800</v>
      </c>
      <c r="G243" s="105">
        <v>1700</v>
      </c>
      <c r="H243" s="105">
        <v>1900</v>
      </c>
      <c r="I243" s="120">
        <v>3.1E-2</v>
      </c>
      <c r="J243" s="120">
        <v>2.9399999999999999E-2</v>
      </c>
      <c r="K243" s="120">
        <v>3.27E-2</v>
      </c>
      <c r="L243" s="105">
        <v>1615</v>
      </c>
      <c r="M243">
        <v>0.9</v>
      </c>
      <c r="N243">
        <v>0.85</v>
      </c>
      <c r="O243">
        <v>0.95</v>
      </c>
      <c r="P243" s="105">
        <v>1414</v>
      </c>
      <c r="Q243">
        <v>0.79</v>
      </c>
      <c r="R243">
        <v>0.74</v>
      </c>
      <c r="S243">
        <v>0.83</v>
      </c>
    </row>
    <row r="244" spans="1:19" x14ac:dyDescent="0.35">
      <c r="A244" t="s">
        <v>373</v>
      </c>
      <c r="B244" t="s">
        <v>128</v>
      </c>
      <c r="C244" t="s">
        <v>48</v>
      </c>
      <c r="D244" s="105" t="s">
        <v>42</v>
      </c>
      <c r="E244" s="105" t="s">
        <v>57</v>
      </c>
      <c r="F244" s="105">
        <v>770</v>
      </c>
      <c r="G244" s="105">
        <v>710</v>
      </c>
      <c r="H244" s="105">
        <v>830</v>
      </c>
      <c r="I244" s="120">
        <v>1.32E-2</v>
      </c>
      <c r="J244" s="120">
        <v>1.2200000000000001E-2</v>
      </c>
      <c r="K244" s="120">
        <v>1.4200000000000001E-2</v>
      </c>
      <c r="L244" s="105">
        <v>690</v>
      </c>
      <c r="M244">
        <v>0.9</v>
      </c>
      <c r="N244">
        <v>0.83</v>
      </c>
      <c r="O244">
        <v>0.97</v>
      </c>
      <c r="P244" s="105">
        <v>592</v>
      </c>
      <c r="Q244">
        <v>0.77</v>
      </c>
      <c r="R244">
        <v>0.71</v>
      </c>
      <c r="S244">
        <v>0.83</v>
      </c>
    </row>
    <row r="245" spans="1:19" x14ac:dyDescent="0.35">
      <c r="A245" t="s">
        <v>374</v>
      </c>
      <c r="B245" t="s">
        <v>128</v>
      </c>
      <c r="C245" t="s">
        <v>48</v>
      </c>
      <c r="D245" s="105" t="s">
        <v>37</v>
      </c>
      <c r="E245" s="105" t="s">
        <v>57</v>
      </c>
      <c r="F245" s="105">
        <v>1900</v>
      </c>
      <c r="G245" s="105">
        <v>1800</v>
      </c>
      <c r="H245" s="105">
        <v>2000</v>
      </c>
      <c r="I245" s="120">
        <v>3.2199999999999999E-2</v>
      </c>
      <c r="J245" s="120">
        <v>3.0599999999999999E-2</v>
      </c>
      <c r="K245" s="120">
        <v>3.39E-2</v>
      </c>
      <c r="L245" s="105">
        <v>1669</v>
      </c>
      <c r="M245">
        <v>0.88</v>
      </c>
      <c r="N245">
        <v>0.83</v>
      </c>
      <c r="O245">
        <v>0.93</v>
      </c>
      <c r="P245" s="105">
        <v>1423</v>
      </c>
      <c r="Q245">
        <v>0.75</v>
      </c>
      <c r="R245">
        <v>0.71</v>
      </c>
      <c r="S245">
        <v>0.79</v>
      </c>
    </row>
    <row r="246" spans="1:19" x14ac:dyDescent="0.35">
      <c r="A246" t="s">
        <v>375</v>
      </c>
      <c r="B246" t="s">
        <v>128</v>
      </c>
      <c r="C246" t="s">
        <v>49</v>
      </c>
      <c r="D246" s="105" t="s">
        <v>42</v>
      </c>
      <c r="E246" s="105" t="s">
        <v>57</v>
      </c>
      <c r="F246" s="105">
        <v>790</v>
      </c>
      <c r="G246" s="105">
        <v>730</v>
      </c>
      <c r="H246" s="105">
        <v>850</v>
      </c>
      <c r="I246" s="120">
        <v>1.3599999999999999E-2</v>
      </c>
      <c r="J246" s="120">
        <v>1.26E-2</v>
      </c>
      <c r="K246" s="120">
        <v>1.47E-2</v>
      </c>
      <c r="L246" s="105">
        <v>692</v>
      </c>
      <c r="M246">
        <v>0.88</v>
      </c>
      <c r="N246">
        <v>0.81</v>
      </c>
      <c r="O246">
        <v>0.95</v>
      </c>
      <c r="P246" s="105">
        <v>565</v>
      </c>
      <c r="Q246">
        <v>0.72</v>
      </c>
      <c r="R246">
        <v>0.66</v>
      </c>
      <c r="S246">
        <v>0.77</v>
      </c>
    </row>
    <row r="247" spans="1:19" x14ac:dyDescent="0.35">
      <c r="A247" t="s">
        <v>376</v>
      </c>
      <c r="B247" t="s">
        <v>128</v>
      </c>
      <c r="C247" t="s">
        <v>49</v>
      </c>
      <c r="D247" s="105" t="s">
        <v>37</v>
      </c>
      <c r="E247" s="105" t="s">
        <v>57</v>
      </c>
      <c r="F247" s="105">
        <v>2000</v>
      </c>
      <c r="G247" s="105">
        <v>1900</v>
      </c>
      <c r="H247" s="105">
        <v>2100</v>
      </c>
      <c r="I247" s="120">
        <v>3.3399999999999999E-2</v>
      </c>
      <c r="J247" s="120">
        <v>3.1600000000000003E-2</v>
      </c>
      <c r="K247" s="120">
        <v>3.5200000000000002E-2</v>
      </c>
      <c r="L247" s="105">
        <v>1676</v>
      </c>
      <c r="M247">
        <v>0.84</v>
      </c>
      <c r="N247">
        <v>0.8</v>
      </c>
      <c r="O247">
        <v>0.88</v>
      </c>
      <c r="P247" s="105">
        <v>1368</v>
      </c>
      <c r="Q247">
        <v>0.68</v>
      </c>
      <c r="R247">
        <v>0.65</v>
      </c>
      <c r="S247">
        <v>0.72</v>
      </c>
    </row>
    <row r="248" spans="1:19" x14ac:dyDescent="0.35">
      <c r="A248" t="s">
        <v>377</v>
      </c>
      <c r="B248" t="s">
        <v>128</v>
      </c>
      <c r="C248" t="s">
        <v>124</v>
      </c>
      <c r="D248" s="105" t="s">
        <v>42</v>
      </c>
      <c r="E248" s="105" t="s">
        <v>57</v>
      </c>
      <c r="F248" s="105">
        <v>830</v>
      </c>
      <c r="G248" s="105">
        <v>770</v>
      </c>
      <c r="H248" s="105">
        <v>890</v>
      </c>
      <c r="I248" s="120">
        <v>1.4200000000000001E-2</v>
      </c>
      <c r="J248" s="120">
        <v>1.32E-2</v>
      </c>
      <c r="K248" s="120">
        <v>1.5299999999999999E-2</v>
      </c>
      <c r="L248" s="105">
        <v>728</v>
      </c>
      <c r="M248">
        <v>0.88</v>
      </c>
      <c r="N248">
        <v>0.82</v>
      </c>
      <c r="O248">
        <v>0.95</v>
      </c>
      <c r="P248" s="105">
        <v>574</v>
      </c>
      <c r="Q248">
        <v>0.69</v>
      </c>
      <c r="R248">
        <v>0.64</v>
      </c>
      <c r="S248">
        <v>0.75</v>
      </c>
    </row>
    <row r="249" spans="1:19" x14ac:dyDescent="0.35">
      <c r="A249" t="s">
        <v>378</v>
      </c>
      <c r="B249" t="s">
        <v>128</v>
      </c>
      <c r="C249" t="s">
        <v>124</v>
      </c>
      <c r="D249" s="105" t="s">
        <v>37</v>
      </c>
      <c r="E249" s="105" t="s">
        <v>57</v>
      </c>
      <c r="F249" s="105">
        <v>1900</v>
      </c>
      <c r="G249" s="105">
        <v>1800</v>
      </c>
      <c r="H249" s="105">
        <v>2100</v>
      </c>
      <c r="I249" s="120">
        <v>3.3099999999999997E-2</v>
      </c>
      <c r="J249" s="120">
        <v>3.1300000000000001E-2</v>
      </c>
      <c r="K249" s="120">
        <v>3.5000000000000003E-2</v>
      </c>
      <c r="L249" s="105">
        <v>1655</v>
      </c>
      <c r="M249">
        <v>0.87</v>
      </c>
      <c r="N249">
        <v>0.79</v>
      </c>
      <c r="O249">
        <v>0.92</v>
      </c>
      <c r="P249" s="105">
        <v>1312</v>
      </c>
      <c r="Q249">
        <v>0.69</v>
      </c>
      <c r="R249">
        <v>0.62</v>
      </c>
      <c r="S249">
        <v>0.73</v>
      </c>
    </row>
    <row r="250" spans="1:19" x14ac:dyDescent="0.35">
      <c r="A250" t="s">
        <v>379</v>
      </c>
      <c r="B250" t="s">
        <v>128</v>
      </c>
      <c r="C250" t="s">
        <v>125</v>
      </c>
      <c r="D250" s="105" t="s">
        <v>42</v>
      </c>
      <c r="E250" s="105" t="s">
        <v>57</v>
      </c>
      <c r="F250" s="105">
        <v>830</v>
      </c>
      <c r="G250" s="105">
        <v>770</v>
      </c>
      <c r="H250" s="105">
        <v>890</v>
      </c>
      <c r="I250" s="120">
        <v>1.41E-2</v>
      </c>
      <c r="J250" s="120">
        <v>1.32E-2</v>
      </c>
      <c r="K250" s="120">
        <v>1.52E-2</v>
      </c>
      <c r="L250" s="105">
        <v>738</v>
      </c>
      <c r="M250">
        <v>0.89</v>
      </c>
      <c r="N250">
        <v>0.83</v>
      </c>
      <c r="O250">
        <v>0.96</v>
      </c>
      <c r="P250" s="105">
        <v>594</v>
      </c>
      <c r="Q250">
        <v>0.72</v>
      </c>
      <c r="R250">
        <v>0.67</v>
      </c>
      <c r="S250">
        <v>0.77</v>
      </c>
    </row>
    <row r="251" spans="1:19" x14ac:dyDescent="0.35">
      <c r="A251" t="s">
        <v>380</v>
      </c>
      <c r="B251" t="s">
        <v>128</v>
      </c>
      <c r="C251" t="s">
        <v>125</v>
      </c>
      <c r="D251" s="105" t="s">
        <v>37</v>
      </c>
      <c r="E251" s="105" t="s">
        <v>57</v>
      </c>
      <c r="F251" s="105">
        <v>1800</v>
      </c>
      <c r="G251" s="105">
        <v>1700</v>
      </c>
      <c r="H251" s="105">
        <v>2000</v>
      </c>
      <c r="I251" s="120">
        <v>3.1099999999999999E-2</v>
      </c>
      <c r="J251" s="120">
        <v>2.9399999999999999E-2</v>
      </c>
      <c r="K251" s="120">
        <v>3.2899999999999999E-2</v>
      </c>
      <c r="L251" s="105">
        <v>1588</v>
      </c>
      <c r="M251">
        <v>0.88</v>
      </c>
      <c r="N251">
        <v>0.79</v>
      </c>
      <c r="O251">
        <v>0.93</v>
      </c>
      <c r="P251" s="105">
        <v>1293</v>
      </c>
      <c r="Q251">
        <v>0.72</v>
      </c>
      <c r="R251">
        <v>0.65</v>
      </c>
      <c r="S251">
        <v>0.76</v>
      </c>
    </row>
    <row r="252" spans="1:19" x14ac:dyDescent="0.35">
      <c r="A252" t="s">
        <v>381</v>
      </c>
      <c r="B252" t="s">
        <v>128</v>
      </c>
      <c r="C252" t="s">
        <v>126</v>
      </c>
      <c r="D252" s="105" t="s">
        <v>42</v>
      </c>
      <c r="E252" s="105" t="s">
        <v>57</v>
      </c>
      <c r="F252" s="105">
        <v>810</v>
      </c>
      <c r="G252" s="105">
        <v>750</v>
      </c>
      <c r="H252" s="105">
        <v>870</v>
      </c>
      <c r="I252" s="120">
        <v>1.4E-2</v>
      </c>
      <c r="J252" s="120">
        <v>1.2999999999999999E-2</v>
      </c>
      <c r="K252" s="120">
        <v>1.4999999999999999E-2</v>
      </c>
      <c r="L252" s="105">
        <v>738</v>
      </c>
      <c r="M252">
        <v>0.91</v>
      </c>
      <c r="N252">
        <v>0.85</v>
      </c>
      <c r="O252">
        <v>0.98</v>
      </c>
      <c r="P252" s="105">
        <v>641</v>
      </c>
      <c r="Q252">
        <v>0.79</v>
      </c>
      <c r="R252">
        <v>0.74</v>
      </c>
      <c r="S252">
        <v>0.85</v>
      </c>
    </row>
    <row r="253" spans="1:19" x14ac:dyDescent="0.35">
      <c r="A253" t="s">
        <v>382</v>
      </c>
      <c r="B253" t="s">
        <v>128</v>
      </c>
      <c r="C253" t="s">
        <v>126</v>
      </c>
      <c r="D253" s="105" t="s">
        <v>37</v>
      </c>
      <c r="E253" s="105" t="s">
        <v>57</v>
      </c>
      <c r="F253" s="105">
        <v>1700</v>
      </c>
      <c r="G253" s="105">
        <v>1600</v>
      </c>
      <c r="H253" s="105">
        <v>1800</v>
      </c>
      <c r="I253" s="120">
        <v>3.0800000000000001E-2</v>
      </c>
      <c r="J253" s="120">
        <v>2.92E-2</v>
      </c>
      <c r="K253" s="120">
        <v>3.2500000000000001E-2</v>
      </c>
      <c r="L253" s="105">
        <v>1528</v>
      </c>
      <c r="M253">
        <v>0.9</v>
      </c>
      <c r="N253">
        <v>0.85</v>
      </c>
      <c r="O253">
        <v>0.96</v>
      </c>
      <c r="P253" s="105">
        <v>1302</v>
      </c>
      <c r="Q253">
        <v>0.77</v>
      </c>
      <c r="R253">
        <v>0.72</v>
      </c>
      <c r="S253">
        <v>0.81</v>
      </c>
    </row>
    <row r="254" spans="1:19" x14ac:dyDescent="0.35">
      <c r="A254" t="s">
        <v>383</v>
      </c>
      <c r="B254" t="s">
        <v>128</v>
      </c>
      <c r="C254" t="s">
        <v>39</v>
      </c>
      <c r="D254" s="105" t="s">
        <v>42</v>
      </c>
      <c r="E254" s="105" t="s">
        <v>58</v>
      </c>
      <c r="F254" s="105">
        <v>90</v>
      </c>
      <c r="G254" s="105">
        <v>70</v>
      </c>
      <c r="H254" s="105">
        <v>110</v>
      </c>
      <c r="I254" s="120">
        <v>1.5E-3</v>
      </c>
      <c r="J254" s="120">
        <v>1.1999999999999999E-3</v>
      </c>
      <c r="K254" s="120">
        <v>1.9E-3</v>
      </c>
      <c r="L254" s="105">
        <v>54</v>
      </c>
      <c r="M254">
        <v>0.6</v>
      </c>
      <c r="N254">
        <v>0.49</v>
      </c>
      <c r="O254">
        <v>0.77</v>
      </c>
      <c r="P254" s="105">
        <v>40</v>
      </c>
      <c r="Q254">
        <v>0.44</v>
      </c>
      <c r="R254">
        <v>0.36</v>
      </c>
      <c r="S254">
        <v>0.56999999999999995</v>
      </c>
    </row>
    <row r="255" spans="1:19" x14ac:dyDescent="0.35">
      <c r="A255" t="s">
        <v>384</v>
      </c>
      <c r="B255" t="s">
        <v>128</v>
      </c>
      <c r="C255" t="s">
        <v>39</v>
      </c>
      <c r="D255" s="105" t="s">
        <v>37</v>
      </c>
      <c r="E255" s="105" t="s">
        <v>58</v>
      </c>
      <c r="F255" s="105">
        <v>210</v>
      </c>
      <c r="G255" s="105">
        <v>170</v>
      </c>
      <c r="H255" s="105">
        <v>270</v>
      </c>
      <c r="I255" s="120">
        <v>3.8E-3</v>
      </c>
      <c r="J255" s="120">
        <v>3.0000000000000001E-3</v>
      </c>
      <c r="K255" s="120">
        <v>4.7000000000000002E-3</v>
      </c>
      <c r="L255" s="105">
        <v>121</v>
      </c>
      <c r="M255">
        <v>0.57999999999999996</v>
      </c>
      <c r="N255">
        <v>0.45</v>
      </c>
      <c r="O255">
        <v>0.71</v>
      </c>
      <c r="P255" s="105">
        <v>83</v>
      </c>
      <c r="Q255">
        <v>0.4</v>
      </c>
      <c r="R255">
        <v>0.31</v>
      </c>
      <c r="S255">
        <v>0.49</v>
      </c>
    </row>
    <row r="256" spans="1:19" x14ac:dyDescent="0.35">
      <c r="A256" t="s">
        <v>385</v>
      </c>
      <c r="B256" t="s">
        <v>128</v>
      </c>
      <c r="C256" t="s">
        <v>44</v>
      </c>
      <c r="D256" s="105" t="s">
        <v>42</v>
      </c>
      <c r="E256" s="105" t="s">
        <v>58</v>
      </c>
      <c r="F256" s="105">
        <v>90</v>
      </c>
      <c r="G256" s="105">
        <v>70</v>
      </c>
      <c r="H256" s="105">
        <v>120</v>
      </c>
      <c r="I256" s="120">
        <v>1.6000000000000001E-3</v>
      </c>
      <c r="J256" s="120">
        <v>1.2999999999999999E-3</v>
      </c>
      <c r="K256" s="120">
        <v>2E-3</v>
      </c>
      <c r="L256" s="105">
        <v>63</v>
      </c>
      <c r="M256">
        <v>0.7</v>
      </c>
      <c r="N256">
        <v>0.53</v>
      </c>
      <c r="O256">
        <v>0.9</v>
      </c>
      <c r="P256" s="105">
        <v>46</v>
      </c>
      <c r="Q256">
        <v>0.51</v>
      </c>
      <c r="R256">
        <v>0.38</v>
      </c>
      <c r="S256">
        <v>0.66</v>
      </c>
    </row>
    <row r="257" spans="1:19" x14ac:dyDescent="0.35">
      <c r="A257" t="s">
        <v>386</v>
      </c>
      <c r="B257" t="s">
        <v>128</v>
      </c>
      <c r="C257" t="s">
        <v>44</v>
      </c>
      <c r="D257" s="105" t="s">
        <v>37</v>
      </c>
      <c r="E257" s="105" t="s">
        <v>58</v>
      </c>
      <c r="F257" s="105">
        <v>220</v>
      </c>
      <c r="G257" s="105">
        <v>180</v>
      </c>
      <c r="H257" s="105">
        <v>270</v>
      </c>
      <c r="I257" s="120">
        <v>3.8E-3</v>
      </c>
      <c r="J257" s="120">
        <v>3.0999999999999999E-3</v>
      </c>
      <c r="K257" s="120">
        <v>4.7000000000000002E-3</v>
      </c>
      <c r="L257" s="105">
        <v>134</v>
      </c>
      <c r="M257">
        <v>0.61</v>
      </c>
      <c r="N257">
        <v>0.5</v>
      </c>
      <c r="O257">
        <v>0.74</v>
      </c>
      <c r="P257" s="105">
        <v>105</v>
      </c>
      <c r="Q257">
        <v>0.48</v>
      </c>
      <c r="R257">
        <v>0.39</v>
      </c>
      <c r="S257">
        <v>0.57999999999999996</v>
      </c>
    </row>
    <row r="258" spans="1:19" x14ac:dyDescent="0.35">
      <c r="A258" t="s">
        <v>387</v>
      </c>
      <c r="B258" t="s">
        <v>128</v>
      </c>
      <c r="C258" t="s">
        <v>46</v>
      </c>
      <c r="D258" s="105" t="s">
        <v>42</v>
      </c>
      <c r="E258" s="105" t="s">
        <v>58</v>
      </c>
      <c r="F258" s="105">
        <v>100</v>
      </c>
      <c r="G258" s="105">
        <v>80</v>
      </c>
      <c r="H258" s="105">
        <v>130</v>
      </c>
      <c r="I258" s="120">
        <v>1.8E-3</v>
      </c>
      <c r="J258" s="120">
        <v>1.4E-3</v>
      </c>
      <c r="K258" s="120">
        <v>2.2000000000000001E-3</v>
      </c>
      <c r="L258" s="105">
        <v>70</v>
      </c>
      <c r="M258">
        <v>0.7</v>
      </c>
      <c r="N258">
        <v>0.54</v>
      </c>
      <c r="O258">
        <v>0.88</v>
      </c>
      <c r="P258" s="105">
        <v>55</v>
      </c>
      <c r="Q258">
        <v>0.55000000000000004</v>
      </c>
      <c r="R258">
        <v>0.42</v>
      </c>
      <c r="S258">
        <v>0.69</v>
      </c>
    </row>
    <row r="259" spans="1:19" x14ac:dyDescent="0.35">
      <c r="A259" t="s">
        <v>388</v>
      </c>
      <c r="B259" t="s">
        <v>128</v>
      </c>
      <c r="C259" t="s">
        <v>46</v>
      </c>
      <c r="D259" s="105" t="s">
        <v>37</v>
      </c>
      <c r="E259" s="105" t="s">
        <v>58</v>
      </c>
      <c r="F259" s="105">
        <v>260</v>
      </c>
      <c r="G259" s="105">
        <v>220</v>
      </c>
      <c r="H259" s="105">
        <v>310</v>
      </c>
      <c r="I259" s="120">
        <v>4.4999999999999997E-3</v>
      </c>
      <c r="J259" s="120">
        <v>3.8E-3</v>
      </c>
      <c r="K259" s="120">
        <v>5.4999999999999997E-3</v>
      </c>
      <c r="L259" s="105">
        <v>169</v>
      </c>
      <c r="M259">
        <v>0.65</v>
      </c>
      <c r="N259">
        <v>0.55000000000000004</v>
      </c>
      <c r="O259">
        <v>0.77</v>
      </c>
      <c r="P259" s="105">
        <v>142</v>
      </c>
      <c r="Q259">
        <v>0.55000000000000004</v>
      </c>
      <c r="R259">
        <v>0.46</v>
      </c>
      <c r="S259">
        <v>0.65</v>
      </c>
    </row>
    <row r="260" spans="1:19" x14ac:dyDescent="0.35">
      <c r="A260" t="s">
        <v>389</v>
      </c>
      <c r="B260" t="s">
        <v>128</v>
      </c>
      <c r="C260" t="s">
        <v>47</v>
      </c>
      <c r="D260" s="105" t="s">
        <v>42</v>
      </c>
      <c r="E260" s="105" t="s">
        <v>58</v>
      </c>
      <c r="F260" s="105">
        <v>100</v>
      </c>
      <c r="G260" s="105">
        <v>80</v>
      </c>
      <c r="H260" s="105">
        <v>120</v>
      </c>
      <c r="I260" s="120">
        <v>1.6999999999999999E-3</v>
      </c>
      <c r="J260" s="120">
        <v>1.4E-3</v>
      </c>
      <c r="K260" s="120">
        <v>2.0999999999999999E-3</v>
      </c>
      <c r="L260" s="105">
        <v>80</v>
      </c>
      <c r="M260">
        <v>0.8</v>
      </c>
      <c r="N260">
        <v>0.67</v>
      </c>
      <c r="O260">
        <v>1</v>
      </c>
      <c r="P260" s="105">
        <v>68</v>
      </c>
      <c r="Q260">
        <v>0.68</v>
      </c>
      <c r="R260">
        <v>0.56999999999999995</v>
      </c>
      <c r="S260">
        <v>0.85</v>
      </c>
    </row>
    <row r="261" spans="1:19" x14ac:dyDescent="0.35">
      <c r="A261" t="s">
        <v>390</v>
      </c>
      <c r="B261" t="s">
        <v>128</v>
      </c>
      <c r="C261" t="s">
        <v>47</v>
      </c>
      <c r="D261" s="105" t="s">
        <v>37</v>
      </c>
      <c r="E261" s="105" t="s">
        <v>58</v>
      </c>
      <c r="F261" s="105">
        <v>270</v>
      </c>
      <c r="G261" s="105">
        <v>230</v>
      </c>
      <c r="H261" s="105">
        <v>310</v>
      </c>
      <c r="I261" s="120">
        <v>4.7000000000000002E-3</v>
      </c>
      <c r="J261" s="120">
        <v>4.0000000000000001E-3</v>
      </c>
      <c r="K261" s="120">
        <v>5.4000000000000003E-3</v>
      </c>
      <c r="L261" s="105">
        <v>210</v>
      </c>
      <c r="M261">
        <v>0.78</v>
      </c>
      <c r="N261">
        <v>0.68</v>
      </c>
      <c r="O261">
        <v>0.91</v>
      </c>
      <c r="P261" s="105">
        <v>180</v>
      </c>
      <c r="Q261">
        <v>0.67</v>
      </c>
      <c r="R261">
        <v>0.57999999999999996</v>
      </c>
      <c r="S261">
        <v>0.78</v>
      </c>
    </row>
    <row r="262" spans="1:19" x14ac:dyDescent="0.35">
      <c r="A262" t="s">
        <v>391</v>
      </c>
      <c r="B262" t="s">
        <v>128</v>
      </c>
      <c r="C262" t="s">
        <v>48</v>
      </c>
      <c r="D262" s="105" t="s">
        <v>42</v>
      </c>
      <c r="E262" s="105" t="s">
        <v>58</v>
      </c>
      <c r="F262" s="105">
        <v>120</v>
      </c>
      <c r="G262" s="105">
        <v>100</v>
      </c>
      <c r="H262" s="105">
        <v>150</v>
      </c>
      <c r="I262" s="120">
        <v>2E-3</v>
      </c>
      <c r="J262" s="120">
        <v>1.6999999999999999E-3</v>
      </c>
      <c r="K262" s="120">
        <v>2.5000000000000001E-3</v>
      </c>
      <c r="L262" s="105">
        <v>93</v>
      </c>
      <c r="M262">
        <v>0.78</v>
      </c>
      <c r="N262">
        <v>0.62</v>
      </c>
      <c r="O262">
        <v>0.93</v>
      </c>
      <c r="P262" s="105">
        <v>71</v>
      </c>
      <c r="Q262">
        <v>0.59</v>
      </c>
      <c r="R262">
        <v>0.47</v>
      </c>
      <c r="S262">
        <v>0.71</v>
      </c>
    </row>
    <row r="263" spans="1:19" x14ac:dyDescent="0.35">
      <c r="A263" t="s">
        <v>392</v>
      </c>
      <c r="B263" t="s">
        <v>128</v>
      </c>
      <c r="C263" t="s">
        <v>48</v>
      </c>
      <c r="D263" s="105" t="s">
        <v>37</v>
      </c>
      <c r="E263" s="105" t="s">
        <v>58</v>
      </c>
      <c r="F263" s="105">
        <v>310</v>
      </c>
      <c r="G263" s="105">
        <v>270</v>
      </c>
      <c r="H263" s="105">
        <v>360</v>
      </c>
      <c r="I263" s="120">
        <v>5.3E-3</v>
      </c>
      <c r="J263" s="120">
        <v>4.5999999999999999E-3</v>
      </c>
      <c r="K263" s="120">
        <v>6.1000000000000004E-3</v>
      </c>
      <c r="L263" s="105">
        <v>230</v>
      </c>
      <c r="M263">
        <v>0.74</v>
      </c>
      <c r="N263">
        <v>0.64</v>
      </c>
      <c r="O263">
        <v>0.85</v>
      </c>
      <c r="P263" s="105">
        <v>194</v>
      </c>
      <c r="Q263">
        <v>0.63</v>
      </c>
      <c r="R263">
        <v>0.54</v>
      </c>
      <c r="S263">
        <v>0.72</v>
      </c>
    </row>
    <row r="264" spans="1:19" x14ac:dyDescent="0.35">
      <c r="A264" t="s">
        <v>393</v>
      </c>
      <c r="B264" t="s">
        <v>128</v>
      </c>
      <c r="C264" t="s">
        <v>49</v>
      </c>
      <c r="D264" s="105" t="s">
        <v>42</v>
      </c>
      <c r="E264" s="105" t="s">
        <v>58</v>
      </c>
      <c r="F264" s="105">
        <v>140</v>
      </c>
      <c r="G264" s="105">
        <v>120</v>
      </c>
      <c r="H264" s="105">
        <v>160</v>
      </c>
      <c r="I264" s="120">
        <v>2.3E-3</v>
      </c>
      <c r="J264" s="120">
        <v>1.9E-3</v>
      </c>
      <c r="K264" s="120">
        <v>2.7000000000000001E-3</v>
      </c>
      <c r="L264" s="105">
        <v>111</v>
      </c>
      <c r="M264">
        <v>0.79</v>
      </c>
      <c r="N264">
        <v>0.69</v>
      </c>
      <c r="O264">
        <v>0.93</v>
      </c>
      <c r="P264" s="105">
        <v>85</v>
      </c>
      <c r="Q264">
        <v>0.61</v>
      </c>
      <c r="R264">
        <v>0.53</v>
      </c>
      <c r="S264">
        <v>0.71</v>
      </c>
    </row>
    <row r="265" spans="1:19" x14ac:dyDescent="0.35">
      <c r="A265" t="s">
        <v>394</v>
      </c>
      <c r="B265" t="s">
        <v>128</v>
      </c>
      <c r="C265" t="s">
        <v>49</v>
      </c>
      <c r="D265" s="105" t="s">
        <v>37</v>
      </c>
      <c r="E265" s="105" t="s">
        <v>58</v>
      </c>
      <c r="F265" s="105">
        <v>350</v>
      </c>
      <c r="G265" s="105">
        <v>300</v>
      </c>
      <c r="H265" s="105">
        <v>400</v>
      </c>
      <c r="I265" s="120">
        <v>5.8999999999999999E-3</v>
      </c>
      <c r="J265" s="120">
        <v>5.1000000000000004E-3</v>
      </c>
      <c r="K265" s="120">
        <v>6.7000000000000002E-3</v>
      </c>
      <c r="L265" s="105">
        <v>268</v>
      </c>
      <c r="M265">
        <v>0.77</v>
      </c>
      <c r="N265">
        <v>0.67</v>
      </c>
      <c r="O265">
        <v>0.89</v>
      </c>
      <c r="P265" s="105">
        <v>213</v>
      </c>
      <c r="Q265">
        <v>0.61</v>
      </c>
      <c r="R265">
        <v>0.53</v>
      </c>
      <c r="S265">
        <v>0.71</v>
      </c>
    </row>
    <row r="266" spans="1:19" x14ac:dyDescent="0.35">
      <c r="A266" t="s">
        <v>395</v>
      </c>
      <c r="B266" t="s">
        <v>128</v>
      </c>
      <c r="C266" t="s">
        <v>124</v>
      </c>
      <c r="D266" s="105" t="s">
        <v>42</v>
      </c>
      <c r="E266" s="105" t="s">
        <v>58</v>
      </c>
      <c r="F266" s="105">
        <v>160</v>
      </c>
      <c r="G266" s="105">
        <v>140</v>
      </c>
      <c r="H266" s="105">
        <v>190</v>
      </c>
      <c r="I266" s="120">
        <v>2.7000000000000001E-3</v>
      </c>
      <c r="J266" s="120">
        <v>2.2000000000000001E-3</v>
      </c>
      <c r="K266" s="120">
        <v>3.2000000000000002E-3</v>
      </c>
      <c r="L266" s="105">
        <v>122</v>
      </c>
      <c r="M266">
        <v>0.76</v>
      </c>
      <c r="N266">
        <v>0.64</v>
      </c>
      <c r="O266">
        <v>0.87</v>
      </c>
      <c r="P266" s="105">
        <v>97</v>
      </c>
      <c r="Q266">
        <v>0.61</v>
      </c>
      <c r="R266">
        <v>0.51</v>
      </c>
      <c r="S266">
        <v>0.69</v>
      </c>
    </row>
    <row r="267" spans="1:19" x14ac:dyDescent="0.35">
      <c r="A267" t="s">
        <v>396</v>
      </c>
      <c r="B267" t="s">
        <v>128</v>
      </c>
      <c r="C267" t="s">
        <v>124</v>
      </c>
      <c r="D267" s="105" t="s">
        <v>37</v>
      </c>
      <c r="E267" s="105" t="s">
        <v>58</v>
      </c>
      <c r="F267" s="105">
        <v>440</v>
      </c>
      <c r="G267" s="105">
        <v>390</v>
      </c>
      <c r="H267" s="105">
        <v>500</v>
      </c>
      <c r="I267" s="120">
        <v>7.4999999999999997E-3</v>
      </c>
      <c r="J267" s="120">
        <v>6.6E-3</v>
      </c>
      <c r="K267" s="120">
        <v>8.5000000000000006E-3</v>
      </c>
      <c r="L267" s="105">
        <v>332</v>
      </c>
      <c r="M267">
        <v>0.75</v>
      </c>
      <c r="N267">
        <v>0.66</v>
      </c>
      <c r="O267">
        <v>0.85</v>
      </c>
      <c r="P267" s="105">
        <v>255</v>
      </c>
      <c r="Q267">
        <v>0.57999999999999996</v>
      </c>
      <c r="R267">
        <v>0.51</v>
      </c>
      <c r="S267">
        <v>0.65</v>
      </c>
    </row>
    <row r="268" spans="1:19" x14ac:dyDescent="0.35">
      <c r="A268" t="s">
        <v>397</v>
      </c>
      <c r="B268" t="s">
        <v>128</v>
      </c>
      <c r="C268" t="s">
        <v>125</v>
      </c>
      <c r="D268" s="105" t="s">
        <v>42</v>
      </c>
      <c r="E268" s="105" t="s">
        <v>58</v>
      </c>
      <c r="F268" s="105">
        <v>170</v>
      </c>
      <c r="G268" s="105">
        <v>140</v>
      </c>
      <c r="H268" s="105">
        <v>200</v>
      </c>
      <c r="I268" s="120">
        <v>2.8E-3</v>
      </c>
      <c r="J268" s="120">
        <v>2.3E-3</v>
      </c>
      <c r="K268" s="120">
        <v>3.3E-3</v>
      </c>
      <c r="L268" s="105">
        <v>131</v>
      </c>
      <c r="M268">
        <v>0.77</v>
      </c>
      <c r="N268">
        <v>0.66</v>
      </c>
      <c r="O268">
        <v>0.94</v>
      </c>
      <c r="P268" s="105">
        <v>112</v>
      </c>
      <c r="Q268">
        <v>0.66</v>
      </c>
      <c r="R268">
        <v>0.56000000000000005</v>
      </c>
      <c r="S268">
        <v>0.8</v>
      </c>
    </row>
    <row r="269" spans="1:19" x14ac:dyDescent="0.35">
      <c r="A269" t="s">
        <v>398</v>
      </c>
      <c r="B269" t="s">
        <v>128</v>
      </c>
      <c r="C269" t="s">
        <v>125</v>
      </c>
      <c r="D269" s="105" t="s">
        <v>37</v>
      </c>
      <c r="E269" s="105" t="s">
        <v>58</v>
      </c>
      <c r="F269" s="105">
        <v>500</v>
      </c>
      <c r="G269" s="105">
        <v>450</v>
      </c>
      <c r="H269" s="105">
        <v>570</v>
      </c>
      <c r="I269" s="120">
        <v>8.5000000000000006E-3</v>
      </c>
      <c r="J269" s="120">
        <v>7.6E-3</v>
      </c>
      <c r="K269" s="120">
        <v>9.5999999999999992E-3</v>
      </c>
      <c r="L269" s="105">
        <v>398</v>
      </c>
      <c r="M269">
        <v>0.8</v>
      </c>
      <c r="N269">
        <v>0.7</v>
      </c>
      <c r="O269">
        <v>0.88</v>
      </c>
      <c r="P269" s="105">
        <v>316</v>
      </c>
      <c r="Q269">
        <v>0.63</v>
      </c>
      <c r="R269">
        <v>0.55000000000000004</v>
      </c>
      <c r="S269">
        <v>0.7</v>
      </c>
    </row>
    <row r="270" spans="1:19" x14ac:dyDescent="0.35">
      <c r="A270" t="s">
        <v>399</v>
      </c>
      <c r="B270" t="s">
        <v>128</v>
      </c>
      <c r="C270" t="s">
        <v>126</v>
      </c>
      <c r="D270" s="105" t="s">
        <v>42</v>
      </c>
      <c r="E270" s="105" t="s">
        <v>58</v>
      </c>
      <c r="F270" s="105">
        <v>190</v>
      </c>
      <c r="G270" s="105">
        <v>160</v>
      </c>
      <c r="H270" s="105">
        <v>220</v>
      </c>
      <c r="I270" s="120">
        <v>3.0000000000000001E-3</v>
      </c>
      <c r="J270" s="120">
        <v>2.5000000000000001E-3</v>
      </c>
      <c r="K270" s="120">
        <v>3.5000000000000001E-3</v>
      </c>
      <c r="L270" s="105">
        <v>147</v>
      </c>
      <c r="M270">
        <v>0.77</v>
      </c>
      <c r="N270">
        <v>0.67</v>
      </c>
      <c r="O270">
        <v>0.92</v>
      </c>
      <c r="P270" s="105">
        <v>122</v>
      </c>
      <c r="Q270">
        <v>0.64</v>
      </c>
      <c r="R270">
        <v>0.55000000000000004</v>
      </c>
      <c r="S270">
        <v>0.76</v>
      </c>
    </row>
    <row r="271" spans="1:19" x14ac:dyDescent="0.35">
      <c r="A271" t="s">
        <v>400</v>
      </c>
      <c r="B271" t="s">
        <v>128</v>
      </c>
      <c r="C271" t="s">
        <v>126</v>
      </c>
      <c r="D271" s="105" t="s">
        <v>37</v>
      </c>
      <c r="E271" s="105" t="s">
        <v>58</v>
      </c>
      <c r="F271" s="105">
        <v>580</v>
      </c>
      <c r="G271" s="105">
        <v>520</v>
      </c>
      <c r="H271" s="105">
        <v>650</v>
      </c>
      <c r="I271" s="120">
        <v>9.5999999999999992E-3</v>
      </c>
      <c r="J271" s="120">
        <v>8.6E-3</v>
      </c>
      <c r="K271" s="120">
        <v>1.0800000000000001E-2</v>
      </c>
      <c r="L271" s="105">
        <v>469</v>
      </c>
      <c r="M271">
        <v>0.81</v>
      </c>
      <c r="N271">
        <v>0.72</v>
      </c>
      <c r="O271">
        <v>0.9</v>
      </c>
      <c r="P271" s="105">
        <v>404</v>
      </c>
      <c r="Q271">
        <v>0.7</v>
      </c>
      <c r="R271">
        <v>0.62</v>
      </c>
      <c r="S271">
        <v>0.78</v>
      </c>
    </row>
    <row r="272" spans="1:19" x14ac:dyDescent="0.35">
      <c r="A272" t="s">
        <v>401</v>
      </c>
      <c r="B272" t="s">
        <v>45</v>
      </c>
      <c r="C272" t="s">
        <v>39</v>
      </c>
      <c r="D272" s="105" t="s">
        <v>42</v>
      </c>
      <c r="E272" s="105" t="s">
        <v>56</v>
      </c>
      <c r="F272" s="105">
        <v>660</v>
      </c>
      <c r="G272" s="105">
        <v>610</v>
      </c>
      <c r="H272" s="105">
        <v>720</v>
      </c>
      <c r="I272" s="120">
        <v>1.2500000000000001E-2</v>
      </c>
      <c r="J272" s="120">
        <v>1.15E-2</v>
      </c>
      <c r="K272" s="120">
        <v>1.3599999999999999E-2</v>
      </c>
      <c r="L272" s="105">
        <v>560</v>
      </c>
      <c r="M272">
        <v>0.85</v>
      </c>
      <c r="N272">
        <v>0.78</v>
      </c>
      <c r="O272">
        <v>0.92</v>
      </c>
      <c r="P272" s="105">
        <v>472</v>
      </c>
      <c r="Q272">
        <v>0.72</v>
      </c>
      <c r="R272">
        <v>0.66</v>
      </c>
      <c r="S272">
        <v>0.77</v>
      </c>
    </row>
    <row r="273" spans="1:19" x14ac:dyDescent="0.35">
      <c r="A273" t="s">
        <v>402</v>
      </c>
      <c r="B273" t="s">
        <v>45</v>
      </c>
      <c r="C273" t="s">
        <v>39</v>
      </c>
      <c r="D273" s="105" t="s">
        <v>37</v>
      </c>
      <c r="E273" s="105" t="s">
        <v>56</v>
      </c>
      <c r="F273" s="105">
        <v>980</v>
      </c>
      <c r="G273" s="105">
        <v>890</v>
      </c>
      <c r="H273" s="105">
        <v>1100</v>
      </c>
      <c r="I273" s="120">
        <v>1.83E-2</v>
      </c>
      <c r="J273" s="120">
        <v>1.67E-2</v>
      </c>
      <c r="K273" s="120">
        <v>2.01E-2</v>
      </c>
      <c r="L273" s="105">
        <v>682</v>
      </c>
      <c r="M273">
        <v>0.7</v>
      </c>
      <c r="N273">
        <v>0.62</v>
      </c>
      <c r="O273">
        <v>0.77</v>
      </c>
      <c r="P273" s="105">
        <v>574</v>
      </c>
      <c r="Q273">
        <v>0.59</v>
      </c>
      <c r="R273">
        <v>0.52</v>
      </c>
      <c r="S273">
        <v>0.64</v>
      </c>
    </row>
    <row r="274" spans="1:19" x14ac:dyDescent="0.35">
      <c r="A274" t="s">
        <v>403</v>
      </c>
      <c r="B274" t="s">
        <v>45</v>
      </c>
      <c r="C274" t="s">
        <v>44</v>
      </c>
      <c r="D274" s="105" t="s">
        <v>42</v>
      </c>
      <c r="E274" s="105" t="s">
        <v>56</v>
      </c>
      <c r="F274" s="105">
        <v>600</v>
      </c>
      <c r="G274" s="105">
        <v>550</v>
      </c>
      <c r="H274" s="105">
        <v>660</v>
      </c>
      <c r="I274" s="120">
        <v>1.14E-2</v>
      </c>
      <c r="J274" s="120">
        <v>1.04E-2</v>
      </c>
      <c r="K274" s="120">
        <v>1.24E-2</v>
      </c>
      <c r="L274" s="105">
        <v>510</v>
      </c>
      <c r="M274">
        <v>0.85</v>
      </c>
      <c r="N274">
        <v>0.77</v>
      </c>
      <c r="O274">
        <v>0.93</v>
      </c>
      <c r="P274" s="105">
        <v>416</v>
      </c>
      <c r="Q274">
        <v>0.69</v>
      </c>
      <c r="R274">
        <v>0.63</v>
      </c>
      <c r="S274">
        <v>0.76</v>
      </c>
    </row>
    <row r="275" spans="1:19" x14ac:dyDescent="0.35">
      <c r="A275" t="s">
        <v>404</v>
      </c>
      <c r="B275" t="s">
        <v>45</v>
      </c>
      <c r="C275" t="s">
        <v>44</v>
      </c>
      <c r="D275" s="105" t="s">
        <v>37</v>
      </c>
      <c r="E275" s="105" t="s">
        <v>56</v>
      </c>
      <c r="F275" s="105">
        <v>900</v>
      </c>
      <c r="G275" s="105">
        <v>820</v>
      </c>
      <c r="H275" s="105">
        <v>990</v>
      </c>
      <c r="I275" s="120">
        <v>1.6899999999999998E-2</v>
      </c>
      <c r="J275" s="120">
        <v>1.54E-2</v>
      </c>
      <c r="K275" s="120">
        <v>1.8599999999999998E-2</v>
      </c>
      <c r="L275" s="105">
        <v>636</v>
      </c>
      <c r="M275">
        <v>0.71</v>
      </c>
      <c r="N275">
        <v>0.64</v>
      </c>
      <c r="O275">
        <v>0.78</v>
      </c>
      <c r="P275" s="105">
        <v>511</v>
      </c>
      <c r="Q275">
        <v>0.56999999999999995</v>
      </c>
      <c r="R275">
        <v>0.52</v>
      </c>
      <c r="S275">
        <v>0.62</v>
      </c>
    </row>
    <row r="276" spans="1:19" x14ac:dyDescent="0.35">
      <c r="A276" t="s">
        <v>405</v>
      </c>
      <c r="B276" t="s">
        <v>45</v>
      </c>
      <c r="C276" t="s">
        <v>46</v>
      </c>
      <c r="D276" s="105" t="s">
        <v>42</v>
      </c>
      <c r="E276" s="105" t="s">
        <v>56</v>
      </c>
      <c r="F276" s="105">
        <v>530</v>
      </c>
      <c r="G276" s="105">
        <v>480</v>
      </c>
      <c r="H276" s="105">
        <v>580</v>
      </c>
      <c r="I276" s="120">
        <v>0.01</v>
      </c>
      <c r="J276" s="120">
        <v>9.1000000000000004E-3</v>
      </c>
      <c r="K276" s="120">
        <v>1.0999999999999999E-2</v>
      </c>
      <c r="L276" s="105">
        <v>446</v>
      </c>
      <c r="M276">
        <v>0.84</v>
      </c>
      <c r="N276">
        <v>0.77</v>
      </c>
      <c r="O276">
        <v>0.93</v>
      </c>
      <c r="P276" s="105">
        <v>349</v>
      </c>
      <c r="Q276">
        <v>0.66</v>
      </c>
      <c r="R276">
        <v>0.6</v>
      </c>
      <c r="S276">
        <v>0.73</v>
      </c>
    </row>
    <row r="277" spans="1:19" x14ac:dyDescent="0.35">
      <c r="A277" t="s">
        <v>406</v>
      </c>
      <c r="B277" t="s">
        <v>45</v>
      </c>
      <c r="C277" t="s">
        <v>46</v>
      </c>
      <c r="D277" s="105" t="s">
        <v>37</v>
      </c>
      <c r="E277" s="105" t="s">
        <v>56</v>
      </c>
      <c r="F277" s="105">
        <v>790</v>
      </c>
      <c r="G277" s="105">
        <v>720</v>
      </c>
      <c r="H277" s="105">
        <v>870</v>
      </c>
      <c r="I277" s="120">
        <v>1.4800000000000001E-2</v>
      </c>
      <c r="J277" s="120">
        <v>1.35E-2</v>
      </c>
      <c r="K277" s="120">
        <v>1.6299999999999999E-2</v>
      </c>
      <c r="L277" s="105">
        <v>560</v>
      </c>
      <c r="M277">
        <v>0.71</v>
      </c>
      <c r="N277">
        <v>0.64</v>
      </c>
      <c r="O277">
        <v>0.78</v>
      </c>
      <c r="P277" s="105">
        <v>443</v>
      </c>
      <c r="Q277">
        <v>0.56000000000000005</v>
      </c>
      <c r="R277">
        <v>0.51</v>
      </c>
      <c r="S277">
        <v>0.62</v>
      </c>
    </row>
    <row r="278" spans="1:19" x14ac:dyDescent="0.35">
      <c r="A278" t="s">
        <v>407</v>
      </c>
      <c r="B278" t="s">
        <v>45</v>
      </c>
      <c r="C278" t="s">
        <v>47</v>
      </c>
      <c r="D278" s="105" t="s">
        <v>42</v>
      </c>
      <c r="E278" s="105" t="s">
        <v>56</v>
      </c>
      <c r="F278" s="105">
        <v>460</v>
      </c>
      <c r="G278" s="105">
        <v>420</v>
      </c>
      <c r="H278" s="105">
        <v>510</v>
      </c>
      <c r="I278" s="120">
        <v>8.8000000000000005E-3</v>
      </c>
      <c r="J278" s="120">
        <v>8.0000000000000002E-3</v>
      </c>
      <c r="K278" s="120">
        <v>9.7000000000000003E-3</v>
      </c>
      <c r="L278" s="105">
        <v>387</v>
      </c>
      <c r="M278">
        <v>0.84</v>
      </c>
      <c r="N278">
        <v>0.76</v>
      </c>
      <c r="O278">
        <v>0.92</v>
      </c>
      <c r="P278" s="105">
        <v>298</v>
      </c>
      <c r="Q278">
        <v>0.65</v>
      </c>
      <c r="R278">
        <v>0.57999999999999996</v>
      </c>
      <c r="S278">
        <v>0.71</v>
      </c>
    </row>
    <row r="279" spans="1:19" x14ac:dyDescent="0.35">
      <c r="A279" t="s">
        <v>408</v>
      </c>
      <c r="B279" t="s">
        <v>45</v>
      </c>
      <c r="C279" t="s">
        <v>47</v>
      </c>
      <c r="D279" s="105" t="s">
        <v>37</v>
      </c>
      <c r="E279" s="105" t="s">
        <v>56</v>
      </c>
      <c r="F279" s="105">
        <v>710</v>
      </c>
      <c r="G279" s="105">
        <v>650</v>
      </c>
      <c r="H279" s="105">
        <v>780</v>
      </c>
      <c r="I279" s="120">
        <v>1.34E-2</v>
      </c>
      <c r="J279" s="120">
        <v>1.2200000000000001E-2</v>
      </c>
      <c r="K279" s="120">
        <v>1.4800000000000001E-2</v>
      </c>
      <c r="L279" s="105">
        <v>503</v>
      </c>
      <c r="M279">
        <v>0.71</v>
      </c>
      <c r="N279">
        <v>0.64</v>
      </c>
      <c r="O279">
        <v>0.77</v>
      </c>
      <c r="P279" s="105">
        <v>400</v>
      </c>
      <c r="Q279">
        <v>0.56000000000000005</v>
      </c>
      <c r="R279">
        <v>0.51</v>
      </c>
      <c r="S279">
        <v>0.62</v>
      </c>
    </row>
    <row r="280" spans="1:19" x14ac:dyDescent="0.35">
      <c r="A280" t="s">
        <v>409</v>
      </c>
      <c r="B280" t="s">
        <v>45</v>
      </c>
      <c r="C280" t="s">
        <v>48</v>
      </c>
      <c r="D280" s="105" t="s">
        <v>42</v>
      </c>
      <c r="E280" s="105" t="s">
        <v>56</v>
      </c>
      <c r="F280" s="105">
        <v>410</v>
      </c>
      <c r="G280" s="105">
        <v>360</v>
      </c>
      <c r="H280" s="105">
        <v>450</v>
      </c>
      <c r="I280" s="120">
        <v>7.7999999999999996E-3</v>
      </c>
      <c r="J280" s="120">
        <v>7.0000000000000001E-3</v>
      </c>
      <c r="K280" s="120">
        <v>8.6999999999999994E-3</v>
      </c>
      <c r="L280" s="105">
        <v>329</v>
      </c>
      <c r="M280">
        <v>0.8</v>
      </c>
      <c r="N280">
        <v>0.73</v>
      </c>
      <c r="O280">
        <v>0.91</v>
      </c>
      <c r="P280" s="105">
        <v>262</v>
      </c>
      <c r="Q280">
        <v>0.64</v>
      </c>
      <c r="R280">
        <v>0.57999999999999996</v>
      </c>
      <c r="S280">
        <v>0.73</v>
      </c>
    </row>
    <row r="281" spans="1:19" x14ac:dyDescent="0.35">
      <c r="A281" t="s">
        <v>410</v>
      </c>
      <c r="B281" t="s">
        <v>45</v>
      </c>
      <c r="C281" t="s">
        <v>48</v>
      </c>
      <c r="D281" s="105" t="s">
        <v>37</v>
      </c>
      <c r="E281" s="105" t="s">
        <v>56</v>
      </c>
      <c r="F281" s="105">
        <v>670</v>
      </c>
      <c r="G281" s="105">
        <v>610</v>
      </c>
      <c r="H281" s="105">
        <v>740</v>
      </c>
      <c r="I281" s="120">
        <v>1.26E-2</v>
      </c>
      <c r="J281" s="121">
        <v>1.15E-2</v>
      </c>
      <c r="K281" s="120">
        <v>1.3899999999999999E-2</v>
      </c>
      <c r="L281" s="105">
        <v>448</v>
      </c>
      <c r="M281">
        <v>0.67</v>
      </c>
      <c r="N281">
        <v>0.61</v>
      </c>
      <c r="O281">
        <v>0.73</v>
      </c>
      <c r="P281" s="105">
        <v>357</v>
      </c>
      <c r="Q281">
        <v>0.53</v>
      </c>
      <c r="R281">
        <v>0.48</v>
      </c>
      <c r="S281">
        <v>0.59</v>
      </c>
    </row>
    <row r="282" spans="1:19" x14ac:dyDescent="0.35">
      <c r="A282" t="s">
        <v>411</v>
      </c>
      <c r="B282" t="s">
        <v>45</v>
      </c>
      <c r="C282" t="s">
        <v>49</v>
      </c>
      <c r="D282" s="105" t="s">
        <v>42</v>
      </c>
      <c r="E282" s="105" t="s">
        <v>56</v>
      </c>
      <c r="F282" s="105">
        <v>410</v>
      </c>
      <c r="G282" s="105">
        <v>360</v>
      </c>
      <c r="H282" s="105">
        <v>450</v>
      </c>
      <c r="I282" s="120">
        <v>7.9000000000000008E-3</v>
      </c>
      <c r="J282" s="120">
        <v>7.1000000000000004E-3</v>
      </c>
      <c r="K282" s="120">
        <v>8.8000000000000005E-3</v>
      </c>
      <c r="L282" s="105">
        <v>313</v>
      </c>
      <c r="M282">
        <v>0.76</v>
      </c>
      <c r="N282">
        <v>0.7</v>
      </c>
      <c r="O282">
        <v>0.87</v>
      </c>
      <c r="P282" s="105">
        <v>259</v>
      </c>
      <c r="Q282">
        <v>0.63</v>
      </c>
      <c r="R282">
        <v>0.57999999999999996</v>
      </c>
      <c r="S282">
        <v>0.72</v>
      </c>
    </row>
    <row r="283" spans="1:19" x14ac:dyDescent="0.35">
      <c r="A283" t="s">
        <v>412</v>
      </c>
      <c r="B283" t="s">
        <v>45</v>
      </c>
      <c r="C283" t="s">
        <v>49</v>
      </c>
      <c r="D283" s="105" t="s">
        <v>37</v>
      </c>
      <c r="E283" s="105" t="s">
        <v>56</v>
      </c>
      <c r="F283" s="105">
        <v>690</v>
      </c>
      <c r="G283" s="105">
        <v>620</v>
      </c>
      <c r="H283" s="105">
        <v>780</v>
      </c>
      <c r="I283" s="120">
        <v>1.3100000000000001E-2</v>
      </c>
      <c r="J283" s="120">
        <v>1.17E-2</v>
      </c>
      <c r="K283" s="120">
        <v>1.46E-2</v>
      </c>
      <c r="L283" s="105">
        <v>421</v>
      </c>
      <c r="M283">
        <v>0.61</v>
      </c>
      <c r="N283">
        <v>0.54</v>
      </c>
      <c r="O283">
        <v>0.68</v>
      </c>
      <c r="P283" s="105">
        <v>327</v>
      </c>
      <c r="Q283">
        <v>0.47</v>
      </c>
      <c r="R283">
        <v>0.42</v>
      </c>
      <c r="S283">
        <v>0.53</v>
      </c>
    </row>
    <row r="284" spans="1:19" x14ac:dyDescent="0.35">
      <c r="A284" t="s">
        <v>413</v>
      </c>
      <c r="B284" t="s">
        <v>45</v>
      </c>
      <c r="C284" t="s">
        <v>124</v>
      </c>
      <c r="D284" s="105" t="s">
        <v>42</v>
      </c>
      <c r="E284" s="105" t="s">
        <v>56</v>
      </c>
      <c r="F284" s="105">
        <v>370</v>
      </c>
      <c r="G284" s="105">
        <v>330</v>
      </c>
      <c r="H284" s="105">
        <v>410</v>
      </c>
      <c r="I284" s="120">
        <v>7.1999999999999998E-3</v>
      </c>
      <c r="J284" s="120">
        <v>6.4000000000000003E-3</v>
      </c>
      <c r="K284" s="120">
        <v>8.0999999999999996E-3</v>
      </c>
      <c r="L284" s="105">
        <v>272</v>
      </c>
      <c r="M284">
        <v>0.74</v>
      </c>
      <c r="N284">
        <v>0.66</v>
      </c>
      <c r="O284">
        <v>0.82</v>
      </c>
      <c r="P284" s="105">
        <v>229</v>
      </c>
      <c r="Q284">
        <v>0.62</v>
      </c>
      <c r="R284">
        <v>0.56000000000000005</v>
      </c>
      <c r="S284">
        <v>0.69</v>
      </c>
    </row>
    <row r="285" spans="1:19" x14ac:dyDescent="0.35">
      <c r="A285" t="s">
        <v>414</v>
      </c>
      <c r="B285" t="s">
        <v>45</v>
      </c>
      <c r="C285" t="s">
        <v>124</v>
      </c>
      <c r="D285" s="105" t="s">
        <v>37</v>
      </c>
      <c r="E285" s="105" t="s">
        <v>56</v>
      </c>
      <c r="F285" s="105">
        <v>650</v>
      </c>
      <c r="G285" s="105">
        <v>580</v>
      </c>
      <c r="H285" s="105">
        <v>730</v>
      </c>
      <c r="I285" s="120">
        <v>1.24E-2</v>
      </c>
      <c r="J285" s="120">
        <v>1.0999999999999999E-2</v>
      </c>
      <c r="K285" s="120">
        <v>1.3899999999999999E-2</v>
      </c>
      <c r="L285" s="105">
        <v>371</v>
      </c>
      <c r="M285">
        <v>0.56999999999999995</v>
      </c>
      <c r="N285">
        <v>0.51</v>
      </c>
      <c r="O285">
        <v>0.64</v>
      </c>
      <c r="P285" s="105">
        <v>296</v>
      </c>
      <c r="Q285">
        <v>0.46</v>
      </c>
      <c r="R285">
        <v>0.41</v>
      </c>
      <c r="S285">
        <v>0.51</v>
      </c>
    </row>
    <row r="286" spans="1:19" x14ac:dyDescent="0.35">
      <c r="A286" t="s">
        <v>415</v>
      </c>
      <c r="B286" t="s">
        <v>45</v>
      </c>
      <c r="C286" t="s">
        <v>125</v>
      </c>
      <c r="D286" s="105" t="s">
        <v>42</v>
      </c>
      <c r="E286" s="105" t="s">
        <v>56</v>
      </c>
      <c r="F286" s="105">
        <v>310</v>
      </c>
      <c r="G286" s="105">
        <v>280</v>
      </c>
      <c r="H286" s="105">
        <v>350</v>
      </c>
      <c r="I286" s="120">
        <v>6.1999999999999998E-3</v>
      </c>
      <c r="J286" s="120">
        <v>5.4000000000000003E-3</v>
      </c>
      <c r="K286" s="120">
        <v>7.0000000000000001E-3</v>
      </c>
      <c r="L286" s="105">
        <v>232</v>
      </c>
      <c r="M286">
        <v>0.75</v>
      </c>
      <c r="N286">
        <v>0.66</v>
      </c>
      <c r="O286">
        <v>0.83</v>
      </c>
      <c r="P286" s="105">
        <v>195</v>
      </c>
      <c r="Q286">
        <v>0.63</v>
      </c>
      <c r="R286">
        <v>0.56000000000000005</v>
      </c>
      <c r="S286">
        <v>0.7</v>
      </c>
    </row>
    <row r="287" spans="1:19" x14ac:dyDescent="0.35">
      <c r="A287" t="s">
        <v>416</v>
      </c>
      <c r="B287" t="s">
        <v>45</v>
      </c>
      <c r="C287" t="s">
        <v>125</v>
      </c>
      <c r="D287" s="105" t="s">
        <v>37</v>
      </c>
      <c r="E287" s="105" t="s">
        <v>56</v>
      </c>
      <c r="F287" s="105">
        <v>570</v>
      </c>
      <c r="G287" s="105">
        <v>500</v>
      </c>
      <c r="H287" s="105">
        <v>640</v>
      </c>
      <c r="I287" s="120">
        <v>1.0999999999999999E-2</v>
      </c>
      <c r="J287" s="120">
        <v>9.7000000000000003E-3</v>
      </c>
      <c r="K287" s="120">
        <v>1.24E-2</v>
      </c>
      <c r="L287" s="105">
        <v>336</v>
      </c>
      <c r="M287">
        <v>0.59</v>
      </c>
      <c r="N287">
        <v>0.53</v>
      </c>
      <c r="O287">
        <v>0.67</v>
      </c>
      <c r="P287" s="105">
        <v>274</v>
      </c>
      <c r="Q287">
        <v>0.48</v>
      </c>
      <c r="R287">
        <v>0.43</v>
      </c>
      <c r="S287">
        <v>0.55000000000000004</v>
      </c>
    </row>
    <row r="288" spans="1:19" x14ac:dyDescent="0.35">
      <c r="A288" t="s">
        <v>417</v>
      </c>
      <c r="B288" t="s">
        <v>45</v>
      </c>
      <c r="C288" t="s">
        <v>126</v>
      </c>
      <c r="D288" s="105" t="s">
        <v>42</v>
      </c>
      <c r="E288" s="105" t="s">
        <v>56</v>
      </c>
      <c r="F288" s="105">
        <v>250</v>
      </c>
      <c r="G288" s="105">
        <v>220</v>
      </c>
      <c r="H288" s="105">
        <v>290</v>
      </c>
      <c r="I288" s="120">
        <v>5.1000000000000004E-3</v>
      </c>
      <c r="J288" s="120">
        <v>4.4000000000000003E-3</v>
      </c>
      <c r="K288" s="120">
        <v>5.7999999999999996E-3</v>
      </c>
      <c r="L288" s="105">
        <v>190</v>
      </c>
      <c r="M288">
        <v>0.76</v>
      </c>
      <c r="N288">
        <v>0.66</v>
      </c>
      <c r="O288">
        <v>0.86</v>
      </c>
      <c r="P288" s="105">
        <v>163</v>
      </c>
      <c r="Q288">
        <v>0.65</v>
      </c>
      <c r="R288">
        <v>0.56000000000000005</v>
      </c>
      <c r="S288">
        <v>0.74</v>
      </c>
    </row>
    <row r="289" spans="1:19" x14ac:dyDescent="0.35">
      <c r="A289" t="s">
        <v>418</v>
      </c>
      <c r="B289" t="s">
        <v>45</v>
      </c>
      <c r="C289" t="s">
        <v>126</v>
      </c>
      <c r="D289" s="105" t="s">
        <v>37</v>
      </c>
      <c r="E289" s="105" t="s">
        <v>56</v>
      </c>
      <c r="F289" s="105">
        <v>460</v>
      </c>
      <c r="G289" s="105">
        <v>410</v>
      </c>
      <c r="H289" s="105">
        <v>530</v>
      </c>
      <c r="I289" s="120">
        <v>9.4999999999999998E-3</v>
      </c>
      <c r="J289" s="120">
        <v>8.3999999999999995E-3</v>
      </c>
      <c r="K289" s="120">
        <v>1.0699999999999999E-2</v>
      </c>
      <c r="L289" s="105">
        <v>294</v>
      </c>
      <c r="M289">
        <v>0.64</v>
      </c>
      <c r="N289">
        <v>0.55000000000000004</v>
      </c>
      <c r="O289">
        <v>0.72</v>
      </c>
      <c r="P289" s="105">
        <v>232</v>
      </c>
      <c r="Q289">
        <v>0.5</v>
      </c>
      <c r="R289">
        <v>0.44</v>
      </c>
      <c r="S289">
        <v>0.56999999999999995</v>
      </c>
    </row>
    <row r="290" spans="1:19" x14ac:dyDescent="0.35">
      <c r="A290" t="s">
        <v>419</v>
      </c>
      <c r="B290" t="s">
        <v>45</v>
      </c>
      <c r="C290" t="s">
        <v>39</v>
      </c>
      <c r="D290" s="105" t="s">
        <v>42</v>
      </c>
      <c r="E290" s="105" t="s">
        <v>57</v>
      </c>
      <c r="F290" s="105">
        <v>520</v>
      </c>
      <c r="G290" s="105">
        <v>470</v>
      </c>
      <c r="H290" s="105">
        <v>580</v>
      </c>
      <c r="I290" s="120">
        <v>1.32E-2</v>
      </c>
      <c r="J290" s="120">
        <v>1.1900000000000001E-2</v>
      </c>
      <c r="K290" s="120">
        <v>1.4500000000000001E-2</v>
      </c>
      <c r="L290" s="105">
        <v>410</v>
      </c>
      <c r="M290">
        <v>0.79</v>
      </c>
      <c r="N290">
        <v>0.71</v>
      </c>
      <c r="O290">
        <v>0.87</v>
      </c>
      <c r="P290" s="105">
        <v>331</v>
      </c>
      <c r="Q290">
        <v>0.64</v>
      </c>
      <c r="R290">
        <v>0.56999999999999995</v>
      </c>
      <c r="S290">
        <v>0.7</v>
      </c>
    </row>
    <row r="291" spans="1:19" x14ac:dyDescent="0.35">
      <c r="A291" t="s">
        <v>420</v>
      </c>
      <c r="B291" t="s">
        <v>45</v>
      </c>
      <c r="C291" t="s">
        <v>39</v>
      </c>
      <c r="D291" s="105" t="s">
        <v>37</v>
      </c>
      <c r="E291" s="105" t="s">
        <v>57</v>
      </c>
      <c r="F291" s="105">
        <v>1300</v>
      </c>
      <c r="G291" s="105">
        <v>1200</v>
      </c>
      <c r="H291" s="105">
        <v>1400</v>
      </c>
      <c r="I291" s="120">
        <v>3.5099999999999999E-2</v>
      </c>
      <c r="J291" s="120">
        <v>3.2500000000000001E-2</v>
      </c>
      <c r="K291" s="120">
        <v>3.7999999999999999E-2</v>
      </c>
      <c r="L291" s="105">
        <v>1010</v>
      </c>
      <c r="M291">
        <v>0.78</v>
      </c>
      <c r="N291">
        <v>0.72</v>
      </c>
      <c r="O291">
        <v>0.84</v>
      </c>
      <c r="P291" s="105">
        <v>848</v>
      </c>
      <c r="Q291">
        <v>0.65</v>
      </c>
      <c r="R291">
        <v>0.61</v>
      </c>
      <c r="S291">
        <v>0.71</v>
      </c>
    </row>
    <row r="292" spans="1:19" x14ac:dyDescent="0.35">
      <c r="A292" t="s">
        <v>421</v>
      </c>
      <c r="B292" t="s">
        <v>45</v>
      </c>
      <c r="C292" t="s">
        <v>44</v>
      </c>
      <c r="D292" s="105" t="s">
        <v>42</v>
      </c>
      <c r="E292" s="105" t="s">
        <v>57</v>
      </c>
      <c r="F292" s="105">
        <v>540</v>
      </c>
      <c r="G292" s="105">
        <v>490</v>
      </c>
      <c r="H292" s="105">
        <v>590</v>
      </c>
      <c r="I292" s="120">
        <v>1.4E-2</v>
      </c>
      <c r="J292" s="120">
        <v>1.2699999999999999E-2</v>
      </c>
      <c r="K292" s="120">
        <v>1.5299999999999999E-2</v>
      </c>
      <c r="L292" s="105">
        <v>446</v>
      </c>
      <c r="M292">
        <v>0.83</v>
      </c>
      <c r="N292">
        <v>0.76</v>
      </c>
      <c r="O292">
        <v>0.91</v>
      </c>
      <c r="P292" s="105">
        <v>358</v>
      </c>
      <c r="Q292">
        <v>0.66</v>
      </c>
      <c r="R292">
        <v>0.61</v>
      </c>
      <c r="S292">
        <v>0.73</v>
      </c>
    </row>
    <row r="293" spans="1:19" x14ac:dyDescent="0.35">
      <c r="A293" t="s">
        <v>422</v>
      </c>
      <c r="B293" t="s">
        <v>45</v>
      </c>
      <c r="C293" t="s">
        <v>44</v>
      </c>
      <c r="D293" s="105" t="s">
        <v>37</v>
      </c>
      <c r="E293" s="105" t="s">
        <v>57</v>
      </c>
      <c r="F293" s="105">
        <v>1300</v>
      </c>
      <c r="G293" s="105">
        <v>1200</v>
      </c>
      <c r="H293" s="105">
        <v>1400</v>
      </c>
      <c r="I293" s="120">
        <v>3.5299999999999998E-2</v>
      </c>
      <c r="J293" s="120">
        <v>3.2800000000000003E-2</v>
      </c>
      <c r="K293" s="120">
        <v>3.7999999999999999E-2</v>
      </c>
      <c r="L293" s="105">
        <v>1034</v>
      </c>
      <c r="M293">
        <v>0.8</v>
      </c>
      <c r="N293">
        <v>0.74</v>
      </c>
      <c r="O293">
        <v>0.86</v>
      </c>
      <c r="P293" s="105">
        <v>842</v>
      </c>
      <c r="Q293">
        <v>0.65</v>
      </c>
      <c r="R293">
        <v>0.6</v>
      </c>
      <c r="S293">
        <v>0.7</v>
      </c>
    </row>
    <row r="294" spans="1:19" x14ac:dyDescent="0.35">
      <c r="A294" t="s">
        <v>423</v>
      </c>
      <c r="B294" t="s">
        <v>45</v>
      </c>
      <c r="C294" t="s">
        <v>46</v>
      </c>
      <c r="D294" s="105" t="s">
        <v>42</v>
      </c>
      <c r="E294" s="105" t="s">
        <v>57</v>
      </c>
      <c r="F294" s="105">
        <v>580</v>
      </c>
      <c r="G294" s="105">
        <v>530</v>
      </c>
      <c r="H294" s="105">
        <v>640</v>
      </c>
      <c r="I294" s="120">
        <v>1.5100000000000001E-2</v>
      </c>
      <c r="J294" s="120">
        <v>1.38E-2</v>
      </c>
      <c r="K294" s="120">
        <v>1.6500000000000001E-2</v>
      </c>
      <c r="L294" s="105">
        <v>493</v>
      </c>
      <c r="M294">
        <v>0.85</v>
      </c>
      <c r="N294">
        <v>0.77</v>
      </c>
      <c r="O294">
        <v>0.93</v>
      </c>
      <c r="P294" s="105">
        <v>399</v>
      </c>
      <c r="Q294">
        <v>0.69</v>
      </c>
      <c r="R294">
        <v>0.62</v>
      </c>
      <c r="S294">
        <v>0.75</v>
      </c>
    </row>
    <row r="295" spans="1:19" x14ac:dyDescent="0.35">
      <c r="A295" t="s">
        <v>424</v>
      </c>
      <c r="B295" t="s">
        <v>45</v>
      </c>
      <c r="C295" t="s">
        <v>46</v>
      </c>
      <c r="D295" s="105" t="s">
        <v>37</v>
      </c>
      <c r="E295" s="105" t="s">
        <v>57</v>
      </c>
      <c r="F295" s="105">
        <v>1300</v>
      </c>
      <c r="G295" s="105">
        <v>1200</v>
      </c>
      <c r="H295" s="105">
        <v>1400</v>
      </c>
      <c r="I295" s="120">
        <v>3.6600000000000001E-2</v>
      </c>
      <c r="J295" s="120">
        <v>3.4200000000000001E-2</v>
      </c>
      <c r="K295" s="120">
        <v>3.9100000000000003E-2</v>
      </c>
      <c r="L295" s="105">
        <v>1085</v>
      </c>
      <c r="M295">
        <v>0.83</v>
      </c>
      <c r="N295">
        <v>0.78</v>
      </c>
      <c r="O295">
        <v>0.9</v>
      </c>
      <c r="P295" s="105">
        <v>872</v>
      </c>
      <c r="Q295">
        <v>0.67</v>
      </c>
      <c r="R295">
        <v>0.62</v>
      </c>
      <c r="S295">
        <v>0.73</v>
      </c>
    </row>
    <row r="296" spans="1:19" x14ac:dyDescent="0.35">
      <c r="A296" t="s">
        <v>425</v>
      </c>
      <c r="B296" t="s">
        <v>45</v>
      </c>
      <c r="C296" t="s">
        <v>47</v>
      </c>
      <c r="D296" s="105" t="s">
        <v>42</v>
      </c>
      <c r="E296" s="105" t="s">
        <v>57</v>
      </c>
      <c r="F296" s="105">
        <v>600</v>
      </c>
      <c r="G296" s="105">
        <v>560</v>
      </c>
      <c r="H296" s="105">
        <v>660</v>
      </c>
      <c r="I296" s="120">
        <v>1.5800000000000002E-2</v>
      </c>
      <c r="J296" s="120">
        <v>1.46E-2</v>
      </c>
      <c r="K296" s="120">
        <v>1.72E-2</v>
      </c>
      <c r="L296" s="105">
        <v>526</v>
      </c>
      <c r="M296">
        <v>0.88</v>
      </c>
      <c r="N296">
        <v>0.8</v>
      </c>
      <c r="O296">
        <v>0.94</v>
      </c>
      <c r="P296" s="105">
        <v>408</v>
      </c>
      <c r="Q296">
        <v>0.68</v>
      </c>
      <c r="R296">
        <v>0.62</v>
      </c>
      <c r="S296">
        <v>0.73</v>
      </c>
    </row>
    <row r="297" spans="1:19" x14ac:dyDescent="0.35">
      <c r="A297" t="s">
        <v>426</v>
      </c>
      <c r="B297" t="s">
        <v>45</v>
      </c>
      <c r="C297" t="s">
        <v>47</v>
      </c>
      <c r="D297" s="105" t="s">
        <v>37</v>
      </c>
      <c r="E297" s="105" t="s">
        <v>57</v>
      </c>
      <c r="F297" s="105">
        <v>1300</v>
      </c>
      <c r="G297" s="105">
        <v>1200</v>
      </c>
      <c r="H297" s="105">
        <v>1400</v>
      </c>
      <c r="I297" s="120">
        <v>3.7100000000000001E-2</v>
      </c>
      <c r="J297" s="120">
        <v>3.4799999999999998E-2</v>
      </c>
      <c r="K297" s="120">
        <v>3.95E-2</v>
      </c>
      <c r="L297" s="105">
        <v>1122</v>
      </c>
      <c r="M297">
        <v>0.86</v>
      </c>
      <c r="N297">
        <v>0.8</v>
      </c>
      <c r="O297">
        <v>0.94</v>
      </c>
      <c r="P297" s="105">
        <v>910</v>
      </c>
      <c r="Q297">
        <v>0.7</v>
      </c>
      <c r="R297">
        <v>0.65</v>
      </c>
      <c r="S297">
        <v>0.76</v>
      </c>
    </row>
    <row r="298" spans="1:19" x14ac:dyDescent="0.35">
      <c r="A298" t="s">
        <v>427</v>
      </c>
      <c r="B298" t="s">
        <v>45</v>
      </c>
      <c r="C298" t="s">
        <v>48</v>
      </c>
      <c r="D298" s="105" t="s">
        <v>42</v>
      </c>
      <c r="E298" s="105" t="s">
        <v>57</v>
      </c>
      <c r="F298" s="105">
        <v>630</v>
      </c>
      <c r="G298" s="105">
        <v>580</v>
      </c>
      <c r="H298" s="105">
        <v>680</v>
      </c>
      <c r="I298" s="120">
        <v>1.67E-2</v>
      </c>
      <c r="J298" s="120">
        <v>1.5299999999999999E-2</v>
      </c>
      <c r="K298" s="120">
        <v>1.8100000000000002E-2</v>
      </c>
      <c r="L298" s="105">
        <v>548</v>
      </c>
      <c r="M298">
        <v>0.87</v>
      </c>
      <c r="N298">
        <v>0.81</v>
      </c>
      <c r="O298">
        <v>0.94</v>
      </c>
      <c r="P298" s="105">
        <v>422</v>
      </c>
      <c r="Q298">
        <v>0.67</v>
      </c>
      <c r="R298">
        <v>0.62</v>
      </c>
      <c r="S298">
        <v>0.73</v>
      </c>
    </row>
    <row r="299" spans="1:19" x14ac:dyDescent="0.35">
      <c r="A299" t="s">
        <v>428</v>
      </c>
      <c r="B299" t="s">
        <v>45</v>
      </c>
      <c r="C299" t="s">
        <v>48</v>
      </c>
      <c r="D299" s="105" t="s">
        <v>37</v>
      </c>
      <c r="E299" s="105" t="s">
        <v>57</v>
      </c>
      <c r="F299" s="105">
        <v>1300</v>
      </c>
      <c r="G299" s="105">
        <v>1200</v>
      </c>
      <c r="H299" s="105">
        <v>1400</v>
      </c>
      <c r="I299" s="120">
        <v>3.7400000000000003E-2</v>
      </c>
      <c r="J299" s="120">
        <v>3.5200000000000002E-2</v>
      </c>
      <c r="K299" s="120">
        <v>3.9800000000000002E-2</v>
      </c>
      <c r="L299" s="105">
        <v>1117</v>
      </c>
      <c r="M299">
        <v>0.86</v>
      </c>
      <c r="N299">
        <v>0.8</v>
      </c>
      <c r="O299">
        <v>0.93</v>
      </c>
      <c r="P299" s="105">
        <v>905</v>
      </c>
      <c r="Q299">
        <v>0.7</v>
      </c>
      <c r="R299">
        <v>0.65</v>
      </c>
      <c r="S299">
        <v>0.75</v>
      </c>
    </row>
    <row r="300" spans="1:19" x14ac:dyDescent="0.35">
      <c r="A300" t="s">
        <v>429</v>
      </c>
      <c r="B300" t="s">
        <v>45</v>
      </c>
      <c r="C300" t="s">
        <v>49</v>
      </c>
      <c r="D300" s="105" t="s">
        <v>42</v>
      </c>
      <c r="E300" s="105" t="s">
        <v>57</v>
      </c>
      <c r="F300" s="105">
        <v>650</v>
      </c>
      <c r="G300" s="105">
        <v>600</v>
      </c>
      <c r="H300" s="105">
        <v>710</v>
      </c>
      <c r="I300" s="120">
        <v>1.7399999999999999E-2</v>
      </c>
      <c r="J300" s="120">
        <v>1.6E-2</v>
      </c>
      <c r="K300" s="120">
        <v>1.89E-2</v>
      </c>
      <c r="L300" s="105">
        <v>556</v>
      </c>
      <c r="M300">
        <v>0.86</v>
      </c>
      <c r="N300">
        <v>0.78</v>
      </c>
      <c r="O300">
        <v>0.93</v>
      </c>
      <c r="P300" s="105">
        <v>456</v>
      </c>
      <c r="Q300">
        <v>0.7</v>
      </c>
      <c r="R300">
        <v>0.64</v>
      </c>
      <c r="S300">
        <v>0.76</v>
      </c>
    </row>
    <row r="301" spans="1:19" x14ac:dyDescent="0.35">
      <c r="A301" t="s">
        <v>430</v>
      </c>
      <c r="B301" t="s">
        <v>45</v>
      </c>
      <c r="C301" t="s">
        <v>49</v>
      </c>
      <c r="D301" s="105" t="s">
        <v>37</v>
      </c>
      <c r="E301" s="105" t="s">
        <v>57</v>
      </c>
      <c r="F301" s="105">
        <v>1400</v>
      </c>
      <c r="G301" s="105">
        <v>1300</v>
      </c>
      <c r="H301" s="105">
        <v>1500</v>
      </c>
      <c r="I301" s="120">
        <v>3.9199999999999999E-2</v>
      </c>
      <c r="J301" s="120">
        <v>3.6700000000000003E-2</v>
      </c>
      <c r="K301" s="120">
        <v>4.2000000000000003E-2</v>
      </c>
      <c r="L301" s="105">
        <v>1123</v>
      </c>
      <c r="M301">
        <v>0.8</v>
      </c>
      <c r="N301">
        <v>0.75</v>
      </c>
      <c r="O301">
        <v>0.86</v>
      </c>
      <c r="P301" s="105">
        <v>912</v>
      </c>
      <c r="Q301">
        <v>0.65</v>
      </c>
      <c r="R301">
        <v>0.61</v>
      </c>
      <c r="S301">
        <v>0.7</v>
      </c>
    </row>
    <row r="302" spans="1:19" x14ac:dyDescent="0.35">
      <c r="A302" t="s">
        <v>431</v>
      </c>
      <c r="B302" t="s">
        <v>45</v>
      </c>
      <c r="C302" t="s">
        <v>124</v>
      </c>
      <c r="D302" s="105" t="s">
        <v>42</v>
      </c>
      <c r="E302" s="105" t="s">
        <v>57</v>
      </c>
      <c r="F302" s="105">
        <v>690</v>
      </c>
      <c r="G302" s="105">
        <v>640</v>
      </c>
      <c r="H302" s="105">
        <v>750</v>
      </c>
      <c r="I302" s="120">
        <v>1.84E-2</v>
      </c>
      <c r="J302" s="120">
        <v>1.7000000000000001E-2</v>
      </c>
      <c r="K302" s="120">
        <v>1.9900000000000001E-2</v>
      </c>
      <c r="L302" s="105">
        <v>591</v>
      </c>
      <c r="M302">
        <v>0.86</v>
      </c>
      <c r="N302">
        <v>0.79</v>
      </c>
      <c r="O302">
        <v>0.92</v>
      </c>
      <c r="P302" s="105">
        <v>504</v>
      </c>
      <c r="Q302">
        <v>0.73</v>
      </c>
      <c r="R302">
        <v>0.67</v>
      </c>
      <c r="S302">
        <v>0.79</v>
      </c>
    </row>
    <row r="303" spans="1:19" x14ac:dyDescent="0.35">
      <c r="A303" t="s">
        <v>432</v>
      </c>
      <c r="B303" t="s">
        <v>45</v>
      </c>
      <c r="C303" t="s">
        <v>124</v>
      </c>
      <c r="D303" s="105" t="s">
        <v>37</v>
      </c>
      <c r="E303" s="105" t="s">
        <v>57</v>
      </c>
      <c r="F303" s="105">
        <v>1400</v>
      </c>
      <c r="G303" s="105">
        <v>1300</v>
      </c>
      <c r="H303" s="105">
        <v>1500</v>
      </c>
      <c r="I303" s="120">
        <v>4.07E-2</v>
      </c>
      <c r="J303" s="120">
        <v>3.8100000000000002E-2</v>
      </c>
      <c r="K303" s="120">
        <v>4.3499999999999997E-2</v>
      </c>
      <c r="L303" s="105">
        <v>1163</v>
      </c>
      <c r="M303">
        <v>0.83</v>
      </c>
      <c r="N303">
        <v>0.78</v>
      </c>
      <c r="O303">
        <v>0.89</v>
      </c>
      <c r="P303" s="105">
        <v>972</v>
      </c>
      <c r="Q303">
        <v>0.69</v>
      </c>
      <c r="R303">
        <v>0.65</v>
      </c>
      <c r="S303">
        <v>0.75</v>
      </c>
    </row>
    <row r="304" spans="1:19" x14ac:dyDescent="0.35">
      <c r="A304" t="s">
        <v>433</v>
      </c>
      <c r="B304" t="s">
        <v>45</v>
      </c>
      <c r="C304" t="s">
        <v>125</v>
      </c>
      <c r="D304" s="105" t="s">
        <v>42</v>
      </c>
      <c r="E304" s="105" t="s">
        <v>57</v>
      </c>
      <c r="F304" s="105">
        <v>670</v>
      </c>
      <c r="G304" s="105">
        <v>620</v>
      </c>
      <c r="H304" s="105">
        <v>730</v>
      </c>
      <c r="I304" s="120">
        <v>1.7899999999999999E-2</v>
      </c>
      <c r="J304" s="120">
        <v>1.6500000000000001E-2</v>
      </c>
      <c r="K304" s="120">
        <v>1.9300000000000001E-2</v>
      </c>
      <c r="L304" s="105">
        <v>584</v>
      </c>
      <c r="M304">
        <v>0.87</v>
      </c>
      <c r="N304">
        <v>0.8</v>
      </c>
      <c r="O304">
        <v>0.94</v>
      </c>
      <c r="P304" s="105">
        <v>510</v>
      </c>
      <c r="Q304">
        <v>0.76</v>
      </c>
      <c r="R304">
        <v>0.7</v>
      </c>
      <c r="S304">
        <v>0.82</v>
      </c>
    </row>
    <row r="305" spans="1:19" x14ac:dyDescent="0.35">
      <c r="A305" t="s">
        <v>434</v>
      </c>
      <c r="B305" t="s">
        <v>45</v>
      </c>
      <c r="C305" t="s">
        <v>125</v>
      </c>
      <c r="D305" s="105" t="s">
        <v>37</v>
      </c>
      <c r="E305" s="105" t="s">
        <v>57</v>
      </c>
      <c r="F305" s="105">
        <v>1400</v>
      </c>
      <c r="G305" s="105">
        <v>1300</v>
      </c>
      <c r="H305" s="105">
        <v>1500</v>
      </c>
      <c r="I305" s="120">
        <v>3.8699999999999998E-2</v>
      </c>
      <c r="J305" s="120">
        <v>3.6200000000000003E-2</v>
      </c>
      <c r="K305" s="120">
        <v>4.1300000000000003E-2</v>
      </c>
      <c r="L305" s="105">
        <v>1133</v>
      </c>
      <c r="M305">
        <v>0.81</v>
      </c>
      <c r="N305">
        <v>0.76</v>
      </c>
      <c r="O305">
        <v>0.87</v>
      </c>
      <c r="P305" s="105">
        <v>951</v>
      </c>
      <c r="Q305">
        <v>0.68</v>
      </c>
      <c r="R305">
        <v>0.63</v>
      </c>
      <c r="S305">
        <v>0.73</v>
      </c>
    </row>
    <row r="306" spans="1:19" x14ac:dyDescent="0.35">
      <c r="A306" t="s">
        <v>435</v>
      </c>
      <c r="B306" t="s">
        <v>45</v>
      </c>
      <c r="C306" t="s">
        <v>126</v>
      </c>
      <c r="D306" s="105" t="s">
        <v>42</v>
      </c>
      <c r="E306" s="105" t="s">
        <v>57</v>
      </c>
      <c r="F306" s="105">
        <v>660</v>
      </c>
      <c r="G306" s="105">
        <v>600</v>
      </c>
      <c r="H306" s="105">
        <v>710</v>
      </c>
      <c r="I306" s="120">
        <v>1.7600000000000001E-2</v>
      </c>
      <c r="J306" s="120">
        <v>1.6199999999999999E-2</v>
      </c>
      <c r="K306" s="120">
        <v>1.9E-2</v>
      </c>
      <c r="L306" s="105">
        <v>586</v>
      </c>
      <c r="M306">
        <v>0.89</v>
      </c>
      <c r="N306">
        <v>0.83</v>
      </c>
      <c r="O306">
        <v>0.98</v>
      </c>
      <c r="P306" s="105">
        <v>490</v>
      </c>
      <c r="Q306">
        <v>0.74</v>
      </c>
      <c r="R306">
        <v>0.69</v>
      </c>
      <c r="S306">
        <v>0.82</v>
      </c>
    </row>
    <row r="307" spans="1:19" x14ac:dyDescent="0.35">
      <c r="A307" t="s">
        <v>436</v>
      </c>
      <c r="B307" t="s">
        <v>45</v>
      </c>
      <c r="C307" t="s">
        <v>126</v>
      </c>
      <c r="D307" s="105" t="s">
        <v>37</v>
      </c>
      <c r="E307" s="105" t="s">
        <v>57</v>
      </c>
      <c r="F307" s="105">
        <v>1300</v>
      </c>
      <c r="G307" s="105">
        <v>1200</v>
      </c>
      <c r="H307" s="105">
        <v>1400</v>
      </c>
      <c r="I307" s="120">
        <v>3.7100000000000001E-2</v>
      </c>
      <c r="J307" s="120">
        <v>3.4799999999999998E-2</v>
      </c>
      <c r="K307" s="120">
        <v>3.95E-2</v>
      </c>
      <c r="L307" s="105">
        <v>1118</v>
      </c>
      <c r="M307">
        <v>0.86</v>
      </c>
      <c r="N307">
        <v>0.8</v>
      </c>
      <c r="O307">
        <v>0.93</v>
      </c>
      <c r="P307" s="105">
        <v>877</v>
      </c>
      <c r="Q307">
        <v>0.67</v>
      </c>
      <c r="R307">
        <v>0.63</v>
      </c>
      <c r="S307">
        <v>0.73</v>
      </c>
    </row>
    <row r="308" spans="1:19" x14ac:dyDescent="0.35">
      <c r="A308" t="s">
        <v>437</v>
      </c>
      <c r="B308" t="s">
        <v>45</v>
      </c>
      <c r="C308" t="s">
        <v>39</v>
      </c>
      <c r="D308" s="105" t="s">
        <v>42</v>
      </c>
      <c r="E308" s="105" t="s">
        <v>58</v>
      </c>
      <c r="F308" s="105">
        <v>100</v>
      </c>
      <c r="G308" s="105">
        <v>80</v>
      </c>
      <c r="H308" s="105">
        <v>130</v>
      </c>
      <c r="I308" s="120">
        <v>2.3E-3</v>
      </c>
      <c r="J308" s="120">
        <v>1.8E-3</v>
      </c>
      <c r="K308" s="120">
        <v>3.0000000000000001E-3</v>
      </c>
      <c r="L308" s="105">
        <v>56</v>
      </c>
      <c r="M308">
        <v>0.56000000000000005</v>
      </c>
      <c r="N308">
        <v>0.43</v>
      </c>
      <c r="O308">
        <v>0.7</v>
      </c>
      <c r="P308" s="105">
        <v>42</v>
      </c>
      <c r="Q308">
        <v>0.42</v>
      </c>
      <c r="R308">
        <v>0.32</v>
      </c>
      <c r="S308">
        <v>0.53</v>
      </c>
    </row>
    <row r="309" spans="1:19" x14ac:dyDescent="0.35">
      <c r="A309" t="s">
        <v>438</v>
      </c>
      <c r="B309" t="s">
        <v>45</v>
      </c>
      <c r="C309" t="s">
        <v>39</v>
      </c>
      <c r="D309" s="105" t="s">
        <v>37</v>
      </c>
      <c r="E309" s="105" t="s">
        <v>58</v>
      </c>
      <c r="F309" s="105">
        <v>250</v>
      </c>
      <c r="G309" s="105">
        <v>200</v>
      </c>
      <c r="H309" s="105">
        <v>310</v>
      </c>
      <c r="I309" s="120">
        <v>6.1000000000000004E-3</v>
      </c>
      <c r="J309" s="120">
        <v>4.8999999999999998E-3</v>
      </c>
      <c r="K309" s="120">
        <v>7.4999999999999997E-3</v>
      </c>
      <c r="L309" s="105">
        <v>129</v>
      </c>
      <c r="M309">
        <v>0.52</v>
      </c>
      <c r="N309">
        <v>0.42</v>
      </c>
      <c r="O309">
        <v>0.65</v>
      </c>
      <c r="P309" s="105">
        <v>96</v>
      </c>
      <c r="Q309">
        <v>0.38</v>
      </c>
      <c r="R309">
        <v>0.31</v>
      </c>
      <c r="S309">
        <v>0.48</v>
      </c>
    </row>
    <row r="310" spans="1:19" x14ac:dyDescent="0.35">
      <c r="A310" t="s">
        <v>439</v>
      </c>
      <c r="B310" t="s">
        <v>45</v>
      </c>
      <c r="C310" t="s">
        <v>44</v>
      </c>
      <c r="D310" s="105" t="s">
        <v>42</v>
      </c>
      <c r="E310" s="105" t="s">
        <v>58</v>
      </c>
      <c r="F310" s="105">
        <v>110</v>
      </c>
      <c r="G310" s="105">
        <v>80</v>
      </c>
      <c r="H310" s="105">
        <v>130</v>
      </c>
      <c r="I310" s="120">
        <v>2.5000000000000001E-3</v>
      </c>
      <c r="J310" s="120">
        <v>1.9E-3</v>
      </c>
      <c r="K310" s="120">
        <v>3.0000000000000001E-3</v>
      </c>
      <c r="L310" s="105">
        <v>65</v>
      </c>
      <c r="M310">
        <v>0.59</v>
      </c>
      <c r="N310">
        <v>0.5</v>
      </c>
      <c r="O310">
        <v>0.81</v>
      </c>
      <c r="P310" s="105">
        <v>44</v>
      </c>
      <c r="Q310">
        <v>0.4</v>
      </c>
      <c r="R310">
        <v>0.34</v>
      </c>
      <c r="S310">
        <v>0.55000000000000004</v>
      </c>
    </row>
    <row r="311" spans="1:19" x14ac:dyDescent="0.35">
      <c r="A311" t="s">
        <v>440</v>
      </c>
      <c r="B311" t="s">
        <v>45</v>
      </c>
      <c r="C311" t="s">
        <v>44</v>
      </c>
      <c r="D311" s="105" t="s">
        <v>37</v>
      </c>
      <c r="E311" s="105" t="s">
        <v>58</v>
      </c>
      <c r="F311" s="105">
        <v>250</v>
      </c>
      <c r="G311" s="105">
        <v>210</v>
      </c>
      <c r="H311" s="105">
        <v>310</v>
      </c>
      <c r="I311" s="120">
        <v>6.1000000000000004E-3</v>
      </c>
      <c r="J311" s="120">
        <v>5.0000000000000001E-3</v>
      </c>
      <c r="K311" s="120">
        <v>7.4999999999999997E-3</v>
      </c>
      <c r="L311" s="105">
        <v>143</v>
      </c>
      <c r="M311">
        <v>0.56999999999999995</v>
      </c>
      <c r="N311">
        <v>0.46</v>
      </c>
      <c r="O311">
        <v>0.68</v>
      </c>
      <c r="P311" s="105">
        <v>108</v>
      </c>
      <c r="Q311">
        <v>0.43</v>
      </c>
      <c r="R311">
        <v>0.35</v>
      </c>
      <c r="S311">
        <v>0.51</v>
      </c>
    </row>
    <row r="312" spans="1:19" x14ac:dyDescent="0.35">
      <c r="A312" t="s">
        <v>441</v>
      </c>
      <c r="B312" t="s">
        <v>45</v>
      </c>
      <c r="C312" t="s">
        <v>46</v>
      </c>
      <c r="D312" s="105" t="s">
        <v>42</v>
      </c>
      <c r="E312" s="105" t="s">
        <v>58</v>
      </c>
      <c r="F312" s="105">
        <v>120</v>
      </c>
      <c r="G312" s="105">
        <v>100</v>
      </c>
      <c r="H312" s="105">
        <v>150</v>
      </c>
      <c r="I312" s="120">
        <v>2.8E-3</v>
      </c>
      <c r="J312" s="120">
        <v>2.2000000000000001E-3</v>
      </c>
      <c r="K312" s="120">
        <v>3.3999999999999998E-3</v>
      </c>
      <c r="L312" s="105">
        <v>76</v>
      </c>
      <c r="M312">
        <v>0.63</v>
      </c>
      <c r="N312">
        <v>0.51</v>
      </c>
      <c r="O312">
        <v>0.76</v>
      </c>
      <c r="P312" s="105">
        <v>52</v>
      </c>
      <c r="Q312">
        <v>0.43</v>
      </c>
      <c r="R312">
        <v>0.35</v>
      </c>
      <c r="S312">
        <v>0.52</v>
      </c>
    </row>
    <row r="313" spans="1:19" x14ac:dyDescent="0.35">
      <c r="A313" t="s">
        <v>442</v>
      </c>
      <c r="B313" t="s">
        <v>45</v>
      </c>
      <c r="C313" t="s">
        <v>46</v>
      </c>
      <c r="D313" s="105" t="s">
        <v>37</v>
      </c>
      <c r="E313" s="105" t="s">
        <v>58</v>
      </c>
      <c r="F313" s="105">
        <v>290</v>
      </c>
      <c r="G313" s="105">
        <v>240</v>
      </c>
      <c r="H313" s="105">
        <v>350</v>
      </c>
      <c r="I313" s="120">
        <v>7.0000000000000001E-3</v>
      </c>
      <c r="J313" s="120">
        <v>5.7999999999999996E-3</v>
      </c>
      <c r="K313" s="120">
        <v>8.3999999999999995E-3</v>
      </c>
      <c r="L313" s="105">
        <v>172</v>
      </c>
      <c r="M313">
        <v>0.59</v>
      </c>
      <c r="N313">
        <v>0.49</v>
      </c>
      <c r="O313">
        <v>0.72</v>
      </c>
      <c r="P313" s="105">
        <v>128</v>
      </c>
      <c r="Q313">
        <v>0.44</v>
      </c>
      <c r="R313">
        <v>0.37</v>
      </c>
      <c r="S313">
        <v>0.53</v>
      </c>
    </row>
    <row r="314" spans="1:19" x14ac:dyDescent="0.35">
      <c r="A314" t="s">
        <v>443</v>
      </c>
      <c r="B314" t="s">
        <v>45</v>
      </c>
      <c r="C314" t="s">
        <v>47</v>
      </c>
      <c r="D314" s="105" t="s">
        <v>42</v>
      </c>
      <c r="E314" s="105" t="s">
        <v>58</v>
      </c>
      <c r="F314" s="105">
        <v>110</v>
      </c>
      <c r="G314" s="105">
        <v>90</v>
      </c>
      <c r="H314" s="105">
        <v>130</v>
      </c>
      <c r="I314" s="120">
        <v>2.3999999999999998E-3</v>
      </c>
      <c r="J314" s="120">
        <v>2E-3</v>
      </c>
      <c r="K314" s="120">
        <v>3.0000000000000001E-3</v>
      </c>
      <c r="L314" s="105">
        <v>79</v>
      </c>
      <c r="M314">
        <v>0.72</v>
      </c>
      <c r="N314">
        <v>0.61</v>
      </c>
      <c r="O314">
        <v>0.88</v>
      </c>
      <c r="P314" s="105">
        <v>58</v>
      </c>
      <c r="Q314">
        <v>0.53</v>
      </c>
      <c r="R314">
        <v>0.45</v>
      </c>
      <c r="S314">
        <v>0.64</v>
      </c>
    </row>
    <row r="315" spans="1:19" x14ac:dyDescent="0.35">
      <c r="A315" t="s">
        <v>444</v>
      </c>
      <c r="B315" t="s">
        <v>45</v>
      </c>
      <c r="C315" t="s">
        <v>47</v>
      </c>
      <c r="D315" s="105" t="s">
        <v>37</v>
      </c>
      <c r="E315" s="105" t="s">
        <v>58</v>
      </c>
      <c r="F315" s="105">
        <v>270</v>
      </c>
      <c r="G315" s="105">
        <v>230</v>
      </c>
      <c r="H315" s="105">
        <v>310</v>
      </c>
      <c r="I315" s="120">
        <v>6.4000000000000003E-3</v>
      </c>
      <c r="J315" s="120">
        <v>5.4999999999999997E-3</v>
      </c>
      <c r="K315" s="120">
        <v>7.4999999999999997E-3</v>
      </c>
      <c r="L315" s="105">
        <v>193</v>
      </c>
      <c r="M315">
        <v>0.71</v>
      </c>
      <c r="N315">
        <v>0.62</v>
      </c>
      <c r="O315">
        <v>0.84</v>
      </c>
      <c r="P315" s="105">
        <v>148</v>
      </c>
      <c r="Q315">
        <v>0.55000000000000004</v>
      </c>
      <c r="R315">
        <v>0.48</v>
      </c>
      <c r="S315">
        <v>0.64</v>
      </c>
    </row>
    <row r="316" spans="1:19" x14ac:dyDescent="0.35">
      <c r="A316" t="s">
        <v>445</v>
      </c>
      <c r="B316" t="s">
        <v>45</v>
      </c>
      <c r="C316" t="s">
        <v>48</v>
      </c>
      <c r="D316" s="105" t="s">
        <v>42</v>
      </c>
      <c r="E316" s="105" t="s">
        <v>58</v>
      </c>
      <c r="F316" s="105">
        <v>130</v>
      </c>
      <c r="G316" s="105">
        <v>110</v>
      </c>
      <c r="H316" s="105">
        <v>160</v>
      </c>
      <c r="I316" s="120">
        <v>3.0000000000000001E-3</v>
      </c>
      <c r="J316" s="120">
        <v>2.5000000000000001E-3</v>
      </c>
      <c r="K316" s="120">
        <v>3.5999999999999999E-3</v>
      </c>
      <c r="L316" s="105">
        <v>97</v>
      </c>
      <c r="M316">
        <v>0.75</v>
      </c>
      <c r="N316">
        <v>0.61</v>
      </c>
      <c r="O316">
        <v>0.88</v>
      </c>
      <c r="P316" s="105">
        <v>74</v>
      </c>
      <c r="Q316">
        <v>0.56999999999999995</v>
      </c>
      <c r="R316">
        <v>0.46</v>
      </c>
      <c r="S316">
        <v>0.67</v>
      </c>
    </row>
    <row r="317" spans="1:19" x14ac:dyDescent="0.35">
      <c r="A317" t="s">
        <v>446</v>
      </c>
      <c r="B317" t="s">
        <v>45</v>
      </c>
      <c r="C317" t="s">
        <v>48</v>
      </c>
      <c r="D317" s="105" t="s">
        <v>37</v>
      </c>
      <c r="E317" s="105" t="s">
        <v>58</v>
      </c>
      <c r="F317" s="105">
        <v>330</v>
      </c>
      <c r="G317" s="105">
        <v>280</v>
      </c>
      <c r="H317" s="105">
        <v>380</v>
      </c>
      <c r="I317" s="120">
        <v>7.7999999999999996E-3</v>
      </c>
      <c r="J317" s="120">
        <v>6.7999999999999996E-3</v>
      </c>
      <c r="K317" s="120">
        <v>8.9999999999999993E-3</v>
      </c>
      <c r="L317" s="105">
        <v>229</v>
      </c>
      <c r="M317">
        <v>0.69</v>
      </c>
      <c r="N317">
        <v>0.6</v>
      </c>
      <c r="O317">
        <v>0.82</v>
      </c>
      <c r="P317" s="105">
        <v>176</v>
      </c>
      <c r="Q317">
        <v>0.53</v>
      </c>
      <c r="R317">
        <v>0.46</v>
      </c>
      <c r="S317">
        <v>0.63</v>
      </c>
    </row>
    <row r="318" spans="1:19" x14ac:dyDescent="0.35">
      <c r="A318" t="s">
        <v>447</v>
      </c>
      <c r="B318" t="s">
        <v>45</v>
      </c>
      <c r="C318" t="s">
        <v>49</v>
      </c>
      <c r="D318" s="105" t="s">
        <v>42</v>
      </c>
      <c r="E318" s="105" t="s">
        <v>58</v>
      </c>
      <c r="F318" s="105">
        <v>150</v>
      </c>
      <c r="G318" s="105">
        <v>120</v>
      </c>
      <c r="H318" s="105">
        <v>180</v>
      </c>
      <c r="I318" s="120">
        <v>3.3E-3</v>
      </c>
      <c r="J318" s="120">
        <v>2.8E-3</v>
      </c>
      <c r="K318" s="120">
        <v>3.8999999999999998E-3</v>
      </c>
      <c r="L318" s="105">
        <v>111</v>
      </c>
      <c r="M318">
        <v>0.74</v>
      </c>
      <c r="N318">
        <v>0.62</v>
      </c>
      <c r="O318">
        <v>0.93</v>
      </c>
      <c r="P318" s="105">
        <v>88</v>
      </c>
      <c r="Q318">
        <v>0.59</v>
      </c>
      <c r="R318">
        <v>0.49</v>
      </c>
      <c r="S318">
        <v>0.73</v>
      </c>
    </row>
    <row r="319" spans="1:19" x14ac:dyDescent="0.35">
      <c r="A319" t="s">
        <v>448</v>
      </c>
      <c r="B319" t="s">
        <v>45</v>
      </c>
      <c r="C319" t="s">
        <v>49</v>
      </c>
      <c r="D319" s="105" t="s">
        <v>37</v>
      </c>
      <c r="E319" s="105" t="s">
        <v>58</v>
      </c>
      <c r="F319" s="105">
        <v>380</v>
      </c>
      <c r="G319" s="105">
        <v>330</v>
      </c>
      <c r="H319" s="105">
        <v>430</v>
      </c>
      <c r="I319" s="120">
        <v>8.8999999999999999E-3</v>
      </c>
      <c r="J319" s="120">
        <v>7.7999999999999996E-3</v>
      </c>
      <c r="K319" s="120">
        <v>1.0200000000000001E-2</v>
      </c>
      <c r="L319" s="105">
        <v>278</v>
      </c>
      <c r="M319">
        <v>0.73</v>
      </c>
      <c r="N319">
        <v>0.65</v>
      </c>
      <c r="O319">
        <v>0.84</v>
      </c>
      <c r="P319" s="105">
        <v>222</v>
      </c>
      <c r="Q319">
        <v>0.57999999999999996</v>
      </c>
      <c r="R319">
        <v>0.52</v>
      </c>
      <c r="S319">
        <v>0.67</v>
      </c>
    </row>
    <row r="320" spans="1:19" x14ac:dyDescent="0.35">
      <c r="A320" t="s">
        <v>449</v>
      </c>
      <c r="B320" t="s">
        <v>45</v>
      </c>
      <c r="C320" t="s">
        <v>124</v>
      </c>
      <c r="D320" s="105" t="s">
        <v>42</v>
      </c>
      <c r="E320" s="105" t="s">
        <v>58</v>
      </c>
      <c r="F320" s="105">
        <v>170</v>
      </c>
      <c r="G320" s="105">
        <v>140</v>
      </c>
      <c r="H320" s="105">
        <v>200</v>
      </c>
      <c r="I320" s="120">
        <v>3.8E-3</v>
      </c>
      <c r="J320" s="120">
        <v>3.2000000000000002E-3</v>
      </c>
      <c r="K320" s="120">
        <v>4.4999999999999997E-3</v>
      </c>
      <c r="L320" s="105">
        <v>117</v>
      </c>
      <c r="M320">
        <v>0.69</v>
      </c>
      <c r="N320">
        <v>0.59</v>
      </c>
      <c r="O320">
        <v>0.84</v>
      </c>
      <c r="P320" s="105">
        <v>94</v>
      </c>
      <c r="Q320">
        <v>0.55000000000000004</v>
      </c>
      <c r="R320">
        <v>0.47</v>
      </c>
      <c r="S320">
        <v>0.67</v>
      </c>
    </row>
    <row r="321" spans="1:19" x14ac:dyDescent="0.35">
      <c r="A321" t="s">
        <v>450</v>
      </c>
      <c r="B321" t="s">
        <v>45</v>
      </c>
      <c r="C321" t="s">
        <v>124</v>
      </c>
      <c r="D321" s="105" t="s">
        <v>37</v>
      </c>
      <c r="E321" s="105" t="s">
        <v>58</v>
      </c>
      <c r="F321" s="105">
        <v>450</v>
      </c>
      <c r="G321" s="105">
        <v>390</v>
      </c>
      <c r="H321" s="105">
        <v>510</v>
      </c>
      <c r="I321" s="120">
        <v>1.06E-2</v>
      </c>
      <c r="J321" s="120">
        <v>9.2999999999999992E-3</v>
      </c>
      <c r="K321" s="120">
        <v>1.2200000000000001E-2</v>
      </c>
      <c r="L321" s="105">
        <v>309</v>
      </c>
      <c r="M321">
        <v>0.69</v>
      </c>
      <c r="N321">
        <v>0.61</v>
      </c>
      <c r="O321">
        <v>0.79</v>
      </c>
      <c r="P321" s="105">
        <v>264</v>
      </c>
      <c r="Q321">
        <v>0.59</v>
      </c>
      <c r="R321">
        <v>0.52</v>
      </c>
      <c r="S321">
        <v>0.68</v>
      </c>
    </row>
    <row r="322" spans="1:19" x14ac:dyDescent="0.35">
      <c r="A322" t="s">
        <v>451</v>
      </c>
      <c r="B322" t="s">
        <v>45</v>
      </c>
      <c r="C322" t="s">
        <v>125</v>
      </c>
      <c r="D322" s="105" t="s">
        <v>42</v>
      </c>
      <c r="E322" s="105" t="s">
        <v>58</v>
      </c>
      <c r="F322" s="105">
        <v>180</v>
      </c>
      <c r="G322" s="105">
        <v>150</v>
      </c>
      <c r="H322" s="105">
        <v>210</v>
      </c>
      <c r="I322" s="120">
        <v>3.8999999999999998E-3</v>
      </c>
      <c r="J322" s="120">
        <v>3.2000000000000002E-3</v>
      </c>
      <c r="K322" s="120">
        <v>4.5999999999999999E-3</v>
      </c>
      <c r="L322" s="105">
        <v>124</v>
      </c>
      <c r="M322">
        <v>0.69</v>
      </c>
      <c r="N322">
        <v>0.59</v>
      </c>
      <c r="O322">
        <v>0.83</v>
      </c>
      <c r="P322" s="105">
        <v>111</v>
      </c>
      <c r="Q322">
        <v>0.62</v>
      </c>
      <c r="R322">
        <v>0.53</v>
      </c>
      <c r="S322">
        <v>0.74</v>
      </c>
    </row>
    <row r="323" spans="1:19" x14ac:dyDescent="0.35">
      <c r="A323" t="s">
        <v>452</v>
      </c>
      <c r="B323" t="s">
        <v>45</v>
      </c>
      <c r="C323" t="s">
        <v>125</v>
      </c>
      <c r="D323" s="105" t="s">
        <v>37</v>
      </c>
      <c r="E323" s="105" t="s">
        <v>58</v>
      </c>
      <c r="F323" s="105">
        <v>500</v>
      </c>
      <c r="G323" s="105">
        <v>440</v>
      </c>
      <c r="H323" s="105">
        <v>570</v>
      </c>
      <c r="I323" s="120">
        <v>1.18E-2</v>
      </c>
      <c r="J323" s="120">
        <v>1.04E-2</v>
      </c>
      <c r="K323" s="120">
        <v>1.34E-2</v>
      </c>
      <c r="L323" s="105">
        <v>366</v>
      </c>
      <c r="M323">
        <v>0.73</v>
      </c>
      <c r="N323">
        <v>0.64</v>
      </c>
      <c r="O323">
        <v>0.83</v>
      </c>
      <c r="P323" s="105">
        <v>304</v>
      </c>
      <c r="Q323">
        <v>0.61</v>
      </c>
      <c r="R323">
        <v>0.53</v>
      </c>
      <c r="S323">
        <v>0.69</v>
      </c>
    </row>
    <row r="324" spans="1:19" x14ac:dyDescent="0.35">
      <c r="A324" t="s">
        <v>453</v>
      </c>
      <c r="B324" t="s">
        <v>45</v>
      </c>
      <c r="C324" t="s">
        <v>126</v>
      </c>
      <c r="D324" s="105" t="s">
        <v>42</v>
      </c>
      <c r="E324" s="105" t="s">
        <v>58</v>
      </c>
      <c r="F324" s="105">
        <v>190</v>
      </c>
      <c r="G324" s="105">
        <v>160</v>
      </c>
      <c r="H324" s="105">
        <v>230</v>
      </c>
      <c r="I324" s="120">
        <v>4.1999999999999997E-3</v>
      </c>
      <c r="J324" s="120">
        <v>3.5000000000000001E-3</v>
      </c>
      <c r="K324" s="120">
        <v>4.8999999999999998E-3</v>
      </c>
      <c r="L324" s="105">
        <v>140</v>
      </c>
      <c r="M324">
        <v>0.74</v>
      </c>
      <c r="N324">
        <v>0.61</v>
      </c>
      <c r="O324">
        <v>0.88</v>
      </c>
      <c r="P324" s="105">
        <v>118</v>
      </c>
      <c r="Q324">
        <v>0.62</v>
      </c>
      <c r="R324">
        <v>0.51</v>
      </c>
      <c r="S324">
        <v>0.74</v>
      </c>
    </row>
    <row r="325" spans="1:19" x14ac:dyDescent="0.35">
      <c r="A325" t="s">
        <v>454</v>
      </c>
      <c r="B325" t="s">
        <v>45</v>
      </c>
      <c r="C325" t="s">
        <v>126</v>
      </c>
      <c r="D325" s="105" t="s">
        <v>37</v>
      </c>
      <c r="E325" s="105" t="s">
        <v>58</v>
      </c>
      <c r="F325" s="105">
        <v>530</v>
      </c>
      <c r="G325" s="105">
        <v>470</v>
      </c>
      <c r="H325" s="105">
        <v>600</v>
      </c>
      <c r="I325" s="120">
        <v>1.23E-2</v>
      </c>
      <c r="J325" s="120">
        <v>1.09E-2</v>
      </c>
      <c r="K325" s="120">
        <v>1.4E-2</v>
      </c>
      <c r="L325" s="105">
        <v>394</v>
      </c>
      <c r="M325">
        <v>0.74</v>
      </c>
      <c r="N325">
        <v>0.66</v>
      </c>
      <c r="O325">
        <v>0.84</v>
      </c>
      <c r="P325" s="105">
        <v>323</v>
      </c>
      <c r="Q325">
        <v>0.61</v>
      </c>
      <c r="R325">
        <v>0.54</v>
      </c>
      <c r="S325">
        <v>0.69</v>
      </c>
    </row>
    <row r="326" spans="1:19" x14ac:dyDescent="0.35">
      <c r="A326" t="s">
        <v>455</v>
      </c>
      <c r="B326" t="s">
        <v>129</v>
      </c>
      <c r="C326" t="s">
        <v>39</v>
      </c>
      <c r="D326" s="105" t="s">
        <v>42</v>
      </c>
      <c r="E326" s="105" t="s">
        <v>56</v>
      </c>
      <c r="F326" s="105">
        <v>460</v>
      </c>
      <c r="G326" s="105">
        <v>410</v>
      </c>
      <c r="H326" s="105">
        <v>510</v>
      </c>
      <c r="I326" s="120">
        <v>1.0200000000000001E-2</v>
      </c>
      <c r="J326" s="120">
        <v>9.1000000000000004E-3</v>
      </c>
      <c r="K326" s="120">
        <v>1.1299999999999999E-2</v>
      </c>
      <c r="L326" s="105">
        <v>362</v>
      </c>
      <c r="M326">
        <v>0.79</v>
      </c>
      <c r="N326">
        <v>0.71</v>
      </c>
      <c r="O326">
        <v>0.88</v>
      </c>
      <c r="P326" s="105">
        <v>262</v>
      </c>
      <c r="Q326">
        <v>0.56999999999999995</v>
      </c>
      <c r="R326">
        <v>0.51</v>
      </c>
      <c r="S326">
        <v>0.64</v>
      </c>
    </row>
    <row r="327" spans="1:19" x14ac:dyDescent="0.35">
      <c r="A327" t="s">
        <v>456</v>
      </c>
      <c r="B327" t="s">
        <v>129</v>
      </c>
      <c r="C327" t="s">
        <v>39</v>
      </c>
      <c r="D327" s="105" t="s">
        <v>37</v>
      </c>
      <c r="E327" s="105" t="s">
        <v>56</v>
      </c>
      <c r="F327" s="105">
        <v>750</v>
      </c>
      <c r="G327" s="105">
        <v>680</v>
      </c>
      <c r="H327" s="105">
        <v>830</v>
      </c>
      <c r="I327" s="120">
        <v>1.7500000000000002E-2</v>
      </c>
      <c r="J327" s="120">
        <v>1.5800000000000002E-2</v>
      </c>
      <c r="K327" s="120">
        <v>1.9400000000000001E-2</v>
      </c>
      <c r="L327" s="105">
        <v>507</v>
      </c>
      <c r="M327">
        <v>0.68</v>
      </c>
      <c r="N327">
        <v>0.61</v>
      </c>
      <c r="O327">
        <v>0.75</v>
      </c>
      <c r="P327" s="105">
        <v>377</v>
      </c>
      <c r="Q327">
        <v>0.5</v>
      </c>
      <c r="R327">
        <v>0.45</v>
      </c>
      <c r="S327">
        <v>0.55000000000000004</v>
      </c>
    </row>
    <row r="328" spans="1:19" x14ac:dyDescent="0.35">
      <c r="A328" t="s">
        <v>457</v>
      </c>
      <c r="B328" t="s">
        <v>129</v>
      </c>
      <c r="C328" t="s">
        <v>44</v>
      </c>
      <c r="D328" s="105" t="s">
        <v>42</v>
      </c>
      <c r="E328" s="105" t="s">
        <v>56</v>
      </c>
      <c r="F328" s="105">
        <v>420</v>
      </c>
      <c r="G328" s="105">
        <v>380</v>
      </c>
      <c r="H328" s="105">
        <v>470</v>
      </c>
      <c r="I328" s="120">
        <v>9.4999999999999998E-3</v>
      </c>
      <c r="J328" s="120">
        <v>8.5000000000000006E-3</v>
      </c>
      <c r="K328" s="120">
        <v>1.0500000000000001E-2</v>
      </c>
      <c r="L328" s="105">
        <v>338</v>
      </c>
      <c r="M328">
        <v>0.8</v>
      </c>
      <c r="N328">
        <v>0.72</v>
      </c>
      <c r="O328">
        <v>0.89</v>
      </c>
      <c r="P328" s="105">
        <v>265</v>
      </c>
      <c r="Q328">
        <v>0.63</v>
      </c>
      <c r="R328">
        <v>0.56000000000000005</v>
      </c>
      <c r="S328">
        <v>0.7</v>
      </c>
    </row>
    <row r="329" spans="1:19" x14ac:dyDescent="0.35">
      <c r="A329" t="s">
        <v>458</v>
      </c>
      <c r="B329" t="s">
        <v>129</v>
      </c>
      <c r="C329" t="s">
        <v>44</v>
      </c>
      <c r="D329" s="105" t="s">
        <v>37</v>
      </c>
      <c r="E329" s="105" t="s">
        <v>56</v>
      </c>
      <c r="F329" s="105">
        <v>670</v>
      </c>
      <c r="G329" s="105">
        <v>600</v>
      </c>
      <c r="H329" s="105">
        <v>740</v>
      </c>
      <c r="I329" s="120">
        <v>1.55E-2</v>
      </c>
      <c r="J329" s="120">
        <v>1.4E-2</v>
      </c>
      <c r="K329" s="120">
        <v>1.7399999999999999E-2</v>
      </c>
      <c r="L329" s="105">
        <v>445</v>
      </c>
      <c r="M329">
        <v>0.66</v>
      </c>
      <c r="N329">
        <v>0.6</v>
      </c>
      <c r="O329">
        <v>0.74</v>
      </c>
      <c r="P329" s="105">
        <v>371</v>
      </c>
      <c r="Q329">
        <v>0.55000000000000004</v>
      </c>
      <c r="R329">
        <v>0.5</v>
      </c>
      <c r="S329">
        <v>0.62</v>
      </c>
    </row>
    <row r="330" spans="1:19" x14ac:dyDescent="0.35">
      <c r="A330" t="s">
        <v>459</v>
      </c>
      <c r="B330" t="s">
        <v>129</v>
      </c>
      <c r="C330" t="s">
        <v>46</v>
      </c>
      <c r="D330" s="105" t="s">
        <v>42</v>
      </c>
      <c r="E330" s="105" t="s">
        <v>56</v>
      </c>
      <c r="F330" s="105">
        <v>370</v>
      </c>
      <c r="G330" s="105">
        <v>330</v>
      </c>
      <c r="H330" s="105">
        <v>410</v>
      </c>
      <c r="I330" s="120">
        <v>8.3000000000000001E-3</v>
      </c>
      <c r="J330" s="120">
        <v>7.4000000000000003E-3</v>
      </c>
      <c r="K330" s="120">
        <v>9.1999999999999998E-3</v>
      </c>
      <c r="L330" s="105">
        <v>296</v>
      </c>
      <c r="M330">
        <v>0.8</v>
      </c>
      <c r="N330">
        <v>0.72</v>
      </c>
      <c r="O330">
        <v>0.9</v>
      </c>
      <c r="P330" s="105">
        <v>236</v>
      </c>
      <c r="Q330">
        <v>0.64</v>
      </c>
      <c r="R330">
        <v>0.57999999999999996</v>
      </c>
      <c r="S330">
        <v>0.72</v>
      </c>
    </row>
    <row r="331" spans="1:19" x14ac:dyDescent="0.35">
      <c r="A331" t="s">
        <v>460</v>
      </c>
      <c r="B331" t="s">
        <v>129</v>
      </c>
      <c r="C331" t="s">
        <v>46</v>
      </c>
      <c r="D331" s="105" t="s">
        <v>37</v>
      </c>
      <c r="E331" s="105" t="s">
        <v>56</v>
      </c>
      <c r="F331" s="105">
        <v>580</v>
      </c>
      <c r="G331" s="105">
        <v>520</v>
      </c>
      <c r="H331" s="105">
        <v>640</v>
      </c>
      <c r="I331" s="120">
        <v>1.3299999999999999E-2</v>
      </c>
      <c r="J331" s="120">
        <v>1.1900000000000001E-2</v>
      </c>
      <c r="K331" s="120">
        <v>1.49E-2</v>
      </c>
      <c r="L331" s="105">
        <v>382</v>
      </c>
      <c r="M331">
        <v>0.66</v>
      </c>
      <c r="N331">
        <v>0.6</v>
      </c>
      <c r="O331">
        <v>0.73</v>
      </c>
      <c r="P331" s="105">
        <v>312</v>
      </c>
      <c r="Q331">
        <v>0.54</v>
      </c>
      <c r="R331">
        <v>0.49</v>
      </c>
      <c r="S331">
        <v>0.6</v>
      </c>
    </row>
    <row r="332" spans="1:19" x14ac:dyDescent="0.35">
      <c r="A332" t="s">
        <v>461</v>
      </c>
      <c r="B332" t="s">
        <v>129</v>
      </c>
      <c r="C332" t="s">
        <v>47</v>
      </c>
      <c r="D332" s="105" t="s">
        <v>42</v>
      </c>
      <c r="E332" s="105" t="s">
        <v>56</v>
      </c>
      <c r="F332" s="105">
        <v>330</v>
      </c>
      <c r="G332" s="105">
        <v>290</v>
      </c>
      <c r="H332" s="105">
        <v>370</v>
      </c>
      <c r="I332" s="120">
        <v>7.4000000000000003E-3</v>
      </c>
      <c r="J332" s="120">
        <v>6.4999999999999997E-3</v>
      </c>
      <c r="K332" s="120">
        <v>8.2000000000000007E-3</v>
      </c>
      <c r="L332" s="105">
        <v>261</v>
      </c>
      <c r="M332">
        <v>0.79</v>
      </c>
      <c r="N332">
        <v>0.71</v>
      </c>
      <c r="O332">
        <v>0.9</v>
      </c>
      <c r="P332" s="105">
        <v>218</v>
      </c>
      <c r="Q332">
        <v>0.66</v>
      </c>
      <c r="R332">
        <v>0.59</v>
      </c>
      <c r="S332">
        <v>0.75</v>
      </c>
    </row>
    <row r="333" spans="1:19" x14ac:dyDescent="0.35">
      <c r="A333" t="s">
        <v>462</v>
      </c>
      <c r="B333" t="s">
        <v>129</v>
      </c>
      <c r="C333" t="s">
        <v>47</v>
      </c>
      <c r="D333" s="105" t="s">
        <v>37</v>
      </c>
      <c r="E333" s="105" t="s">
        <v>56</v>
      </c>
      <c r="F333" s="105">
        <v>510</v>
      </c>
      <c r="G333" s="105">
        <v>450</v>
      </c>
      <c r="H333" s="105">
        <v>570</v>
      </c>
      <c r="I333" s="120">
        <v>1.17E-2</v>
      </c>
      <c r="J333" s="120">
        <v>1.04E-2</v>
      </c>
      <c r="K333" s="120">
        <v>1.3100000000000001E-2</v>
      </c>
      <c r="L333" s="105">
        <v>330</v>
      </c>
      <c r="M333">
        <v>0.65</v>
      </c>
      <c r="N333">
        <v>0.57999999999999996</v>
      </c>
      <c r="O333">
        <v>0.73</v>
      </c>
      <c r="P333" s="105">
        <v>270</v>
      </c>
      <c r="Q333">
        <v>0.53</v>
      </c>
      <c r="R333">
        <v>0.47</v>
      </c>
      <c r="S333">
        <v>0.6</v>
      </c>
    </row>
    <row r="334" spans="1:19" x14ac:dyDescent="0.35">
      <c r="A334" t="s">
        <v>463</v>
      </c>
      <c r="B334" t="s">
        <v>129</v>
      </c>
      <c r="C334" t="s">
        <v>48</v>
      </c>
      <c r="D334" s="105" t="s">
        <v>42</v>
      </c>
      <c r="E334" s="105" t="s">
        <v>56</v>
      </c>
      <c r="F334" s="105">
        <v>310</v>
      </c>
      <c r="G334" s="105">
        <v>270</v>
      </c>
      <c r="H334" s="105">
        <v>350</v>
      </c>
      <c r="I334" s="120">
        <v>7.0000000000000001E-3</v>
      </c>
      <c r="J334" s="120">
        <v>6.1999999999999998E-3</v>
      </c>
      <c r="K334" s="120">
        <v>7.7999999999999996E-3</v>
      </c>
      <c r="L334" s="105">
        <v>237</v>
      </c>
      <c r="M334">
        <v>0.76</v>
      </c>
      <c r="N334">
        <v>0.68</v>
      </c>
      <c r="O334">
        <v>0.88</v>
      </c>
      <c r="P334" s="105">
        <v>201</v>
      </c>
      <c r="Q334">
        <v>0.65</v>
      </c>
      <c r="R334">
        <v>0.56999999999999995</v>
      </c>
      <c r="S334">
        <v>0.74</v>
      </c>
    </row>
    <row r="335" spans="1:19" x14ac:dyDescent="0.35">
      <c r="A335" t="s">
        <v>464</v>
      </c>
      <c r="B335" t="s">
        <v>129</v>
      </c>
      <c r="C335" t="s">
        <v>48</v>
      </c>
      <c r="D335" s="105" t="s">
        <v>37</v>
      </c>
      <c r="E335" s="105" t="s">
        <v>56</v>
      </c>
      <c r="F335" s="105">
        <v>480</v>
      </c>
      <c r="G335" s="105">
        <v>430</v>
      </c>
      <c r="H335" s="105">
        <v>540</v>
      </c>
      <c r="I335" s="120">
        <v>1.11E-2</v>
      </c>
      <c r="J335" s="121">
        <v>9.9000000000000008E-3</v>
      </c>
      <c r="K335" s="120">
        <v>1.2500000000000001E-2</v>
      </c>
      <c r="L335" s="105">
        <v>296</v>
      </c>
      <c r="M335">
        <v>0.62</v>
      </c>
      <c r="N335">
        <v>0.55000000000000004</v>
      </c>
      <c r="O335">
        <v>0.69</v>
      </c>
      <c r="P335" s="105">
        <v>239</v>
      </c>
      <c r="Q335">
        <v>0.5</v>
      </c>
      <c r="R335">
        <v>0.44</v>
      </c>
      <c r="S335">
        <v>0.56000000000000005</v>
      </c>
    </row>
    <row r="336" spans="1:19" x14ac:dyDescent="0.35">
      <c r="A336" t="s">
        <v>465</v>
      </c>
      <c r="B336" t="s">
        <v>129</v>
      </c>
      <c r="C336" t="s">
        <v>49</v>
      </c>
      <c r="D336" s="105" t="s">
        <v>42</v>
      </c>
      <c r="E336" s="105" t="s">
        <v>56</v>
      </c>
      <c r="F336" s="105">
        <v>320</v>
      </c>
      <c r="G336" s="105">
        <v>280</v>
      </c>
      <c r="H336" s="105">
        <v>360</v>
      </c>
      <c r="I336" s="120">
        <v>7.1000000000000004E-3</v>
      </c>
      <c r="J336" s="120">
        <v>6.3E-3</v>
      </c>
      <c r="K336" s="120">
        <v>8.0999999999999996E-3</v>
      </c>
      <c r="L336" s="105">
        <v>229</v>
      </c>
      <c r="M336">
        <v>0.72</v>
      </c>
      <c r="N336">
        <v>0.64</v>
      </c>
      <c r="O336">
        <v>0.82</v>
      </c>
      <c r="P336" s="105">
        <v>194</v>
      </c>
      <c r="Q336">
        <v>0.61</v>
      </c>
      <c r="R336">
        <v>0.54</v>
      </c>
      <c r="S336">
        <v>0.69</v>
      </c>
    </row>
    <row r="337" spans="1:19" x14ac:dyDescent="0.35">
      <c r="A337" t="s">
        <v>466</v>
      </c>
      <c r="B337" t="s">
        <v>129</v>
      </c>
      <c r="C337" t="s">
        <v>49</v>
      </c>
      <c r="D337" s="105" t="s">
        <v>37</v>
      </c>
      <c r="E337" s="105" t="s">
        <v>56</v>
      </c>
      <c r="F337" s="105">
        <v>510</v>
      </c>
      <c r="G337" s="105">
        <v>440</v>
      </c>
      <c r="H337" s="105">
        <v>580</v>
      </c>
      <c r="I337" s="120">
        <v>1.1599999999999999E-2</v>
      </c>
      <c r="J337" s="120">
        <v>1.01E-2</v>
      </c>
      <c r="K337" s="120">
        <v>1.32E-2</v>
      </c>
      <c r="L337" s="105">
        <v>274</v>
      </c>
      <c r="M337">
        <v>0.54</v>
      </c>
      <c r="N337">
        <v>0.47</v>
      </c>
      <c r="O337">
        <v>0.62</v>
      </c>
      <c r="P337" s="105">
        <v>231</v>
      </c>
      <c r="Q337">
        <v>0.45</v>
      </c>
      <c r="R337">
        <v>0.4</v>
      </c>
      <c r="S337">
        <v>0.53</v>
      </c>
    </row>
    <row r="338" spans="1:19" x14ac:dyDescent="0.35">
      <c r="A338" t="s">
        <v>467</v>
      </c>
      <c r="B338" t="s">
        <v>129</v>
      </c>
      <c r="C338" t="s">
        <v>124</v>
      </c>
      <c r="D338" s="105" t="s">
        <v>42</v>
      </c>
      <c r="E338" s="105" t="s">
        <v>56</v>
      </c>
      <c r="F338" s="105">
        <v>290</v>
      </c>
      <c r="G338" s="105">
        <v>260</v>
      </c>
      <c r="H338" s="105">
        <v>330</v>
      </c>
      <c r="I338" s="120">
        <v>6.7000000000000002E-3</v>
      </c>
      <c r="J338" s="120">
        <v>5.7999999999999996E-3</v>
      </c>
      <c r="K338" s="120">
        <v>7.6E-3</v>
      </c>
      <c r="L338" s="105">
        <v>205</v>
      </c>
      <c r="M338">
        <v>0.71</v>
      </c>
      <c r="N338">
        <v>0.62</v>
      </c>
      <c r="O338">
        <v>0.79</v>
      </c>
      <c r="P338" s="105">
        <v>173</v>
      </c>
      <c r="Q338">
        <v>0.6</v>
      </c>
      <c r="R338">
        <v>0.52</v>
      </c>
      <c r="S338">
        <v>0.67</v>
      </c>
    </row>
    <row r="339" spans="1:19" x14ac:dyDescent="0.35">
      <c r="A339" t="s">
        <v>468</v>
      </c>
      <c r="B339" t="s">
        <v>129</v>
      </c>
      <c r="C339" t="s">
        <v>124</v>
      </c>
      <c r="D339" s="105" t="s">
        <v>37</v>
      </c>
      <c r="E339" s="105" t="s">
        <v>56</v>
      </c>
      <c r="F339" s="105">
        <v>490</v>
      </c>
      <c r="G339" s="105">
        <v>430</v>
      </c>
      <c r="H339" s="105">
        <v>570</v>
      </c>
      <c r="I339" s="120">
        <v>1.1299999999999999E-2</v>
      </c>
      <c r="J339" s="120">
        <v>9.7999999999999997E-3</v>
      </c>
      <c r="K339" s="120">
        <v>1.29E-2</v>
      </c>
      <c r="L339" s="105">
        <v>255</v>
      </c>
      <c r="M339">
        <v>0.52</v>
      </c>
      <c r="N339">
        <v>0.45</v>
      </c>
      <c r="O339">
        <v>0.59</v>
      </c>
      <c r="P339" s="105">
        <v>214</v>
      </c>
      <c r="Q339">
        <v>0.44</v>
      </c>
      <c r="R339">
        <v>0.38</v>
      </c>
      <c r="S339">
        <v>0.5</v>
      </c>
    </row>
    <row r="340" spans="1:19" x14ac:dyDescent="0.35">
      <c r="A340" t="s">
        <v>469</v>
      </c>
      <c r="B340" t="s">
        <v>129</v>
      </c>
      <c r="C340" t="s">
        <v>125</v>
      </c>
      <c r="D340" s="105" t="s">
        <v>42</v>
      </c>
      <c r="E340" s="105" t="s">
        <v>56</v>
      </c>
      <c r="F340" s="105">
        <v>250</v>
      </c>
      <c r="G340" s="105">
        <v>220</v>
      </c>
      <c r="H340" s="105">
        <v>290</v>
      </c>
      <c r="I340" s="120">
        <v>5.7000000000000002E-3</v>
      </c>
      <c r="J340" s="120">
        <v>5.0000000000000001E-3</v>
      </c>
      <c r="K340" s="120">
        <v>6.6E-3</v>
      </c>
      <c r="L340" s="105">
        <v>177</v>
      </c>
      <c r="M340">
        <v>0.71</v>
      </c>
      <c r="N340">
        <v>0.61</v>
      </c>
      <c r="O340">
        <v>0.8</v>
      </c>
      <c r="P340" s="105">
        <v>150</v>
      </c>
      <c r="Q340">
        <v>0.6</v>
      </c>
      <c r="R340">
        <v>0.52</v>
      </c>
      <c r="S340">
        <v>0.68</v>
      </c>
    </row>
    <row r="341" spans="1:19" x14ac:dyDescent="0.35">
      <c r="A341" t="s">
        <v>470</v>
      </c>
      <c r="B341" t="s">
        <v>129</v>
      </c>
      <c r="C341" t="s">
        <v>125</v>
      </c>
      <c r="D341" s="105" t="s">
        <v>37</v>
      </c>
      <c r="E341" s="105" t="s">
        <v>56</v>
      </c>
      <c r="F341" s="105">
        <v>450</v>
      </c>
      <c r="G341" s="105">
        <v>390</v>
      </c>
      <c r="H341" s="105">
        <v>520</v>
      </c>
      <c r="I341" s="120">
        <v>1.03E-2</v>
      </c>
      <c r="J341" s="120">
        <v>8.9999999999999993E-3</v>
      </c>
      <c r="K341" s="120">
        <v>1.1900000000000001E-2</v>
      </c>
      <c r="L341" s="105">
        <v>248</v>
      </c>
      <c r="M341">
        <v>0.55000000000000004</v>
      </c>
      <c r="N341">
        <v>0.48</v>
      </c>
      <c r="O341">
        <v>0.64</v>
      </c>
      <c r="P341" s="105">
        <v>205</v>
      </c>
      <c r="Q341">
        <v>0.46</v>
      </c>
      <c r="R341">
        <v>0.39</v>
      </c>
      <c r="S341">
        <v>0.53</v>
      </c>
    </row>
    <row r="342" spans="1:19" x14ac:dyDescent="0.35">
      <c r="A342" t="s">
        <v>471</v>
      </c>
      <c r="B342" t="s">
        <v>129</v>
      </c>
      <c r="C342" t="s">
        <v>126</v>
      </c>
      <c r="D342" s="105" t="s">
        <v>42</v>
      </c>
      <c r="E342" s="105" t="s">
        <v>56</v>
      </c>
      <c r="F342" s="105">
        <v>220</v>
      </c>
      <c r="G342" s="105">
        <v>190</v>
      </c>
      <c r="H342" s="105">
        <v>250</v>
      </c>
      <c r="I342" s="120">
        <v>5.1000000000000004E-3</v>
      </c>
      <c r="J342" s="120">
        <v>4.4000000000000003E-3</v>
      </c>
      <c r="K342" s="120">
        <v>5.7999999999999996E-3</v>
      </c>
      <c r="L342" s="105">
        <v>162</v>
      </c>
      <c r="M342">
        <v>0.74</v>
      </c>
      <c r="N342">
        <v>0.65</v>
      </c>
      <c r="O342">
        <v>0.85</v>
      </c>
      <c r="P342" s="105">
        <v>141</v>
      </c>
      <c r="Q342">
        <v>0.64</v>
      </c>
      <c r="R342">
        <v>0.56000000000000005</v>
      </c>
      <c r="S342">
        <v>0.74</v>
      </c>
    </row>
    <row r="343" spans="1:19" x14ac:dyDescent="0.35">
      <c r="A343" t="s">
        <v>472</v>
      </c>
      <c r="B343" t="s">
        <v>129</v>
      </c>
      <c r="C343" t="s">
        <v>126</v>
      </c>
      <c r="D343" s="105" t="s">
        <v>37</v>
      </c>
      <c r="E343" s="105" t="s">
        <v>56</v>
      </c>
      <c r="F343" s="105">
        <v>390</v>
      </c>
      <c r="G343" s="105">
        <v>340</v>
      </c>
      <c r="H343" s="105">
        <v>440</v>
      </c>
      <c r="I343" s="120">
        <v>9.1999999999999998E-3</v>
      </c>
      <c r="J343" s="120">
        <v>8.0000000000000002E-3</v>
      </c>
      <c r="K343" s="120">
        <v>1.06E-2</v>
      </c>
      <c r="L343" s="105">
        <v>236</v>
      </c>
      <c r="M343">
        <v>0.61</v>
      </c>
      <c r="N343">
        <v>0.54</v>
      </c>
      <c r="O343">
        <v>0.69</v>
      </c>
      <c r="P343" s="105">
        <v>194</v>
      </c>
      <c r="Q343">
        <v>0.5</v>
      </c>
      <c r="R343">
        <v>0.44</v>
      </c>
      <c r="S343">
        <v>0.56999999999999995</v>
      </c>
    </row>
    <row r="344" spans="1:19" x14ac:dyDescent="0.35">
      <c r="A344" t="s">
        <v>473</v>
      </c>
      <c r="B344" t="s">
        <v>129</v>
      </c>
      <c r="C344" t="s">
        <v>39</v>
      </c>
      <c r="D344" s="105" t="s">
        <v>42</v>
      </c>
      <c r="E344" s="105" t="s">
        <v>57</v>
      </c>
      <c r="F344" s="105">
        <v>410</v>
      </c>
      <c r="G344" s="105">
        <v>360</v>
      </c>
      <c r="H344" s="105">
        <v>460</v>
      </c>
      <c r="I344" s="120">
        <v>1.0800000000000001E-2</v>
      </c>
      <c r="J344" s="120">
        <v>9.4999999999999998E-3</v>
      </c>
      <c r="K344" s="120">
        <v>1.21E-2</v>
      </c>
      <c r="L344" s="105">
        <v>291</v>
      </c>
      <c r="M344">
        <v>0.71</v>
      </c>
      <c r="N344">
        <v>0.63</v>
      </c>
      <c r="O344">
        <v>0.81</v>
      </c>
      <c r="P344" s="105">
        <v>223</v>
      </c>
      <c r="Q344">
        <v>0.54</v>
      </c>
      <c r="R344">
        <v>0.48</v>
      </c>
      <c r="S344">
        <v>0.62</v>
      </c>
    </row>
    <row r="345" spans="1:19" x14ac:dyDescent="0.35">
      <c r="A345" t="s">
        <v>474</v>
      </c>
      <c r="B345" t="s">
        <v>129</v>
      </c>
      <c r="C345" t="s">
        <v>39</v>
      </c>
      <c r="D345" s="105" t="s">
        <v>37</v>
      </c>
      <c r="E345" s="105" t="s">
        <v>57</v>
      </c>
      <c r="F345" s="105">
        <v>1100</v>
      </c>
      <c r="G345" s="105">
        <v>990</v>
      </c>
      <c r="H345" s="105">
        <v>1200</v>
      </c>
      <c r="I345" s="120">
        <v>3.0200000000000001E-2</v>
      </c>
      <c r="J345" s="120">
        <v>2.7699999999999999E-2</v>
      </c>
      <c r="K345" s="120">
        <v>3.3000000000000002E-2</v>
      </c>
      <c r="L345" s="105">
        <v>788</v>
      </c>
      <c r="M345">
        <v>0.72</v>
      </c>
      <c r="N345">
        <v>0.66</v>
      </c>
      <c r="O345">
        <v>0.8</v>
      </c>
      <c r="P345" s="105">
        <v>584</v>
      </c>
      <c r="Q345">
        <v>0.53</v>
      </c>
      <c r="R345">
        <v>0.49</v>
      </c>
      <c r="S345">
        <v>0.59</v>
      </c>
    </row>
    <row r="346" spans="1:19" x14ac:dyDescent="0.35">
      <c r="A346" t="s">
        <v>475</v>
      </c>
      <c r="B346" t="s">
        <v>129</v>
      </c>
      <c r="C346" t="s">
        <v>44</v>
      </c>
      <c r="D346" s="105" t="s">
        <v>42</v>
      </c>
      <c r="E346" s="105" t="s">
        <v>57</v>
      </c>
      <c r="F346" s="105">
        <v>420</v>
      </c>
      <c r="G346" s="105">
        <v>380</v>
      </c>
      <c r="H346" s="105">
        <v>470</v>
      </c>
      <c r="I346" s="120">
        <v>1.1299999999999999E-2</v>
      </c>
      <c r="J346" s="120">
        <v>1.01E-2</v>
      </c>
      <c r="K346" s="120">
        <v>1.26E-2</v>
      </c>
      <c r="L346" s="105">
        <v>320</v>
      </c>
      <c r="M346">
        <v>0.76</v>
      </c>
      <c r="N346">
        <v>0.68</v>
      </c>
      <c r="O346">
        <v>0.84</v>
      </c>
      <c r="P346" s="105">
        <v>269</v>
      </c>
      <c r="Q346">
        <v>0.64</v>
      </c>
      <c r="R346">
        <v>0.56999999999999995</v>
      </c>
      <c r="S346">
        <v>0.71</v>
      </c>
    </row>
    <row r="347" spans="1:19" x14ac:dyDescent="0.35">
      <c r="A347" t="s">
        <v>476</v>
      </c>
      <c r="B347" t="s">
        <v>129</v>
      </c>
      <c r="C347" t="s">
        <v>44</v>
      </c>
      <c r="D347" s="105" t="s">
        <v>37</v>
      </c>
      <c r="E347" s="105" t="s">
        <v>57</v>
      </c>
      <c r="F347" s="105">
        <v>1100</v>
      </c>
      <c r="G347" s="105">
        <v>1000</v>
      </c>
      <c r="H347" s="105">
        <v>1200</v>
      </c>
      <c r="I347" s="120">
        <v>3.1E-2</v>
      </c>
      <c r="J347" s="120">
        <v>2.86E-2</v>
      </c>
      <c r="K347" s="120">
        <v>3.3700000000000001E-2</v>
      </c>
      <c r="L347" s="105">
        <v>836</v>
      </c>
      <c r="M347">
        <v>0.76</v>
      </c>
      <c r="N347">
        <v>0.7</v>
      </c>
      <c r="O347">
        <v>0.84</v>
      </c>
      <c r="P347" s="105">
        <v>673</v>
      </c>
      <c r="Q347">
        <v>0.61</v>
      </c>
      <c r="R347">
        <v>0.56000000000000005</v>
      </c>
      <c r="S347">
        <v>0.67</v>
      </c>
    </row>
    <row r="348" spans="1:19" x14ac:dyDescent="0.35">
      <c r="A348" t="s">
        <v>477</v>
      </c>
      <c r="B348" t="s">
        <v>129</v>
      </c>
      <c r="C348" t="s">
        <v>46</v>
      </c>
      <c r="D348" s="105" t="s">
        <v>42</v>
      </c>
      <c r="E348" s="105" t="s">
        <v>57</v>
      </c>
      <c r="F348" s="105">
        <v>440</v>
      </c>
      <c r="G348" s="105">
        <v>390</v>
      </c>
      <c r="H348" s="105">
        <v>490</v>
      </c>
      <c r="I348" s="120">
        <v>1.1900000000000001E-2</v>
      </c>
      <c r="J348" s="120">
        <v>1.0699999999999999E-2</v>
      </c>
      <c r="K348" s="120">
        <v>1.32E-2</v>
      </c>
      <c r="L348" s="105">
        <v>347</v>
      </c>
      <c r="M348">
        <v>0.79</v>
      </c>
      <c r="N348">
        <v>0.71</v>
      </c>
      <c r="O348">
        <v>0.89</v>
      </c>
      <c r="P348" s="105">
        <v>278</v>
      </c>
      <c r="Q348">
        <v>0.63</v>
      </c>
      <c r="R348">
        <v>0.56999999999999995</v>
      </c>
      <c r="S348">
        <v>0.71</v>
      </c>
    </row>
    <row r="349" spans="1:19" x14ac:dyDescent="0.35">
      <c r="A349" t="s">
        <v>478</v>
      </c>
      <c r="B349" t="s">
        <v>129</v>
      </c>
      <c r="C349" t="s">
        <v>46</v>
      </c>
      <c r="D349" s="105" t="s">
        <v>37</v>
      </c>
      <c r="E349" s="105" t="s">
        <v>57</v>
      </c>
      <c r="F349" s="105">
        <v>1100</v>
      </c>
      <c r="G349" s="105">
        <v>1000</v>
      </c>
      <c r="H349" s="105">
        <v>1200</v>
      </c>
      <c r="I349" s="120">
        <v>3.2300000000000002E-2</v>
      </c>
      <c r="J349" s="120">
        <v>2.9899999999999999E-2</v>
      </c>
      <c r="K349" s="120">
        <v>3.4799999999999998E-2</v>
      </c>
      <c r="L349" s="105">
        <v>893</v>
      </c>
      <c r="M349">
        <v>0.81</v>
      </c>
      <c r="N349">
        <v>0.74</v>
      </c>
      <c r="O349">
        <v>0.89</v>
      </c>
      <c r="P349" s="105">
        <v>746</v>
      </c>
      <c r="Q349">
        <v>0.68</v>
      </c>
      <c r="R349">
        <v>0.62</v>
      </c>
      <c r="S349">
        <v>0.75</v>
      </c>
    </row>
    <row r="350" spans="1:19" x14ac:dyDescent="0.35">
      <c r="A350" t="s">
        <v>479</v>
      </c>
      <c r="B350" t="s">
        <v>129</v>
      </c>
      <c r="C350" t="s">
        <v>47</v>
      </c>
      <c r="D350" s="105" t="s">
        <v>42</v>
      </c>
      <c r="E350" s="105" t="s">
        <v>57</v>
      </c>
      <c r="F350" s="105">
        <v>450</v>
      </c>
      <c r="G350" s="105">
        <v>410</v>
      </c>
      <c r="H350" s="105">
        <v>500</v>
      </c>
      <c r="I350" s="120">
        <v>1.24E-2</v>
      </c>
      <c r="J350" s="120">
        <v>1.12E-2</v>
      </c>
      <c r="K350" s="120">
        <v>1.37E-2</v>
      </c>
      <c r="L350" s="105">
        <v>370</v>
      </c>
      <c r="M350">
        <v>0.82</v>
      </c>
      <c r="N350">
        <v>0.74</v>
      </c>
      <c r="O350">
        <v>0.9</v>
      </c>
      <c r="P350" s="105">
        <v>303</v>
      </c>
      <c r="Q350">
        <v>0.67</v>
      </c>
      <c r="R350">
        <v>0.61</v>
      </c>
      <c r="S350">
        <v>0.74</v>
      </c>
    </row>
    <row r="351" spans="1:19" x14ac:dyDescent="0.35">
      <c r="A351" t="s">
        <v>480</v>
      </c>
      <c r="B351" t="s">
        <v>129</v>
      </c>
      <c r="C351" t="s">
        <v>47</v>
      </c>
      <c r="D351" s="105" t="s">
        <v>37</v>
      </c>
      <c r="E351" s="105" t="s">
        <v>57</v>
      </c>
      <c r="F351" s="105">
        <v>1100</v>
      </c>
      <c r="G351" s="105">
        <v>1100</v>
      </c>
      <c r="H351" s="105">
        <v>1200</v>
      </c>
      <c r="I351" s="120">
        <v>3.3099999999999997E-2</v>
      </c>
      <c r="J351" s="120">
        <v>3.09E-2</v>
      </c>
      <c r="K351" s="120">
        <v>3.56E-2</v>
      </c>
      <c r="L351" s="105">
        <v>935</v>
      </c>
      <c r="M351">
        <v>0.85</v>
      </c>
      <c r="N351">
        <v>0.78</v>
      </c>
      <c r="O351">
        <v>0.85</v>
      </c>
      <c r="P351" s="105">
        <v>793</v>
      </c>
      <c r="Q351">
        <v>0.72</v>
      </c>
      <c r="R351">
        <v>0.66</v>
      </c>
      <c r="S351">
        <v>0.72</v>
      </c>
    </row>
    <row r="352" spans="1:19" x14ac:dyDescent="0.35">
      <c r="A352" t="s">
        <v>481</v>
      </c>
      <c r="B352" t="s">
        <v>129</v>
      </c>
      <c r="C352" t="s">
        <v>48</v>
      </c>
      <c r="D352" s="105" t="s">
        <v>42</v>
      </c>
      <c r="E352" s="105" t="s">
        <v>57</v>
      </c>
      <c r="F352" s="105">
        <v>460</v>
      </c>
      <c r="G352" s="105">
        <v>420</v>
      </c>
      <c r="H352" s="105">
        <v>510</v>
      </c>
      <c r="I352" s="120">
        <v>1.2999999999999999E-2</v>
      </c>
      <c r="J352" s="120">
        <v>1.18E-2</v>
      </c>
      <c r="K352" s="120">
        <v>1.43E-2</v>
      </c>
      <c r="L352" s="105">
        <v>384</v>
      </c>
      <c r="M352">
        <v>0.83</v>
      </c>
      <c r="N352">
        <v>0.75</v>
      </c>
      <c r="O352">
        <v>0.91</v>
      </c>
      <c r="P352" s="105">
        <v>315</v>
      </c>
      <c r="Q352">
        <v>0.68</v>
      </c>
      <c r="R352">
        <v>0.62</v>
      </c>
      <c r="S352">
        <v>0.75</v>
      </c>
    </row>
    <row r="353" spans="1:19" x14ac:dyDescent="0.35">
      <c r="A353" t="s">
        <v>482</v>
      </c>
      <c r="B353" t="s">
        <v>129</v>
      </c>
      <c r="C353" t="s">
        <v>48</v>
      </c>
      <c r="D353" s="105" t="s">
        <v>37</v>
      </c>
      <c r="E353" s="105" t="s">
        <v>57</v>
      </c>
      <c r="F353" s="105">
        <v>1200</v>
      </c>
      <c r="G353" s="105">
        <v>1100</v>
      </c>
      <c r="H353" s="105">
        <v>1200</v>
      </c>
      <c r="I353" s="120">
        <v>3.4500000000000003E-2</v>
      </c>
      <c r="J353" s="120">
        <v>3.2199999999999999E-2</v>
      </c>
      <c r="K353" s="120">
        <v>3.6999999999999998E-2</v>
      </c>
      <c r="L353" s="105">
        <v>956</v>
      </c>
      <c r="M353">
        <v>0.8</v>
      </c>
      <c r="N353">
        <v>0.8</v>
      </c>
      <c r="O353">
        <v>0.87</v>
      </c>
      <c r="P353" s="105">
        <v>799</v>
      </c>
      <c r="Q353">
        <v>0.67</v>
      </c>
      <c r="R353">
        <v>0.67</v>
      </c>
      <c r="S353">
        <v>0.73</v>
      </c>
    </row>
    <row r="354" spans="1:19" x14ac:dyDescent="0.35">
      <c r="A354" t="s">
        <v>483</v>
      </c>
      <c r="B354" t="s">
        <v>129</v>
      </c>
      <c r="C354" t="s">
        <v>49</v>
      </c>
      <c r="D354" s="105" t="s">
        <v>42</v>
      </c>
      <c r="E354" s="105" t="s">
        <v>57</v>
      </c>
      <c r="F354" s="105">
        <v>490</v>
      </c>
      <c r="G354" s="105">
        <v>440</v>
      </c>
      <c r="H354" s="105">
        <v>540</v>
      </c>
      <c r="I354" s="120">
        <v>1.3899999999999999E-2</v>
      </c>
      <c r="J354" s="120">
        <v>1.26E-2</v>
      </c>
      <c r="K354" s="120">
        <v>1.5299999999999999E-2</v>
      </c>
      <c r="L354" s="105">
        <v>391</v>
      </c>
      <c r="M354">
        <v>0.8</v>
      </c>
      <c r="N354">
        <v>0.72</v>
      </c>
      <c r="O354">
        <v>0.89</v>
      </c>
      <c r="P354" s="105">
        <v>322</v>
      </c>
      <c r="Q354">
        <v>0.66</v>
      </c>
      <c r="R354">
        <v>0.6</v>
      </c>
      <c r="S354">
        <v>0.73</v>
      </c>
    </row>
    <row r="355" spans="1:19" x14ac:dyDescent="0.35">
      <c r="A355" t="s">
        <v>484</v>
      </c>
      <c r="B355" t="s">
        <v>129</v>
      </c>
      <c r="C355" t="s">
        <v>49</v>
      </c>
      <c r="D355" s="105" t="s">
        <v>37</v>
      </c>
      <c r="E355" s="105" t="s">
        <v>57</v>
      </c>
      <c r="F355" s="105">
        <v>1200</v>
      </c>
      <c r="G355" s="105">
        <v>1100</v>
      </c>
      <c r="H355" s="105">
        <v>1300</v>
      </c>
      <c r="I355" s="120">
        <v>3.6799999999999999E-2</v>
      </c>
      <c r="J355" s="120">
        <v>3.4299999999999997E-2</v>
      </c>
      <c r="K355" s="120">
        <v>3.95E-2</v>
      </c>
      <c r="L355" s="105">
        <v>966</v>
      </c>
      <c r="M355">
        <v>0.81</v>
      </c>
      <c r="N355">
        <v>0.74</v>
      </c>
      <c r="O355">
        <v>0.88</v>
      </c>
      <c r="P355" s="105">
        <v>814</v>
      </c>
      <c r="Q355">
        <v>0.68</v>
      </c>
      <c r="R355">
        <v>0.63</v>
      </c>
      <c r="S355">
        <v>0.74</v>
      </c>
    </row>
    <row r="356" spans="1:19" x14ac:dyDescent="0.35">
      <c r="A356" t="s">
        <v>485</v>
      </c>
      <c r="B356" t="s">
        <v>129</v>
      </c>
      <c r="C356" t="s">
        <v>124</v>
      </c>
      <c r="D356" s="105" t="s">
        <v>42</v>
      </c>
      <c r="E356" s="105" t="s">
        <v>57</v>
      </c>
      <c r="F356" s="105">
        <v>500</v>
      </c>
      <c r="G356" s="105">
        <v>450</v>
      </c>
      <c r="H356" s="105">
        <v>550</v>
      </c>
      <c r="I356" s="120">
        <v>1.4200000000000001E-2</v>
      </c>
      <c r="J356" s="120">
        <v>1.29E-2</v>
      </c>
      <c r="K356" s="120">
        <v>1.5699999999999999E-2</v>
      </c>
      <c r="L356" s="105">
        <v>397</v>
      </c>
      <c r="M356">
        <v>0.79</v>
      </c>
      <c r="N356">
        <v>0.72</v>
      </c>
      <c r="O356">
        <v>0.88</v>
      </c>
      <c r="P356" s="105">
        <v>340</v>
      </c>
      <c r="Q356">
        <v>0.68</v>
      </c>
      <c r="R356">
        <v>0.62</v>
      </c>
      <c r="S356">
        <v>0.76</v>
      </c>
    </row>
    <row r="357" spans="1:19" x14ac:dyDescent="0.35">
      <c r="A357" t="s">
        <v>486</v>
      </c>
      <c r="B357" t="s">
        <v>129</v>
      </c>
      <c r="C357" t="s">
        <v>124</v>
      </c>
      <c r="D357" s="105" t="s">
        <v>37</v>
      </c>
      <c r="E357" s="105" t="s">
        <v>57</v>
      </c>
      <c r="F357" s="105">
        <v>1200</v>
      </c>
      <c r="G357" s="105">
        <v>1100</v>
      </c>
      <c r="H357" s="105">
        <v>1300</v>
      </c>
      <c r="I357" s="120">
        <v>3.6499999999999998E-2</v>
      </c>
      <c r="J357" s="120">
        <v>3.4000000000000002E-2</v>
      </c>
      <c r="K357" s="120">
        <v>3.9300000000000002E-2</v>
      </c>
      <c r="L357" s="105">
        <v>939</v>
      </c>
      <c r="M357">
        <v>0.78</v>
      </c>
      <c r="N357">
        <v>0.72</v>
      </c>
      <c r="O357">
        <v>0.85</v>
      </c>
      <c r="P357" s="105">
        <v>809</v>
      </c>
      <c r="Q357">
        <v>0.67</v>
      </c>
      <c r="R357">
        <v>0.62</v>
      </c>
      <c r="S357">
        <v>0.74</v>
      </c>
    </row>
    <row r="358" spans="1:19" x14ac:dyDescent="0.35">
      <c r="A358" t="s">
        <v>487</v>
      </c>
      <c r="B358" t="s">
        <v>129</v>
      </c>
      <c r="C358" t="s">
        <v>125</v>
      </c>
      <c r="D358" s="105" t="s">
        <v>42</v>
      </c>
      <c r="E358" s="105" t="s">
        <v>57</v>
      </c>
      <c r="F358" s="105">
        <v>490</v>
      </c>
      <c r="G358" s="105">
        <v>450</v>
      </c>
      <c r="H358" s="105">
        <v>550</v>
      </c>
      <c r="I358" s="120">
        <v>1.43E-2</v>
      </c>
      <c r="J358" s="120">
        <v>1.29E-2</v>
      </c>
      <c r="K358" s="120">
        <v>1.5699999999999999E-2</v>
      </c>
      <c r="L358" s="105">
        <v>408</v>
      </c>
      <c r="M358">
        <v>0.83</v>
      </c>
      <c r="N358">
        <v>0.74</v>
      </c>
      <c r="O358">
        <v>0.91</v>
      </c>
      <c r="P358" s="105">
        <v>355</v>
      </c>
      <c r="Q358">
        <v>0.72</v>
      </c>
      <c r="R358">
        <v>0.65</v>
      </c>
      <c r="S358">
        <v>0.79</v>
      </c>
    </row>
    <row r="359" spans="1:19" x14ac:dyDescent="0.35">
      <c r="A359" t="s">
        <v>488</v>
      </c>
      <c r="B359" t="s">
        <v>129</v>
      </c>
      <c r="C359" t="s">
        <v>125</v>
      </c>
      <c r="D359" s="105" t="s">
        <v>37</v>
      </c>
      <c r="E359" s="105" t="s">
        <v>57</v>
      </c>
      <c r="F359" s="105">
        <v>1100</v>
      </c>
      <c r="G359" s="105">
        <v>1100</v>
      </c>
      <c r="H359" s="105">
        <v>1200</v>
      </c>
      <c r="I359" s="120">
        <v>3.5299999999999998E-2</v>
      </c>
      <c r="J359" s="120">
        <v>3.2800000000000003E-2</v>
      </c>
      <c r="K359" s="120">
        <v>3.7999999999999999E-2</v>
      </c>
      <c r="L359" s="105">
        <v>931</v>
      </c>
      <c r="M359">
        <v>0.85</v>
      </c>
      <c r="N359">
        <v>0.78</v>
      </c>
      <c r="O359">
        <v>0.85</v>
      </c>
      <c r="P359" s="105">
        <v>816</v>
      </c>
      <c r="Q359">
        <v>0.74</v>
      </c>
      <c r="R359">
        <v>0.68</v>
      </c>
      <c r="S359">
        <v>0.74</v>
      </c>
    </row>
    <row r="360" spans="1:19" x14ac:dyDescent="0.35">
      <c r="A360" t="s">
        <v>489</v>
      </c>
      <c r="B360" t="s">
        <v>129</v>
      </c>
      <c r="C360" t="s">
        <v>126</v>
      </c>
      <c r="D360" s="105" t="s">
        <v>42</v>
      </c>
      <c r="E360" s="105" t="s">
        <v>57</v>
      </c>
      <c r="F360" s="105">
        <v>480</v>
      </c>
      <c r="G360" s="105">
        <v>430</v>
      </c>
      <c r="H360" s="105">
        <v>520</v>
      </c>
      <c r="I360" s="120">
        <v>1.3899999999999999E-2</v>
      </c>
      <c r="J360" s="120">
        <v>1.26E-2</v>
      </c>
      <c r="K360" s="120">
        <v>1.52E-2</v>
      </c>
      <c r="L360" s="105">
        <v>409</v>
      </c>
      <c r="M360">
        <v>0.85</v>
      </c>
      <c r="N360">
        <v>0.79</v>
      </c>
      <c r="O360">
        <v>0.95</v>
      </c>
      <c r="P360" s="105">
        <v>362</v>
      </c>
      <c r="Q360">
        <v>0.75</v>
      </c>
      <c r="R360">
        <v>0.7</v>
      </c>
      <c r="S360">
        <v>0.84</v>
      </c>
    </row>
    <row r="361" spans="1:19" x14ac:dyDescent="0.35">
      <c r="A361" t="s">
        <v>490</v>
      </c>
      <c r="B361" t="s">
        <v>129</v>
      </c>
      <c r="C361" t="s">
        <v>126</v>
      </c>
      <c r="D361" s="105" t="s">
        <v>37</v>
      </c>
      <c r="E361" s="105" t="s">
        <v>57</v>
      </c>
      <c r="F361" s="105">
        <v>1100</v>
      </c>
      <c r="G361" s="105">
        <v>1000</v>
      </c>
      <c r="H361" s="105">
        <v>1100</v>
      </c>
      <c r="I361" s="120">
        <v>3.3599999999999998E-2</v>
      </c>
      <c r="J361" s="120">
        <v>3.1399999999999997E-2</v>
      </c>
      <c r="K361" s="120">
        <v>3.5999999999999997E-2</v>
      </c>
      <c r="L361" s="105">
        <v>903</v>
      </c>
      <c r="M361">
        <v>0.82</v>
      </c>
      <c r="N361">
        <v>0.82</v>
      </c>
      <c r="O361">
        <v>0.9</v>
      </c>
      <c r="P361" s="105">
        <v>789</v>
      </c>
      <c r="Q361">
        <v>0.72</v>
      </c>
      <c r="R361">
        <v>0.72</v>
      </c>
      <c r="S361">
        <v>0.79</v>
      </c>
    </row>
    <row r="362" spans="1:19" x14ac:dyDescent="0.35">
      <c r="A362" t="s">
        <v>491</v>
      </c>
      <c r="B362" t="s">
        <v>129</v>
      </c>
      <c r="C362" t="s">
        <v>39</v>
      </c>
      <c r="D362" s="105" t="s">
        <v>42</v>
      </c>
      <c r="E362" s="105" t="s">
        <v>58</v>
      </c>
      <c r="F362" s="105">
        <v>65</v>
      </c>
      <c r="G362" s="105">
        <v>45</v>
      </c>
      <c r="H362" s="105">
        <v>80</v>
      </c>
      <c r="I362" s="120">
        <v>1.6999999999999999E-3</v>
      </c>
      <c r="J362" s="120">
        <v>1.1999999999999999E-3</v>
      </c>
      <c r="K362" s="120">
        <v>2.0999999999999999E-3</v>
      </c>
      <c r="L362" s="105">
        <v>38</v>
      </c>
      <c r="M362">
        <v>0.57999999999999996</v>
      </c>
      <c r="N362">
        <v>0.48</v>
      </c>
      <c r="O362">
        <v>0.84</v>
      </c>
      <c r="P362" s="105">
        <v>25</v>
      </c>
      <c r="Q362">
        <v>0.38</v>
      </c>
      <c r="R362">
        <v>0.31</v>
      </c>
      <c r="S362">
        <v>0.56000000000000005</v>
      </c>
    </row>
    <row r="363" spans="1:19" x14ac:dyDescent="0.35">
      <c r="A363" t="s">
        <v>492</v>
      </c>
      <c r="B363" t="s">
        <v>129</v>
      </c>
      <c r="C363" t="s">
        <v>39</v>
      </c>
      <c r="D363" s="105" t="s">
        <v>37</v>
      </c>
      <c r="E363" s="105" t="s">
        <v>58</v>
      </c>
      <c r="F363" s="105">
        <v>170</v>
      </c>
      <c r="G363" s="105">
        <v>130</v>
      </c>
      <c r="H363" s="105">
        <v>210</v>
      </c>
      <c r="I363" s="120">
        <v>4.5999999999999999E-3</v>
      </c>
      <c r="J363" s="120">
        <v>3.7000000000000002E-3</v>
      </c>
      <c r="K363" s="120">
        <v>5.7000000000000002E-3</v>
      </c>
      <c r="L363" s="105">
        <v>103</v>
      </c>
      <c r="M363">
        <v>0.61</v>
      </c>
      <c r="N363">
        <v>0.49</v>
      </c>
      <c r="O363">
        <v>0.79</v>
      </c>
      <c r="P363" s="105">
        <v>71</v>
      </c>
      <c r="Q363">
        <v>0.42</v>
      </c>
      <c r="R363">
        <v>0.34</v>
      </c>
      <c r="S363">
        <v>0.55000000000000004</v>
      </c>
    </row>
    <row r="364" spans="1:19" x14ac:dyDescent="0.35">
      <c r="A364" t="s">
        <v>493</v>
      </c>
      <c r="B364" t="s">
        <v>129</v>
      </c>
      <c r="C364" t="s">
        <v>44</v>
      </c>
      <c r="D364" s="105" t="s">
        <v>42</v>
      </c>
      <c r="E364" s="105" t="s">
        <v>58</v>
      </c>
      <c r="F364" s="105">
        <v>70</v>
      </c>
      <c r="G364" s="105">
        <v>55</v>
      </c>
      <c r="H364" s="105">
        <v>90</v>
      </c>
      <c r="I364" s="120">
        <v>1.8E-3</v>
      </c>
      <c r="J364" s="120">
        <v>1.4E-3</v>
      </c>
      <c r="K364" s="120">
        <v>2.3E-3</v>
      </c>
      <c r="L364" s="105">
        <v>46</v>
      </c>
      <c r="M364">
        <v>0.66</v>
      </c>
      <c r="N364">
        <v>0.51</v>
      </c>
      <c r="O364">
        <v>0.84</v>
      </c>
      <c r="P364" s="105">
        <v>36</v>
      </c>
      <c r="Q364">
        <v>0.51</v>
      </c>
      <c r="R364">
        <v>0.4</v>
      </c>
      <c r="S364">
        <v>0.65</v>
      </c>
    </row>
    <row r="365" spans="1:19" x14ac:dyDescent="0.35">
      <c r="A365" t="s">
        <v>494</v>
      </c>
      <c r="B365" t="s">
        <v>129</v>
      </c>
      <c r="C365" t="s">
        <v>44</v>
      </c>
      <c r="D365" s="105" t="s">
        <v>37</v>
      </c>
      <c r="E365" s="105" t="s">
        <v>58</v>
      </c>
      <c r="F365" s="105">
        <v>180</v>
      </c>
      <c r="G365" s="105">
        <v>150</v>
      </c>
      <c r="H365" s="105">
        <v>220</v>
      </c>
      <c r="I365" s="120">
        <v>4.7999999999999996E-3</v>
      </c>
      <c r="J365" s="120">
        <v>4.0000000000000001E-3</v>
      </c>
      <c r="K365" s="120">
        <v>5.8999999999999999E-3</v>
      </c>
      <c r="L365" s="105">
        <v>118</v>
      </c>
      <c r="M365">
        <v>0.66</v>
      </c>
      <c r="N365">
        <v>0.54</v>
      </c>
      <c r="O365">
        <v>0.79</v>
      </c>
      <c r="P365" s="105">
        <v>91</v>
      </c>
      <c r="Q365">
        <v>0.51</v>
      </c>
      <c r="R365">
        <v>0.41</v>
      </c>
      <c r="S365">
        <v>0.61</v>
      </c>
    </row>
    <row r="366" spans="1:19" x14ac:dyDescent="0.35">
      <c r="A366" t="s">
        <v>495</v>
      </c>
      <c r="B366" t="s">
        <v>129</v>
      </c>
      <c r="C366" t="s">
        <v>46</v>
      </c>
      <c r="D366" s="105" t="s">
        <v>42</v>
      </c>
      <c r="E366" s="105" t="s">
        <v>58</v>
      </c>
      <c r="F366" s="105">
        <v>70</v>
      </c>
      <c r="G366" s="105">
        <v>55</v>
      </c>
      <c r="H366" s="105">
        <v>90</v>
      </c>
      <c r="I366" s="120">
        <v>1.8E-3</v>
      </c>
      <c r="J366" s="120">
        <v>1.4E-3</v>
      </c>
      <c r="K366" s="120">
        <v>2.3E-3</v>
      </c>
      <c r="L366" s="105">
        <v>45</v>
      </c>
      <c r="M366">
        <v>0.64</v>
      </c>
      <c r="N366">
        <v>0.5</v>
      </c>
      <c r="O366">
        <v>0.82</v>
      </c>
      <c r="P366" s="105">
        <v>33</v>
      </c>
      <c r="Q366">
        <v>0.47</v>
      </c>
      <c r="R366">
        <v>0.37</v>
      </c>
      <c r="S366">
        <v>0.6</v>
      </c>
    </row>
    <row r="367" spans="1:19" x14ac:dyDescent="0.35">
      <c r="A367" t="s">
        <v>496</v>
      </c>
      <c r="B367" t="s">
        <v>129</v>
      </c>
      <c r="C367" t="s">
        <v>46</v>
      </c>
      <c r="D367" s="105" t="s">
        <v>37</v>
      </c>
      <c r="E367" s="105" t="s">
        <v>58</v>
      </c>
      <c r="F367" s="105">
        <v>200</v>
      </c>
      <c r="G367" s="105">
        <v>160</v>
      </c>
      <c r="H367" s="105">
        <v>240</v>
      </c>
      <c r="I367" s="120">
        <v>5.3E-3</v>
      </c>
      <c r="J367" s="120">
        <v>4.4000000000000003E-3</v>
      </c>
      <c r="K367" s="120">
        <v>6.4000000000000003E-3</v>
      </c>
      <c r="L367" s="105">
        <v>132</v>
      </c>
      <c r="M367">
        <v>0.66</v>
      </c>
      <c r="N367">
        <v>0.55000000000000004</v>
      </c>
      <c r="O367">
        <v>0.83</v>
      </c>
      <c r="P367" s="105">
        <v>103</v>
      </c>
      <c r="Q367">
        <v>0.52</v>
      </c>
      <c r="R367">
        <v>0.43</v>
      </c>
      <c r="S367">
        <v>0.64</v>
      </c>
    </row>
    <row r="368" spans="1:19" x14ac:dyDescent="0.35">
      <c r="A368" t="s">
        <v>497</v>
      </c>
      <c r="B368" t="s">
        <v>129</v>
      </c>
      <c r="C368" t="s">
        <v>47</v>
      </c>
      <c r="D368" s="105" t="s">
        <v>42</v>
      </c>
      <c r="E368" s="105" t="s">
        <v>58</v>
      </c>
      <c r="F368" s="105">
        <v>65</v>
      </c>
      <c r="G368" s="105">
        <v>50</v>
      </c>
      <c r="H368" s="105">
        <v>85</v>
      </c>
      <c r="I368" s="120">
        <v>1.6999999999999999E-3</v>
      </c>
      <c r="J368" s="120">
        <v>1.2999999999999999E-3</v>
      </c>
      <c r="K368" s="120">
        <v>2.0999999999999999E-3</v>
      </c>
      <c r="L368" s="105">
        <v>50</v>
      </c>
      <c r="M368">
        <v>0.77</v>
      </c>
      <c r="N368">
        <v>0.59</v>
      </c>
      <c r="O368">
        <v>1</v>
      </c>
      <c r="P368" s="105">
        <v>38</v>
      </c>
      <c r="Q368">
        <v>0.57999999999999996</v>
      </c>
      <c r="R368">
        <v>0.45</v>
      </c>
      <c r="S368">
        <v>0.76</v>
      </c>
    </row>
    <row r="369" spans="1:19" x14ac:dyDescent="0.35">
      <c r="A369" t="s">
        <v>498</v>
      </c>
      <c r="B369" t="s">
        <v>129</v>
      </c>
      <c r="C369" t="s">
        <v>47</v>
      </c>
      <c r="D369" s="105" t="s">
        <v>37</v>
      </c>
      <c r="E369" s="105" t="s">
        <v>58</v>
      </c>
      <c r="F369" s="105">
        <v>190</v>
      </c>
      <c r="G369" s="105">
        <v>160</v>
      </c>
      <c r="H369" s="105">
        <v>230</v>
      </c>
      <c r="I369" s="120">
        <v>5.1000000000000004E-3</v>
      </c>
      <c r="J369" s="120">
        <v>4.3E-3</v>
      </c>
      <c r="K369" s="120">
        <v>6.0000000000000001E-3</v>
      </c>
      <c r="L369" s="105">
        <v>150</v>
      </c>
      <c r="M369">
        <v>0.79</v>
      </c>
      <c r="N369">
        <v>0.65</v>
      </c>
      <c r="O369">
        <v>0.94</v>
      </c>
      <c r="P369" s="105">
        <v>121</v>
      </c>
      <c r="Q369">
        <v>0.64</v>
      </c>
      <c r="R369">
        <v>0.53</v>
      </c>
      <c r="S369">
        <v>0.76</v>
      </c>
    </row>
    <row r="370" spans="1:19" x14ac:dyDescent="0.35">
      <c r="A370" t="s">
        <v>499</v>
      </c>
      <c r="B370" t="s">
        <v>129</v>
      </c>
      <c r="C370" t="s">
        <v>48</v>
      </c>
      <c r="D370" s="105" t="s">
        <v>42</v>
      </c>
      <c r="E370" s="105" t="s">
        <v>58</v>
      </c>
      <c r="F370" s="105">
        <v>75</v>
      </c>
      <c r="G370" s="105">
        <v>60</v>
      </c>
      <c r="H370" s="105">
        <v>95</v>
      </c>
      <c r="I370" s="120">
        <v>1.8E-3</v>
      </c>
      <c r="J370" s="120">
        <v>1.4E-3</v>
      </c>
      <c r="K370" s="120">
        <v>2.3E-3</v>
      </c>
      <c r="L370" s="105">
        <v>52</v>
      </c>
      <c r="M370">
        <v>0.69</v>
      </c>
      <c r="N370">
        <v>0.55000000000000004</v>
      </c>
      <c r="O370">
        <v>0.87</v>
      </c>
      <c r="P370" s="105">
        <v>39</v>
      </c>
      <c r="Q370">
        <v>0.52</v>
      </c>
      <c r="R370">
        <v>0.41</v>
      </c>
      <c r="S370">
        <v>0.65</v>
      </c>
    </row>
    <row r="371" spans="1:19" x14ac:dyDescent="0.35">
      <c r="A371" t="s">
        <v>500</v>
      </c>
      <c r="B371" t="s">
        <v>129</v>
      </c>
      <c r="C371" t="s">
        <v>48</v>
      </c>
      <c r="D371" s="105" t="s">
        <v>37</v>
      </c>
      <c r="E371" s="105" t="s">
        <v>58</v>
      </c>
      <c r="F371" s="105">
        <v>220</v>
      </c>
      <c r="G371" s="105">
        <v>190</v>
      </c>
      <c r="H371" s="105">
        <v>260</v>
      </c>
      <c r="I371" s="120">
        <v>5.7999999999999996E-3</v>
      </c>
      <c r="J371" s="120">
        <v>4.8999999999999998E-3</v>
      </c>
      <c r="K371" s="120">
        <v>6.7999999999999996E-3</v>
      </c>
      <c r="L371" s="105">
        <v>166</v>
      </c>
      <c r="M371">
        <v>0.75</v>
      </c>
      <c r="N371">
        <v>0.64</v>
      </c>
      <c r="O371">
        <v>0.87</v>
      </c>
      <c r="P371" s="105">
        <v>139</v>
      </c>
      <c r="Q371">
        <v>0.63</v>
      </c>
      <c r="R371">
        <v>0.53</v>
      </c>
      <c r="S371">
        <v>0.73</v>
      </c>
    </row>
    <row r="372" spans="1:19" x14ac:dyDescent="0.35">
      <c r="A372" t="s">
        <v>501</v>
      </c>
      <c r="B372" t="s">
        <v>129</v>
      </c>
      <c r="C372" t="s">
        <v>49</v>
      </c>
      <c r="D372" s="105" t="s">
        <v>42</v>
      </c>
      <c r="E372" s="105" t="s">
        <v>58</v>
      </c>
      <c r="F372" s="105">
        <v>90</v>
      </c>
      <c r="G372" s="105">
        <v>75</v>
      </c>
      <c r="H372" s="105">
        <v>110</v>
      </c>
      <c r="I372" s="120">
        <v>2.2000000000000001E-3</v>
      </c>
      <c r="J372" s="120">
        <v>1.8E-3</v>
      </c>
      <c r="K372" s="120">
        <v>2.7000000000000001E-3</v>
      </c>
      <c r="L372" s="105">
        <v>69</v>
      </c>
      <c r="M372">
        <v>0.77</v>
      </c>
      <c r="N372">
        <v>0.63</v>
      </c>
      <c r="O372">
        <v>0.92</v>
      </c>
      <c r="P372" s="105">
        <v>55</v>
      </c>
      <c r="Q372">
        <v>0.61</v>
      </c>
      <c r="R372">
        <v>0.5</v>
      </c>
      <c r="S372">
        <v>0.73</v>
      </c>
    </row>
    <row r="373" spans="1:19" x14ac:dyDescent="0.35">
      <c r="A373" t="s">
        <v>502</v>
      </c>
      <c r="B373" t="s">
        <v>129</v>
      </c>
      <c r="C373" t="s">
        <v>49</v>
      </c>
      <c r="D373" s="105" t="s">
        <v>37</v>
      </c>
      <c r="E373" s="105" t="s">
        <v>58</v>
      </c>
      <c r="F373" s="105">
        <v>250</v>
      </c>
      <c r="G373" s="105">
        <v>220</v>
      </c>
      <c r="H373" s="105">
        <v>290</v>
      </c>
      <c r="I373" s="120">
        <v>6.4999999999999997E-3</v>
      </c>
      <c r="J373" s="120">
        <v>5.5999999999999999E-3</v>
      </c>
      <c r="K373" s="120">
        <v>7.4999999999999997E-3</v>
      </c>
      <c r="L373" s="105">
        <v>196</v>
      </c>
      <c r="M373">
        <v>0.78</v>
      </c>
      <c r="N373">
        <v>0.68</v>
      </c>
      <c r="O373">
        <v>0.89</v>
      </c>
      <c r="P373" s="105">
        <v>167</v>
      </c>
      <c r="Q373">
        <v>0.67</v>
      </c>
      <c r="R373">
        <v>0.57999999999999996</v>
      </c>
      <c r="S373">
        <v>0.76</v>
      </c>
    </row>
    <row r="374" spans="1:19" x14ac:dyDescent="0.35">
      <c r="A374" t="s">
        <v>503</v>
      </c>
      <c r="B374" t="s">
        <v>129</v>
      </c>
      <c r="C374" t="s">
        <v>124</v>
      </c>
      <c r="D374" s="105" t="s">
        <v>42</v>
      </c>
      <c r="E374" s="105" t="s">
        <v>58</v>
      </c>
      <c r="F374" s="105">
        <v>100</v>
      </c>
      <c r="G374" s="105">
        <v>80</v>
      </c>
      <c r="H374" s="105">
        <v>120</v>
      </c>
      <c r="I374" s="120">
        <v>2.5000000000000001E-3</v>
      </c>
      <c r="J374" s="120">
        <v>2E-3</v>
      </c>
      <c r="K374" s="120">
        <v>3.0000000000000001E-3</v>
      </c>
      <c r="L374" s="105">
        <v>70</v>
      </c>
      <c r="M374">
        <v>0.7</v>
      </c>
      <c r="N374">
        <v>0.57999999999999996</v>
      </c>
      <c r="O374">
        <v>0.88</v>
      </c>
      <c r="P374" s="105">
        <v>62</v>
      </c>
      <c r="Q374">
        <v>0.62</v>
      </c>
      <c r="R374">
        <v>0.52</v>
      </c>
      <c r="S374">
        <v>0.78</v>
      </c>
    </row>
    <row r="375" spans="1:19" x14ac:dyDescent="0.35">
      <c r="A375" t="s">
        <v>504</v>
      </c>
      <c r="B375" t="s">
        <v>129</v>
      </c>
      <c r="C375" t="s">
        <v>124</v>
      </c>
      <c r="D375" s="105" t="s">
        <v>37</v>
      </c>
      <c r="E375" s="105" t="s">
        <v>58</v>
      </c>
      <c r="F375" s="105">
        <v>310</v>
      </c>
      <c r="G375" s="105">
        <v>270</v>
      </c>
      <c r="H375" s="105">
        <v>360</v>
      </c>
      <c r="I375" s="120">
        <v>8.0999999999999996E-3</v>
      </c>
      <c r="J375" s="120">
        <v>7.0000000000000001E-3</v>
      </c>
      <c r="K375" s="120">
        <v>9.2999999999999992E-3</v>
      </c>
      <c r="L375" s="105">
        <v>236</v>
      </c>
      <c r="M375">
        <v>0.76</v>
      </c>
      <c r="N375">
        <v>0.66</v>
      </c>
      <c r="O375">
        <v>0.87</v>
      </c>
      <c r="P375" s="105">
        <v>212</v>
      </c>
      <c r="Q375">
        <v>0.68</v>
      </c>
      <c r="R375">
        <v>0.59</v>
      </c>
      <c r="S375">
        <v>0.79</v>
      </c>
    </row>
    <row r="376" spans="1:19" x14ac:dyDescent="0.35">
      <c r="A376" t="s">
        <v>505</v>
      </c>
      <c r="B376" t="s">
        <v>129</v>
      </c>
      <c r="C376" t="s">
        <v>125</v>
      </c>
      <c r="D376" s="105" t="s">
        <v>42</v>
      </c>
      <c r="E376" s="105" t="s">
        <v>58</v>
      </c>
      <c r="F376" s="105">
        <v>110</v>
      </c>
      <c r="G376" s="105">
        <v>90</v>
      </c>
      <c r="H376" s="105">
        <v>140</v>
      </c>
      <c r="I376" s="120">
        <v>2.7000000000000001E-3</v>
      </c>
      <c r="J376" s="120">
        <v>2.2000000000000001E-3</v>
      </c>
      <c r="K376" s="120">
        <v>3.3E-3</v>
      </c>
      <c r="L376" s="105">
        <v>83</v>
      </c>
      <c r="M376">
        <v>0.75</v>
      </c>
      <c r="N376">
        <v>0.59</v>
      </c>
      <c r="O376">
        <v>0.92</v>
      </c>
      <c r="P376" s="105">
        <v>66</v>
      </c>
      <c r="Q376">
        <v>0.6</v>
      </c>
      <c r="R376">
        <v>0.47</v>
      </c>
      <c r="S376">
        <v>0.73</v>
      </c>
    </row>
    <row r="377" spans="1:19" x14ac:dyDescent="0.35">
      <c r="A377" t="s">
        <v>506</v>
      </c>
      <c r="B377" t="s">
        <v>129</v>
      </c>
      <c r="C377" t="s">
        <v>125</v>
      </c>
      <c r="D377" s="105" t="s">
        <v>37</v>
      </c>
      <c r="E377" s="105" t="s">
        <v>58</v>
      </c>
      <c r="F377" s="105">
        <v>350</v>
      </c>
      <c r="G377" s="105">
        <v>300</v>
      </c>
      <c r="H377" s="105">
        <v>400</v>
      </c>
      <c r="I377" s="120">
        <v>8.8999999999999999E-3</v>
      </c>
      <c r="J377" s="120">
        <v>7.7000000000000002E-3</v>
      </c>
      <c r="K377" s="120">
        <v>1.0200000000000001E-2</v>
      </c>
      <c r="L377" s="105">
        <v>271</v>
      </c>
      <c r="M377">
        <v>0.77</v>
      </c>
      <c r="N377">
        <v>0.68</v>
      </c>
      <c r="O377">
        <v>0.9</v>
      </c>
      <c r="P377" s="105">
        <v>250</v>
      </c>
      <c r="Q377">
        <v>0.71</v>
      </c>
      <c r="R377">
        <v>0.63</v>
      </c>
      <c r="S377">
        <v>0.83</v>
      </c>
    </row>
    <row r="378" spans="1:19" x14ac:dyDescent="0.35">
      <c r="A378" t="s">
        <v>507</v>
      </c>
      <c r="B378" t="s">
        <v>129</v>
      </c>
      <c r="C378" t="s">
        <v>126</v>
      </c>
      <c r="D378" s="105" t="s">
        <v>42</v>
      </c>
      <c r="E378" s="105" t="s">
        <v>58</v>
      </c>
      <c r="F378" s="105">
        <v>120</v>
      </c>
      <c r="G378" s="105">
        <v>100</v>
      </c>
      <c r="H378" s="105">
        <v>150</v>
      </c>
      <c r="I378" s="120">
        <v>2.8999999999999998E-3</v>
      </c>
      <c r="J378" s="120">
        <v>2.3999999999999998E-3</v>
      </c>
      <c r="K378" s="120">
        <v>3.5000000000000001E-3</v>
      </c>
      <c r="L378" s="105">
        <v>93</v>
      </c>
      <c r="M378">
        <v>0.78</v>
      </c>
      <c r="N378">
        <v>0.62</v>
      </c>
      <c r="O378">
        <v>0.93</v>
      </c>
      <c r="P378" s="105">
        <v>79</v>
      </c>
      <c r="Q378">
        <v>0.66</v>
      </c>
      <c r="R378">
        <v>0.53</v>
      </c>
      <c r="S378">
        <v>0.79</v>
      </c>
    </row>
    <row r="379" spans="1:19" x14ac:dyDescent="0.35">
      <c r="A379" t="s">
        <v>508</v>
      </c>
      <c r="B379" t="s">
        <v>129</v>
      </c>
      <c r="C379" t="s">
        <v>126</v>
      </c>
      <c r="D379" s="105" t="s">
        <v>37</v>
      </c>
      <c r="E379" s="105" t="s">
        <v>58</v>
      </c>
      <c r="F379" s="105">
        <v>380</v>
      </c>
      <c r="G379" s="105">
        <v>330</v>
      </c>
      <c r="H379" s="105">
        <v>430</v>
      </c>
      <c r="I379" s="120">
        <v>9.4999999999999998E-3</v>
      </c>
      <c r="J379" s="120">
        <v>8.3999999999999995E-3</v>
      </c>
      <c r="K379" s="120">
        <v>1.09E-2</v>
      </c>
      <c r="L379" s="105">
        <v>299</v>
      </c>
      <c r="M379">
        <v>0.79</v>
      </c>
      <c r="N379">
        <v>0.7</v>
      </c>
      <c r="O379">
        <v>0.91</v>
      </c>
      <c r="P379" s="105">
        <v>273</v>
      </c>
      <c r="Q379">
        <v>0.72</v>
      </c>
      <c r="R379">
        <v>0.63</v>
      </c>
      <c r="S379">
        <v>0.83</v>
      </c>
    </row>
    <row r="380" spans="1:19" x14ac:dyDescent="0.35">
      <c r="A380" t="s">
        <v>509</v>
      </c>
      <c r="B380" t="s">
        <v>130</v>
      </c>
      <c r="C380" t="s">
        <v>39</v>
      </c>
      <c r="D380" s="105" t="s">
        <v>42</v>
      </c>
      <c r="E380" s="105" t="s">
        <v>56</v>
      </c>
      <c r="F380" s="105">
        <v>590</v>
      </c>
      <c r="G380" s="105">
        <v>540</v>
      </c>
      <c r="H380" s="105">
        <v>650</v>
      </c>
      <c r="I380" s="120">
        <v>1.4200000000000001E-2</v>
      </c>
      <c r="J380" s="120">
        <v>1.2800000000000001E-2</v>
      </c>
      <c r="K380" s="120">
        <v>1.5599999999999999E-2</v>
      </c>
      <c r="L380" s="105">
        <v>467</v>
      </c>
      <c r="M380">
        <v>0.79</v>
      </c>
      <c r="N380">
        <v>0.72</v>
      </c>
      <c r="O380">
        <v>0.86</v>
      </c>
      <c r="P380" s="105">
        <v>375</v>
      </c>
      <c r="Q380">
        <v>0.64</v>
      </c>
      <c r="R380">
        <v>0.57999999999999996</v>
      </c>
      <c r="S380">
        <v>0.69</v>
      </c>
    </row>
    <row r="381" spans="1:19" x14ac:dyDescent="0.35">
      <c r="A381" t="s">
        <v>510</v>
      </c>
      <c r="B381" t="s">
        <v>130</v>
      </c>
      <c r="C381" t="s">
        <v>39</v>
      </c>
      <c r="D381" s="105" t="s">
        <v>37</v>
      </c>
      <c r="E381" s="105" t="s">
        <v>56</v>
      </c>
      <c r="F381" s="105">
        <v>910</v>
      </c>
      <c r="G381" s="105">
        <v>820</v>
      </c>
      <c r="H381" s="105">
        <v>1000</v>
      </c>
      <c r="I381" s="120">
        <v>2.2100000000000002E-2</v>
      </c>
      <c r="J381" s="120">
        <v>0.02</v>
      </c>
      <c r="K381" s="120">
        <v>2.46E-2</v>
      </c>
      <c r="L381" s="105">
        <v>594</v>
      </c>
      <c r="M381">
        <v>0.65</v>
      </c>
      <c r="N381">
        <v>0.59</v>
      </c>
      <c r="O381">
        <v>0.72</v>
      </c>
      <c r="P381" s="105">
        <v>492</v>
      </c>
      <c r="Q381">
        <v>0.54</v>
      </c>
      <c r="R381">
        <v>0.49</v>
      </c>
      <c r="S381">
        <v>0.6</v>
      </c>
    </row>
    <row r="382" spans="1:19" x14ac:dyDescent="0.35">
      <c r="A382" t="s">
        <v>511</v>
      </c>
      <c r="B382" t="s">
        <v>130</v>
      </c>
      <c r="C382" t="s">
        <v>44</v>
      </c>
      <c r="D382" s="105" t="s">
        <v>42</v>
      </c>
      <c r="E382" s="105" t="s">
        <v>56</v>
      </c>
      <c r="F382" s="105">
        <v>550</v>
      </c>
      <c r="G382" s="105">
        <v>500</v>
      </c>
      <c r="H382" s="105">
        <v>600</v>
      </c>
      <c r="I382" s="120">
        <v>1.32E-2</v>
      </c>
      <c r="J382" s="120">
        <v>1.2E-2</v>
      </c>
      <c r="K382" s="120">
        <v>1.46E-2</v>
      </c>
      <c r="L382" s="105">
        <v>436</v>
      </c>
      <c r="M382">
        <v>0.79</v>
      </c>
      <c r="N382">
        <v>0.73</v>
      </c>
      <c r="O382">
        <v>0.87</v>
      </c>
      <c r="P382" s="105">
        <v>346</v>
      </c>
      <c r="Q382">
        <v>0.63</v>
      </c>
      <c r="R382">
        <v>0.57999999999999996</v>
      </c>
      <c r="S382">
        <v>0.69</v>
      </c>
    </row>
    <row r="383" spans="1:19" x14ac:dyDescent="0.35">
      <c r="A383" t="s">
        <v>512</v>
      </c>
      <c r="B383" t="s">
        <v>130</v>
      </c>
      <c r="C383" t="s">
        <v>44</v>
      </c>
      <c r="D383" s="105" t="s">
        <v>37</v>
      </c>
      <c r="E383" s="105" t="s">
        <v>56</v>
      </c>
      <c r="F383" s="105">
        <v>830</v>
      </c>
      <c r="G383" s="105">
        <v>740</v>
      </c>
      <c r="H383" s="105">
        <v>920</v>
      </c>
      <c r="I383" s="120">
        <v>2.0299999999999999E-2</v>
      </c>
      <c r="J383" s="120">
        <v>1.8200000000000001E-2</v>
      </c>
      <c r="K383" s="120">
        <v>2.2599999999999999E-2</v>
      </c>
      <c r="L383" s="105">
        <v>544</v>
      </c>
      <c r="M383">
        <v>0.66</v>
      </c>
      <c r="N383">
        <v>0.59</v>
      </c>
      <c r="O383">
        <v>0.74</v>
      </c>
      <c r="P383" s="105">
        <v>434</v>
      </c>
      <c r="Q383">
        <v>0.52</v>
      </c>
      <c r="R383">
        <v>0.47</v>
      </c>
      <c r="S383">
        <v>0.59</v>
      </c>
    </row>
    <row r="384" spans="1:19" x14ac:dyDescent="0.35">
      <c r="A384" t="s">
        <v>513</v>
      </c>
      <c r="B384" t="s">
        <v>130</v>
      </c>
      <c r="C384" t="s">
        <v>46</v>
      </c>
      <c r="D384" s="105" t="s">
        <v>42</v>
      </c>
      <c r="E384" s="105" t="s">
        <v>56</v>
      </c>
      <c r="F384" s="105">
        <v>480</v>
      </c>
      <c r="G384" s="105">
        <v>440</v>
      </c>
      <c r="H384" s="105">
        <v>540</v>
      </c>
      <c r="I384" s="120">
        <v>1.18E-2</v>
      </c>
      <c r="J384" s="120">
        <v>1.0699999999999999E-2</v>
      </c>
      <c r="K384" s="120">
        <v>1.3100000000000001E-2</v>
      </c>
      <c r="L384" s="105">
        <v>388</v>
      </c>
      <c r="M384">
        <v>0.81</v>
      </c>
      <c r="N384">
        <v>0.72</v>
      </c>
      <c r="O384">
        <v>0.88</v>
      </c>
      <c r="P384" s="105">
        <v>302</v>
      </c>
      <c r="Q384">
        <v>0.63</v>
      </c>
      <c r="R384">
        <v>0.56000000000000005</v>
      </c>
      <c r="S384">
        <v>0.69</v>
      </c>
    </row>
    <row r="385" spans="1:19" x14ac:dyDescent="0.35">
      <c r="A385" t="s">
        <v>514</v>
      </c>
      <c r="B385" t="s">
        <v>130</v>
      </c>
      <c r="C385" t="s">
        <v>46</v>
      </c>
      <c r="D385" s="105" t="s">
        <v>37</v>
      </c>
      <c r="E385" s="105" t="s">
        <v>56</v>
      </c>
      <c r="F385" s="105">
        <v>720</v>
      </c>
      <c r="G385" s="105">
        <v>650</v>
      </c>
      <c r="H385" s="105">
        <v>800</v>
      </c>
      <c r="I385" s="120">
        <v>1.78E-2</v>
      </c>
      <c r="J385" s="120">
        <v>1.6E-2</v>
      </c>
      <c r="K385" s="120">
        <v>1.9699999999999999E-2</v>
      </c>
      <c r="L385" s="105">
        <v>476</v>
      </c>
      <c r="M385">
        <v>0.66</v>
      </c>
      <c r="N385">
        <v>0.6</v>
      </c>
      <c r="O385">
        <v>0.73</v>
      </c>
      <c r="P385" s="105">
        <v>379</v>
      </c>
      <c r="Q385">
        <v>0.53</v>
      </c>
      <c r="R385">
        <v>0.47</v>
      </c>
      <c r="S385">
        <v>0.57999999999999996</v>
      </c>
    </row>
    <row r="386" spans="1:19" x14ac:dyDescent="0.35">
      <c r="A386" t="s">
        <v>515</v>
      </c>
      <c r="B386" t="s">
        <v>130</v>
      </c>
      <c r="C386" t="s">
        <v>47</v>
      </c>
      <c r="D386" s="105" t="s">
        <v>42</v>
      </c>
      <c r="E386" s="105" t="s">
        <v>56</v>
      </c>
      <c r="F386" s="105">
        <v>410</v>
      </c>
      <c r="G386" s="105">
        <v>370</v>
      </c>
      <c r="H386" s="105">
        <v>450</v>
      </c>
      <c r="I386" s="120">
        <v>1.01E-2</v>
      </c>
      <c r="J386" s="120">
        <v>8.9999999999999993E-3</v>
      </c>
      <c r="K386" s="120">
        <v>1.12E-2</v>
      </c>
      <c r="L386" s="105">
        <v>323</v>
      </c>
      <c r="M386">
        <v>0.79</v>
      </c>
      <c r="N386">
        <v>0.72</v>
      </c>
      <c r="O386">
        <v>0.87</v>
      </c>
      <c r="P386" s="105">
        <v>258</v>
      </c>
      <c r="Q386">
        <v>0.63</v>
      </c>
      <c r="R386">
        <v>0.56999999999999995</v>
      </c>
      <c r="S386">
        <v>0.7</v>
      </c>
    </row>
    <row r="387" spans="1:19" x14ac:dyDescent="0.35">
      <c r="A387" t="s">
        <v>516</v>
      </c>
      <c r="B387" t="s">
        <v>130</v>
      </c>
      <c r="C387" t="s">
        <v>47</v>
      </c>
      <c r="D387" s="105" t="s">
        <v>37</v>
      </c>
      <c r="E387" s="105" t="s">
        <v>56</v>
      </c>
      <c r="F387" s="105">
        <v>630</v>
      </c>
      <c r="G387" s="105">
        <v>560</v>
      </c>
      <c r="H387" s="105">
        <v>700</v>
      </c>
      <c r="I387" s="120">
        <v>1.5599999999999999E-2</v>
      </c>
      <c r="J387" s="120">
        <v>1.4E-2</v>
      </c>
      <c r="K387" s="120">
        <v>1.7399999999999999E-2</v>
      </c>
      <c r="L387" s="105">
        <v>410</v>
      </c>
      <c r="M387">
        <v>0.65</v>
      </c>
      <c r="N387">
        <v>0.59</v>
      </c>
      <c r="O387">
        <v>0.73</v>
      </c>
      <c r="P387" s="105">
        <v>336</v>
      </c>
      <c r="Q387">
        <v>0.53</v>
      </c>
      <c r="R387">
        <v>0.48</v>
      </c>
      <c r="S387">
        <v>0.6</v>
      </c>
    </row>
    <row r="388" spans="1:19" x14ac:dyDescent="0.35">
      <c r="A388" t="s">
        <v>517</v>
      </c>
      <c r="B388" t="s">
        <v>130</v>
      </c>
      <c r="C388" t="s">
        <v>48</v>
      </c>
      <c r="D388" s="105" t="s">
        <v>42</v>
      </c>
      <c r="E388" s="105" t="s">
        <v>56</v>
      </c>
      <c r="F388" s="105">
        <v>370</v>
      </c>
      <c r="G388" s="105">
        <v>330</v>
      </c>
      <c r="H388" s="105">
        <v>420</v>
      </c>
      <c r="I388" s="120">
        <v>9.2999999999999992E-3</v>
      </c>
      <c r="J388" s="120">
        <v>8.3000000000000001E-3</v>
      </c>
      <c r="K388" s="120">
        <v>1.04E-2</v>
      </c>
      <c r="L388" s="105">
        <v>283</v>
      </c>
      <c r="M388">
        <v>0.76</v>
      </c>
      <c r="N388">
        <v>0.67</v>
      </c>
      <c r="O388">
        <v>0.86</v>
      </c>
      <c r="P388" s="105">
        <v>219</v>
      </c>
      <c r="Q388">
        <v>0.59</v>
      </c>
      <c r="R388">
        <v>0.52</v>
      </c>
      <c r="S388">
        <v>0.66</v>
      </c>
    </row>
    <row r="389" spans="1:19" x14ac:dyDescent="0.35">
      <c r="A389" t="s">
        <v>518</v>
      </c>
      <c r="B389" t="s">
        <v>130</v>
      </c>
      <c r="C389" t="s">
        <v>48</v>
      </c>
      <c r="D389" s="105" t="s">
        <v>37</v>
      </c>
      <c r="E389" s="105" t="s">
        <v>56</v>
      </c>
      <c r="F389" s="105">
        <v>600</v>
      </c>
      <c r="G389" s="105">
        <v>530</v>
      </c>
      <c r="H389" s="105">
        <v>670</v>
      </c>
      <c r="I389" s="120">
        <v>1.4999999999999999E-2</v>
      </c>
      <c r="J389" s="121">
        <v>1.34E-2</v>
      </c>
      <c r="K389" s="120">
        <v>1.6799999999999999E-2</v>
      </c>
      <c r="L389" s="105">
        <v>367</v>
      </c>
      <c r="M389">
        <v>0.61</v>
      </c>
      <c r="N389">
        <v>0.55000000000000004</v>
      </c>
      <c r="O389">
        <v>0.69</v>
      </c>
      <c r="P389" s="105">
        <v>288</v>
      </c>
      <c r="Q389">
        <v>0.48</v>
      </c>
      <c r="R389">
        <v>0.43</v>
      </c>
      <c r="S389">
        <v>0.54</v>
      </c>
    </row>
    <row r="390" spans="1:19" x14ac:dyDescent="0.35">
      <c r="A390" t="s">
        <v>519</v>
      </c>
      <c r="B390" t="s">
        <v>130</v>
      </c>
      <c r="C390" t="s">
        <v>49</v>
      </c>
      <c r="D390" s="105" t="s">
        <v>42</v>
      </c>
      <c r="E390" s="105" t="s">
        <v>56</v>
      </c>
      <c r="F390" s="105">
        <v>370</v>
      </c>
      <c r="G390" s="105">
        <v>320</v>
      </c>
      <c r="H390" s="105">
        <v>420</v>
      </c>
      <c r="I390" s="120">
        <v>9.1999999999999998E-3</v>
      </c>
      <c r="J390" s="120">
        <v>8.0999999999999996E-3</v>
      </c>
      <c r="K390" s="120">
        <v>1.04E-2</v>
      </c>
      <c r="L390" s="105">
        <v>256</v>
      </c>
      <c r="M390">
        <v>0.69</v>
      </c>
      <c r="N390">
        <v>0.61</v>
      </c>
      <c r="O390">
        <v>0.8</v>
      </c>
      <c r="P390" s="105">
        <v>204</v>
      </c>
      <c r="Q390">
        <v>0.55000000000000004</v>
      </c>
      <c r="R390">
        <v>0.49</v>
      </c>
      <c r="S390">
        <v>0.64</v>
      </c>
    </row>
    <row r="391" spans="1:19" x14ac:dyDescent="0.35">
      <c r="A391" t="s">
        <v>520</v>
      </c>
      <c r="B391" t="s">
        <v>130</v>
      </c>
      <c r="C391" t="s">
        <v>49</v>
      </c>
      <c r="D391" s="105" t="s">
        <v>37</v>
      </c>
      <c r="E391" s="105" t="s">
        <v>56</v>
      </c>
      <c r="F391" s="105">
        <v>640</v>
      </c>
      <c r="G391" s="105">
        <v>570</v>
      </c>
      <c r="H391" s="105">
        <v>720</v>
      </c>
      <c r="I391" s="120">
        <v>1.61E-2</v>
      </c>
      <c r="J391" s="120">
        <v>1.4200000000000001E-2</v>
      </c>
      <c r="K391" s="120">
        <v>1.8200000000000001E-2</v>
      </c>
      <c r="L391" s="105">
        <v>358</v>
      </c>
      <c r="M391">
        <v>0.56000000000000005</v>
      </c>
      <c r="N391">
        <v>0.5</v>
      </c>
      <c r="O391">
        <v>0.63</v>
      </c>
      <c r="P391" s="105">
        <v>274</v>
      </c>
      <c r="Q391">
        <v>0.43</v>
      </c>
      <c r="R391">
        <v>0.38</v>
      </c>
      <c r="S391">
        <v>0.48</v>
      </c>
    </row>
    <row r="392" spans="1:19" x14ac:dyDescent="0.35">
      <c r="A392" t="s">
        <v>521</v>
      </c>
      <c r="B392" t="s">
        <v>130</v>
      </c>
      <c r="C392" t="s">
        <v>124</v>
      </c>
      <c r="D392" s="105" t="s">
        <v>42</v>
      </c>
      <c r="E392" s="105" t="s">
        <v>56</v>
      </c>
      <c r="F392" s="105">
        <v>350</v>
      </c>
      <c r="G392" s="105">
        <v>310</v>
      </c>
      <c r="H392" s="105">
        <v>400</v>
      </c>
      <c r="I392" s="120">
        <v>8.8999999999999999E-3</v>
      </c>
      <c r="J392" s="120">
        <v>7.7999999999999996E-3</v>
      </c>
      <c r="K392" s="120">
        <v>0.01</v>
      </c>
      <c r="L392" s="105">
        <v>237</v>
      </c>
      <c r="M392">
        <v>0.68</v>
      </c>
      <c r="N392">
        <v>0.59</v>
      </c>
      <c r="O392">
        <v>0.76</v>
      </c>
      <c r="P392" s="105">
        <v>201</v>
      </c>
      <c r="Q392">
        <v>0.56999999999999995</v>
      </c>
      <c r="R392">
        <v>0.5</v>
      </c>
      <c r="S392">
        <v>0.65</v>
      </c>
    </row>
    <row r="393" spans="1:19" x14ac:dyDescent="0.35">
      <c r="A393" t="s">
        <v>522</v>
      </c>
      <c r="B393" t="s">
        <v>130</v>
      </c>
      <c r="C393" t="s">
        <v>124</v>
      </c>
      <c r="D393" s="105" t="s">
        <v>37</v>
      </c>
      <c r="E393" s="105" t="s">
        <v>56</v>
      </c>
      <c r="F393" s="105">
        <v>640</v>
      </c>
      <c r="G393" s="105">
        <v>560</v>
      </c>
      <c r="H393" s="105">
        <v>720</v>
      </c>
      <c r="I393" s="120">
        <v>1.6E-2</v>
      </c>
      <c r="J393" s="120">
        <v>1.4E-2</v>
      </c>
      <c r="K393" s="120">
        <v>1.8100000000000002E-2</v>
      </c>
      <c r="L393" s="105">
        <v>343</v>
      </c>
      <c r="M393">
        <v>0.54</v>
      </c>
      <c r="N393">
        <v>0.48</v>
      </c>
      <c r="O393">
        <v>0.61</v>
      </c>
      <c r="P393" s="105">
        <v>269</v>
      </c>
      <c r="Q393">
        <v>0.42</v>
      </c>
      <c r="R393">
        <v>0.37</v>
      </c>
      <c r="S393">
        <v>0.48</v>
      </c>
    </row>
    <row r="394" spans="1:19" x14ac:dyDescent="0.35">
      <c r="A394" t="s">
        <v>523</v>
      </c>
      <c r="B394" t="s">
        <v>130</v>
      </c>
      <c r="C394" t="s">
        <v>125</v>
      </c>
      <c r="D394" s="105" t="s">
        <v>42</v>
      </c>
      <c r="E394" s="105" t="s">
        <v>56</v>
      </c>
      <c r="F394" s="105">
        <v>320</v>
      </c>
      <c r="G394" s="105">
        <v>280</v>
      </c>
      <c r="H394" s="105">
        <v>360</v>
      </c>
      <c r="I394" s="120">
        <v>8.0000000000000002E-3</v>
      </c>
      <c r="J394" s="120">
        <v>7.0000000000000001E-3</v>
      </c>
      <c r="K394" s="120">
        <v>8.9999999999999993E-3</v>
      </c>
      <c r="L394" s="105">
        <v>219</v>
      </c>
      <c r="M394">
        <v>0.68</v>
      </c>
      <c r="N394">
        <v>0.61</v>
      </c>
      <c r="O394">
        <v>0.78</v>
      </c>
      <c r="P394" s="105">
        <v>180</v>
      </c>
      <c r="Q394">
        <v>0.56000000000000005</v>
      </c>
      <c r="R394">
        <v>0.5</v>
      </c>
      <c r="S394">
        <v>0.64</v>
      </c>
    </row>
    <row r="395" spans="1:19" x14ac:dyDescent="0.35">
      <c r="A395" t="s">
        <v>524</v>
      </c>
      <c r="B395" t="s">
        <v>130</v>
      </c>
      <c r="C395" t="s">
        <v>125</v>
      </c>
      <c r="D395" s="105" t="s">
        <v>37</v>
      </c>
      <c r="E395" s="105" t="s">
        <v>56</v>
      </c>
      <c r="F395" s="105">
        <v>570</v>
      </c>
      <c r="G395" s="105">
        <v>500</v>
      </c>
      <c r="H395" s="105">
        <v>650</v>
      </c>
      <c r="I395" s="120">
        <v>1.4200000000000001E-2</v>
      </c>
      <c r="J395" s="120">
        <v>1.2500000000000001E-2</v>
      </c>
      <c r="K395" s="120">
        <v>1.6199999999999999E-2</v>
      </c>
      <c r="L395" s="105">
        <v>319</v>
      </c>
      <c r="M395">
        <v>0.56000000000000005</v>
      </c>
      <c r="N395">
        <v>0.49</v>
      </c>
      <c r="O395">
        <v>0.64</v>
      </c>
      <c r="P395" s="105">
        <v>260</v>
      </c>
      <c r="Q395">
        <v>0.46</v>
      </c>
      <c r="R395">
        <v>0.4</v>
      </c>
      <c r="S395">
        <v>0.52</v>
      </c>
    </row>
    <row r="396" spans="1:19" x14ac:dyDescent="0.35">
      <c r="A396" t="s">
        <v>525</v>
      </c>
      <c r="B396" t="s">
        <v>130</v>
      </c>
      <c r="C396" t="s">
        <v>126</v>
      </c>
      <c r="D396" s="105" t="s">
        <v>42</v>
      </c>
      <c r="E396" s="105" t="s">
        <v>56</v>
      </c>
      <c r="F396" s="105">
        <v>280</v>
      </c>
      <c r="G396" s="105">
        <v>240</v>
      </c>
      <c r="H396" s="105">
        <v>310</v>
      </c>
      <c r="I396" s="120">
        <v>7.3000000000000001E-3</v>
      </c>
      <c r="J396" s="120">
        <v>6.4000000000000003E-3</v>
      </c>
      <c r="K396" s="120">
        <v>8.3000000000000001E-3</v>
      </c>
      <c r="L396" s="105">
        <v>205</v>
      </c>
      <c r="M396">
        <v>0.73</v>
      </c>
      <c r="N396">
        <v>0.66</v>
      </c>
      <c r="O396">
        <v>0.85</v>
      </c>
      <c r="P396" s="105">
        <v>163</v>
      </c>
      <c r="Q396">
        <v>0.57999999999999996</v>
      </c>
      <c r="R396">
        <v>0.53</v>
      </c>
      <c r="S396">
        <v>0.68</v>
      </c>
    </row>
    <row r="397" spans="1:19" x14ac:dyDescent="0.35">
      <c r="A397" t="s">
        <v>526</v>
      </c>
      <c r="B397" t="s">
        <v>130</v>
      </c>
      <c r="C397" t="s">
        <v>126</v>
      </c>
      <c r="D397" s="105" t="s">
        <v>37</v>
      </c>
      <c r="E397" s="105" t="s">
        <v>56</v>
      </c>
      <c r="F397" s="105">
        <v>490</v>
      </c>
      <c r="G397" s="105">
        <v>440</v>
      </c>
      <c r="H397" s="105">
        <v>560</v>
      </c>
      <c r="I397" s="120">
        <v>1.32E-2</v>
      </c>
      <c r="J397" s="120">
        <v>1.1599999999999999E-2</v>
      </c>
      <c r="K397" s="120">
        <v>1.49E-2</v>
      </c>
      <c r="L397" s="105">
        <v>314</v>
      </c>
      <c r="M397">
        <v>0.64</v>
      </c>
      <c r="N397">
        <v>0.56000000000000005</v>
      </c>
      <c r="O397">
        <v>0.71</v>
      </c>
      <c r="P397" s="105">
        <v>249</v>
      </c>
      <c r="Q397">
        <v>0.51</v>
      </c>
      <c r="R397">
        <v>0.44</v>
      </c>
      <c r="S397">
        <v>0.56999999999999995</v>
      </c>
    </row>
    <row r="398" spans="1:19" x14ac:dyDescent="0.35">
      <c r="A398" t="s">
        <v>527</v>
      </c>
      <c r="B398" t="s">
        <v>130</v>
      </c>
      <c r="C398" t="s">
        <v>39</v>
      </c>
      <c r="D398" s="105" t="s">
        <v>42</v>
      </c>
      <c r="E398" s="105" t="s">
        <v>57</v>
      </c>
      <c r="F398" s="105">
        <v>740</v>
      </c>
      <c r="G398" s="105">
        <v>670</v>
      </c>
      <c r="H398" s="105">
        <v>810</v>
      </c>
      <c r="I398" s="120">
        <v>1.9199999999999998E-2</v>
      </c>
      <c r="J398" s="120">
        <v>1.7500000000000002E-2</v>
      </c>
      <c r="K398" s="120">
        <v>2.1100000000000001E-2</v>
      </c>
      <c r="L398" s="105">
        <v>580</v>
      </c>
      <c r="M398">
        <v>0.78</v>
      </c>
      <c r="N398">
        <v>0.72</v>
      </c>
      <c r="O398">
        <v>0.87</v>
      </c>
      <c r="P398" s="105">
        <v>492</v>
      </c>
      <c r="Q398">
        <v>0.66</v>
      </c>
      <c r="R398">
        <v>0.61</v>
      </c>
      <c r="S398">
        <v>0.73</v>
      </c>
    </row>
    <row r="399" spans="1:19" x14ac:dyDescent="0.35">
      <c r="A399" t="s">
        <v>528</v>
      </c>
      <c r="B399" t="s">
        <v>130</v>
      </c>
      <c r="C399" t="s">
        <v>39</v>
      </c>
      <c r="D399" s="105" t="s">
        <v>37</v>
      </c>
      <c r="E399" s="105" t="s">
        <v>57</v>
      </c>
      <c r="F399" s="105">
        <v>1600</v>
      </c>
      <c r="G399" s="105">
        <v>1500</v>
      </c>
      <c r="H399" s="105">
        <v>1700</v>
      </c>
      <c r="I399" s="120">
        <v>4.7E-2</v>
      </c>
      <c r="J399" s="120">
        <v>4.3700000000000003E-2</v>
      </c>
      <c r="K399" s="120">
        <v>5.0599999999999999E-2</v>
      </c>
      <c r="L399" s="105">
        <v>1251</v>
      </c>
      <c r="M399">
        <v>0.78</v>
      </c>
      <c r="N399">
        <v>0.74</v>
      </c>
      <c r="O399">
        <v>0.83</v>
      </c>
      <c r="P399" s="105">
        <v>1075</v>
      </c>
      <c r="Q399">
        <v>0.67</v>
      </c>
      <c r="R399">
        <v>0.63</v>
      </c>
      <c r="S399">
        <v>0.72</v>
      </c>
    </row>
    <row r="400" spans="1:19" x14ac:dyDescent="0.35">
      <c r="A400" t="s">
        <v>529</v>
      </c>
      <c r="B400" t="s">
        <v>130</v>
      </c>
      <c r="C400" t="s">
        <v>44</v>
      </c>
      <c r="D400" s="105" t="s">
        <v>42</v>
      </c>
      <c r="E400" s="105" t="s">
        <v>57</v>
      </c>
      <c r="F400" s="105">
        <v>740</v>
      </c>
      <c r="G400" s="105">
        <v>680</v>
      </c>
      <c r="H400" s="105">
        <v>800</v>
      </c>
      <c r="I400" s="120">
        <v>1.9699999999999999E-2</v>
      </c>
      <c r="J400" s="120">
        <v>1.8100000000000002E-2</v>
      </c>
      <c r="K400" s="120">
        <v>2.1399999999999999E-2</v>
      </c>
      <c r="L400" s="105">
        <v>602</v>
      </c>
      <c r="M400">
        <v>0.81</v>
      </c>
      <c r="N400">
        <v>0.75</v>
      </c>
      <c r="O400">
        <v>0.89</v>
      </c>
      <c r="P400" s="105">
        <v>489</v>
      </c>
      <c r="Q400">
        <v>0.66</v>
      </c>
      <c r="R400">
        <v>0.61</v>
      </c>
      <c r="S400">
        <v>0.72</v>
      </c>
    </row>
    <row r="401" spans="1:19" x14ac:dyDescent="0.35">
      <c r="A401" t="s">
        <v>530</v>
      </c>
      <c r="B401" t="s">
        <v>130</v>
      </c>
      <c r="C401" t="s">
        <v>44</v>
      </c>
      <c r="D401" s="105" t="s">
        <v>37</v>
      </c>
      <c r="E401" s="105" t="s">
        <v>57</v>
      </c>
      <c r="F401" s="105">
        <v>1600</v>
      </c>
      <c r="G401" s="105">
        <v>1500</v>
      </c>
      <c r="H401" s="105">
        <v>1700</v>
      </c>
      <c r="I401" s="120">
        <v>4.8000000000000001E-2</v>
      </c>
      <c r="J401" s="120">
        <v>4.4900000000000002E-2</v>
      </c>
      <c r="K401" s="120">
        <v>5.1299999999999998E-2</v>
      </c>
      <c r="L401" s="105">
        <v>1290</v>
      </c>
      <c r="M401">
        <v>0.81</v>
      </c>
      <c r="N401">
        <v>0.76</v>
      </c>
      <c r="O401">
        <v>0.86</v>
      </c>
      <c r="P401" s="105">
        <v>1084</v>
      </c>
      <c r="Q401">
        <v>0.68</v>
      </c>
      <c r="R401">
        <v>0.64</v>
      </c>
      <c r="S401">
        <v>0.72</v>
      </c>
    </row>
    <row r="402" spans="1:19" x14ac:dyDescent="0.35">
      <c r="A402" t="s">
        <v>531</v>
      </c>
      <c r="B402" t="s">
        <v>130</v>
      </c>
      <c r="C402" t="s">
        <v>46</v>
      </c>
      <c r="D402" s="105" t="s">
        <v>42</v>
      </c>
      <c r="E402" s="105" t="s">
        <v>57</v>
      </c>
      <c r="F402" s="105">
        <v>760</v>
      </c>
      <c r="G402" s="105">
        <v>700</v>
      </c>
      <c r="H402" s="105">
        <v>820</v>
      </c>
      <c r="I402" s="120">
        <v>2.07E-2</v>
      </c>
      <c r="J402" s="120">
        <v>1.9199999999999998E-2</v>
      </c>
      <c r="K402" s="120">
        <v>2.2499999999999999E-2</v>
      </c>
      <c r="L402" s="105">
        <v>639</v>
      </c>
      <c r="M402">
        <v>0.84</v>
      </c>
      <c r="N402">
        <v>0.78</v>
      </c>
      <c r="O402">
        <v>0.91</v>
      </c>
      <c r="P402" s="105">
        <v>513</v>
      </c>
      <c r="Q402">
        <v>0.68</v>
      </c>
      <c r="R402">
        <v>0.63</v>
      </c>
      <c r="S402">
        <v>0.73</v>
      </c>
    </row>
    <row r="403" spans="1:19" x14ac:dyDescent="0.35">
      <c r="A403" t="s">
        <v>532</v>
      </c>
      <c r="B403" t="s">
        <v>130</v>
      </c>
      <c r="C403" t="s">
        <v>46</v>
      </c>
      <c r="D403" s="105" t="s">
        <v>37</v>
      </c>
      <c r="E403" s="105" t="s">
        <v>57</v>
      </c>
      <c r="F403" s="105">
        <v>1600</v>
      </c>
      <c r="G403" s="105">
        <v>1500</v>
      </c>
      <c r="H403" s="105">
        <v>1700</v>
      </c>
      <c r="I403" s="120">
        <v>4.9200000000000001E-2</v>
      </c>
      <c r="J403" s="120">
        <v>4.6199999999999998E-2</v>
      </c>
      <c r="K403" s="120">
        <v>5.2400000000000002E-2</v>
      </c>
      <c r="L403" s="105">
        <v>1320</v>
      </c>
      <c r="M403">
        <v>0.83</v>
      </c>
      <c r="N403">
        <v>0.78</v>
      </c>
      <c r="O403">
        <v>0.88</v>
      </c>
      <c r="P403" s="105">
        <v>1127</v>
      </c>
      <c r="Q403">
        <v>0.7</v>
      </c>
      <c r="R403">
        <v>0.66</v>
      </c>
      <c r="S403">
        <v>0.75</v>
      </c>
    </row>
    <row r="404" spans="1:19" x14ac:dyDescent="0.35">
      <c r="A404" t="s">
        <v>533</v>
      </c>
      <c r="B404" t="s">
        <v>130</v>
      </c>
      <c r="C404" t="s">
        <v>47</v>
      </c>
      <c r="D404" s="105" t="s">
        <v>42</v>
      </c>
      <c r="E404" s="105" t="s">
        <v>57</v>
      </c>
      <c r="F404" s="105">
        <v>770</v>
      </c>
      <c r="G404" s="105">
        <v>710</v>
      </c>
      <c r="H404" s="105">
        <v>830</v>
      </c>
      <c r="I404" s="120">
        <v>2.1600000000000001E-2</v>
      </c>
      <c r="J404" s="120">
        <v>0.02</v>
      </c>
      <c r="K404" s="120">
        <v>2.3300000000000001E-2</v>
      </c>
      <c r="L404" s="105">
        <v>667</v>
      </c>
      <c r="M404">
        <v>0.87</v>
      </c>
      <c r="N404">
        <v>0.8</v>
      </c>
      <c r="O404">
        <v>0.94</v>
      </c>
      <c r="P404" s="105">
        <v>564</v>
      </c>
      <c r="Q404">
        <v>0.73</v>
      </c>
      <c r="R404">
        <v>0.68</v>
      </c>
      <c r="S404">
        <v>0.79</v>
      </c>
    </row>
    <row r="405" spans="1:19" x14ac:dyDescent="0.35">
      <c r="A405" t="s">
        <v>534</v>
      </c>
      <c r="B405" t="s">
        <v>130</v>
      </c>
      <c r="C405" t="s">
        <v>47</v>
      </c>
      <c r="D405" s="105" t="s">
        <v>37</v>
      </c>
      <c r="E405" s="105" t="s">
        <v>57</v>
      </c>
      <c r="F405" s="105">
        <v>1600</v>
      </c>
      <c r="G405" s="105">
        <v>1500</v>
      </c>
      <c r="H405" s="105">
        <v>1700</v>
      </c>
      <c r="I405" s="120">
        <v>5.0099999999999999E-2</v>
      </c>
      <c r="J405" s="120">
        <v>4.7300000000000002E-2</v>
      </c>
      <c r="K405" s="120">
        <v>5.3199999999999997E-2</v>
      </c>
      <c r="L405" s="105">
        <v>1348</v>
      </c>
      <c r="M405">
        <v>0.84</v>
      </c>
      <c r="N405">
        <v>0.79</v>
      </c>
      <c r="O405">
        <v>0.9</v>
      </c>
      <c r="P405" s="105">
        <v>1136</v>
      </c>
      <c r="Q405">
        <v>0.71</v>
      </c>
      <c r="R405">
        <v>0.67</v>
      </c>
      <c r="S405">
        <v>0.76</v>
      </c>
    </row>
    <row r="406" spans="1:19" x14ac:dyDescent="0.35">
      <c r="A406" t="s">
        <v>535</v>
      </c>
      <c r="B406" t="s">
        <v>130</v>
      </c>
      <c r="C406" t="s">
        <v>48</v>
      </c>
      <c r="D406" s="105" t="s">
        <v>42</v>
      </c>
      <c r="E406" s="105" t="s">
        <v>57</v>
      </c>
      <c r="F406" s="105">
        <v>780</v>
      </c>
      <c r="G406" s="105">
        <v>720</v>
      </c>
      <c r="H406" s="105">
        <v>840</v>
      </c>
      <c r="I406" s="120">
        <v>2.2200000000000001E-2</v>
      </c>
      <c r="J406" s="120">
        <v>2.06E-2</v>
      </c>
      <c r="K406" s="120">
        <v>2.4E-2</v>
      </c>
      <c r="L406" s="105">
        <v>670</v>
      </c>
      <c r="M406">
        <v>0.86</v>
      </c>
      <c r="N406">
        <v>0.8</v>
      </c>
      <c r="O406">
        <v>0.93</v>
      </c>
      <c r="P406" s="105">
        <v>555</v>
      </c>
      <c r="Q406">
        <v>0.71</v>
      </c>
      <c r="R406">
        <v>0.66</v>
      </c>
      <c r="S406">
        <v>0.77</v>
      </c>
    </row>
    <row r="407" spans="1:19" x14ac:dyDescent="0.35">
      <c r="A407" t="s">
        <v>536</v>
      </c>
      <c r="B407" t="s">
        <v>130</v>
      </c>
      <c r="C407" t="s">
        <v>48</v>
      </c>
      <c r="D407" s="105" t="s">
        <v>37</v>
      </c>
      <c r="E407" s="105" t="s">
        <v>57</v>
      </c>
      <c r="F407" s="105">
        <v>1600</v>
      </c>
      <c r="G407" s="105">
        <v>1500</v>
      </c>
      <c r="H407" s="105">
        <v>1700</v>
      </c>
      <c r="I407" s="120">
        <v>5.0700000000000002E-2</v>
      </c>
      <c r="J407" s="120">
        <v>4.7800000000000002E-2</v>
      </c>
      <c r="K407" s="120">
        <v>5.3800000000000001E-2</v>
      </c>
      <c r="L407" s="105">
        <v>1323</v>
      </c>
      <c r="M407">
        <v>0.83</v>
      </c>
      <c r="N407">
        <v>0.78</v>
      </c>
      <c r="O407">
        <v>0.88</v>
      </c>
      <c r="P407" s="105">
        <v>1110</v>
      </c>
      <c r="Q407">
        <v>0.69</v>
      </c>
      <c r="R407">
        <v>0.65</v>
      </c>
      <c r="S407">
        <v>0.74</v>
      </c>
    </row>
    <row r="408" spans="1:19" x14ac:dyDescent="0.35">
      <c r="A408" t="s">
        <v>537</v>
      </c>
      <c r="B408" t="s">
        <v>130</v>
      </c>
      <c r="C408" t="s">
        <v>49</v>
      </c>
      <c r="D408" s="105" t="s">
        <v>42</v>
      </c>
      <c r="E408" s="105" t="s">
        <v>57</v>
      </c>
      <c r="F408" s="105">
        <v>770</v>
      </c>
      <c r="G408" s="105">
        <v>710</v>
      </c>
      <c r="H408" s="105">
        <v>840</v>
      </c>
      <c r="I408" s="120">
        <v>2.2599999999999999E-2</v>
      </c>
      <c r="J408" s="120">
        <v>2.0799999999999999E-2</v>
      </c>
      <c r="K408" s="120">
        <v>2.4500000000000001E-2</v>
      </c>
      <c r="L408" s="105">
        <v>642</v>
      </c>
      <c r="M408">
        <v>0.83</v>
      </c>
      <c r="N408">
        <v>0.76</v>
      </c>
      <c r="O408">
        <v>0.9</v>
      </c>
      <c r="P408" s="105">
        <v>542</v>
      </c>
      <c r="Q408">
        <v>0.7</v>
      </c>
      <c r="R408">
        <v>0.65</v>
      </c>
      <c r="S408">
        <v>0.76</v>
      </c>
    </row>
    <row r="409" spans="1:19" x14ac:dyDescent="0.35">
      <c r="A409" t="s">
        <v>538</v>
      </c>
      <c r="B409" t="s">
        <v>130</v>
      </c>
      <c r="C409" t="s">
        <v>49</v>
      </c>
      <c r="D409" s="105" t="s">
        <v>37</v>
      </c>
      <c r="E409" s="105" t="s">
        <v>57</v>
      </c>
      <c r="F409" s="105">
        <v>1600</v>
      </c>
      <c r="G409" s="105">
        <v>1500</v>
      </c>
      <c r="H409" s="105">
        <v>1700</v>
      </c>
      <c r="I409" s="120">
        <v>5.1999999999999998E-2</v>
      </c>
      <c r="J409" s="120">
        <v>4.8800000000000003E-2</v>
      </c>
      <c r="K409" s="120">
        <v>5.5399999999999998E-2</v>
      </c>
      <c r="L409" s="105">
        <v>1273</v>
      </c>
      <c r="M409">
        <v>0.8</v>
      </c>
      <c r="N409">
        <v>0.75</v>
      </c>
      <c r="O409">
        <v>0.85</v>
      </c>
      <c r="P409" s="105">
        <v>1042</v>
      </c>
      <c r="Q409">
        <v>0.65</v>
      </c>
      <c r="R409">
        <v>0.61</v>
      </c>
      <c r="S409">
        <v>0.69</v>
      </c>
    </row>
    <row r="410" spans="1:19" x14ac:dyDescent="0.35">
      <c r="A410" t="s">
        <v>539</v>
      </c>
      <c r="B410" t="s">
        <v>130</v>
      </c>
      <c r="C410" t="s">
        <v>124</v>
      </c>
      <c r="D410" s="105" t="s">
        <v>42</v>
      </c>
      <c r="E410" s="105" t="s">
        <v>57</v>
      </c>
      <c r="F410" s="105">
        <v>760</v>
      </c>
      <c r="G410" s="105">
        <v>700</v>
      </c>
      <c r="H410" s="105">
        <v>820</v>
      </c>
      <c r="I410" s="120">
        <v>2.2800000000000001E-2</v>
      </c>
      <c r="J410" s="120">
        <v>2.1000000000000001E-2</v>
      </c>
      <c r="K410" s="120">
        <v>2.46E-2</v>
      </c>
      <c r="L410" s="105">
        <v>631</v>
      </c>
      <c r="M410">
        <v>0.83</v>
      </c>
      <c r="N410">
        <v>0.77</v>
      </c>
      <c r="O410">
        <v>0.9</v>
      </c>
      <c r="P410" s="105">
        <v>535</v>
      </c>
      <c r="Q410">
        <v>0.7</v>
      </c>
      <c r="R410">
        <v>0.65</v>
      </c>
      <c r="S410">
        <v>0.76</v>
      </c>
    </row>
    <row r="411" spans="1:19" x14ac:dyDescent="0.35">
      <c r="A411" t="s">
        <v>540</v>
      </c>
      <c r="B411" t="s">
        <v>130</v>
      </c>
      <c r="C411" t="s">
        <v>124</v>
      </c>
      <c r="D411" s="105" t="s">
        <v>37</v>
      </c>
      <c r="E411" s="105" t="s">
        <v>57</v>
      </c>
      <c r="F411" s="105">
        <v>1500</v>
      </c>
      <c r="G411" s="105">
        <v>1400</v>
      </c>
      <c r="H411" s="105">
        <v>1600</v>
      </c>
      <c r="I411" s="120">
        <v>5.1700000000000003E-2</v>
      </c>
      <c r="J411" s="120">
        <v>4.8500000000000001E-2</v>
      </c>
      <c r="K411" s="120">
        <v>5.5199999999999999E-2</v>
      </c>
      <c r="L411" s="105">
        <v>1230</v>
      </c>
      <c r="M411">
        <v>0.82</v>
      </c>
      <c r="N411">
        <v>0.77</v>
      </c>
      <c r="O411">
        <v>0.88</v>
      </c>
      <c r="P411" s="105">
        <v>1022</v>
      </c>
      <c r="Q411">
        <v>0.68</v>
      </c>
      <c r="R411">
        <v>0.64</v>
      </c>
      <c r="S411">
        <v>0.73</v>
      </c>
    </row>
    <row r="412" spans="1:19" x14ac:dyDescent="0.35">
      <c r="A412" t="s">
        <v>541</v>
      </c>
      <c r="B412" t="s">
        <v>130</v>
      </c>
      <c r="C412" t="s">
        <v>125</v>
      </c>
      <c r="D412" s="105" t="s">
        <v>42</v>
      </c>
      <c r="E412" s="105" t="s">
        <v>57</v>
      </c>
      <c r="F412" s="105">
        <v>760</v>
      </c>
      <c r="G412" s="105">
        <v>700</v>
      </c>
      <c r="H412" s="105">
        <v>820</v>
      </c>
      <c r="I412" s="120">
        <v>2.3E-2</v>
      </c>
      <c r="J412" s="120">
        <v>2.12E-2</v>
      </c>
      <c r="K412" s="120">
        <v>2.4799999999999999E-2</v>
      </c>
      <c r="L412" s="105">
        <v>646</v>
      </c>
      <c r="M412">
        <v>0.85</v>
      </c>
      <c r="N412">
        <v>0.79</v>
      </c>
      <c r="O412">
        <v>0.92</v>
      </c>
      <c r="P412" s="105">
        <v>561</v>
      </c>
      <c r="Q412">
        <v>0.74</v>
      </c>
      <c r="R412">
        <v>0.68</v>
      </c>
      <c r="S412">
        <v>0.8</v>
      </c>
    </row>
    <row r="413" spans="1:19" x14ac:dyDescent="0.35">
      <c r="A413" t="s">
        <v>542</v>
      </c>
      <c r="B413" t="s">
        <v>130</v>
      </c>
      <c r="C413" t="s">
        <v>125</v>
      </c>
      <c r="D413" s="105" t="s">
        <v>37</v>
      </c>
      <c r="E413" s="105" t="s">
        <v>57</v>
      </c>
      <c r="F413" s="105">
        <v>1400</v>
      </c>
      <c r="G413" s="105">
        <v>1400</v>
      </c>
      <c r="H413" s="105">
        <v>1500</v>
      </c>
      <c r="I413" s="120">
        <v>4.99E-2</v>
      </c>
      <c r="J413" s="120">
        <v>4.6800000000000001E-2</v>
      </c>
      <c r="K413" s="120">
        <v>5.33E-2</v>
      </c>
      <c r="L413" s="105">
        <v>1202</v>
      </c>
      <c r="M413">
        <v>0.86</v>
      </c>
      <c r="N413">
        <v>0.8</v>
      </c>
      <c r="O413">
        <v>0.86</v>
      </c>
      <c r="P413" s="105">
        <v>1034</v>
      </c>
      <c r="Q413">
        <v>0.74</v>
      </c>
      <c r="R413">
        <v>0.69</v>
      </c>
      <c r="S413">
        <v>0.74</v>
      </c>
    </row>
    <row r="414" spans="1:19" x14ac:dyDescent="0.35">
      <c r="A414" t="s">
        <v>543</v>
      </c>
      <c r="B414" t="s">
        <v>130</v>
      </c>
      <c r="C414" t="s">
        <v>126</v>
      </c>
      <c r="D414" s="105" t="s">
        <v>42</v>
      </c>
      <c r="E414" s="105" t="s">
        <v>57</v>
      </c>
      <c r="F414" s="105">
        <v>710</v>
      </c>
      <c r="G414" s="105">
        <v>660</v>
      </c>
      <c r="H414" s="105">
        <v>770</v>
      </c>
      <c r="I414" s="120">
        <v>2.1700000000000001E-2</v>
      </c>
      <c r="J414" s="120">
        <v>0.02</v>
      </c>
      <c r="K414" s="120">
        <v>2.35E-2</v>
      </c>
      <c r="L414" s="105">
        <v>624</v>
      </c>
      <c r="M414">
        <v>0.88</v>
      </c>
      <c r="N414">
        <v>0.81</v>
      </c>
      <c r="O414">
        <v>0.95</v>
      </c>
      <c r="P414" s="105">
        <v>530</v>
      </c>
      <c r="Q414">
        <v>0.75</v>
      </c>
      <c r="R414">
        <v>0.69</v>
      </c>
      <c r="S414">
        <v>0.8</v>
      </c>
    </row>
    <row r="415" spans="1:19" x14ac:dyDescent="0.35">
      <c r="A415" t="s">
        <v>544</v>
      </c>
      <c r="B415" t="s">
        <v>130</v>
      </c>
      <c r="C415" t="s">
        <v>126</v>
      </c>
      <c r="D415" s="105" t="s">
        <v>37</v>
      </c>
      <c r="E415" s="105" t="s">
        <v>57</v>
      </c>
      <c r="F415" s="105">
        <v>1300</v>
      </c>
      <c r="G415" s="105">
        <v>1300</v>
      </c>
      <c r="H415" s="105">
        <v>1400</v>
      </c>
      <c r="I415" s="120">
        <v>4.5199999999999997E-2</v>
      </c>
      <c r="J415" s="120">
        <v>4.24E-2</v>
      </c>
      <c r="K415" s="120">
        <v>4.82E-2</v>
      </c>
      <c r="L415" s="105">
        <v>1142</v>
      </c>
      <c r="M415">
        <v>0.88</v>
      </c>
      <c r="N415">
        <v>0.82</v>
      </c>
      <c r="O415">
        <v>0.88</v>
      </c>
      <c r="P415" s="105">
        <v>964</v>
      </c>
      <c r="Q415">
        <v>0.74</v>
      </c>
      <c r="R415">
        <v>0.69</v>
      </c>
      <c r="S415">
        <v>0.74</v>
      </c>
    </row>
    <row r="416" spans="1:19" x14ac:dyDescent="0.35">
      <c r="A416" t="s">
        <v>545</v>
      </c>
      <c r="B416" t="s">
        <v>130</v>
      </c>
      <c r="C416" t="s">
        <v>39</v>
      </c>
      <c r="D416" s="105" t="s">
        <v>42</v>
      </c>
      <c r="E416" s="105" t="s">
        <v>58</v>
      </c>
      <c r="F416" s="105">
        <v>90</v>
      </c>
      <c r="G416" s="105">
        <v>70</v>
      </c>
      <c r="H416" s="105">
        <v>110</v>
      </c>
      <c r="I416" s="120">
        <v>2.2000000000000001E-3</v>
      </c>
      <c r="J416" s="120">
        <v>1.6999999999999999E-3</v>
      </c>
      <c r="K416" s="120">
        <v>2.8E-3</v>
      </c>
      <c r="L416" s="105">
        <v>58</v>
      </c>
      <c r="M416">
        <v>0.64</v>
      </c>
      <c r="N416">
        <v>0.53</v>
      </c>
      <c r="O416">
        <v>0.83</v>
      </c>
      <c r="P416" s="105">
        <v>47</v>
      </c>
      <c r="Q416">
        <v>0.52</v>
      </c>
      <c r="R416">
        <v>0.43</v>
      </c>
      <c r="S416">
        <v>0.67</v>
      </c>
    </row>
    <row r="417" spans="1:19" x14ac:dyDescent="0.35">
      <c r="A417" t="s">
        <v>546</v>
      </c>
      <c r="B417" t="s">
        <v>130</v>
      </c>
      <c r="C417" t="s">
        <v>39</v>
      </c>
      <c r="D417" s="105" t="s">
        <v>37</v>
      </c>
      <c r="E417" s="105" t="s">
        <v>58</v>
      </c>
      <c r="F417" s="105">
        <v>210</v>
      </c>
      <c r="G417" s="105">
        <v>170</v>
      </c>
      <c r="H417" s="105">
        <v>260</v>
      </c>
      <c r="I417" s="120">
        <v>5.4999999999999997E-3</v>
      </c>
      <c r="J417" s="120">
        <v>4.4999999999999997E-3</v>
      </c>
      <c r="K417" s="120">
        <v>6.7000000000000002E-3</v>
      </c>
      <c r="L417" s="105">
        <v>136</v>
      </c>
      <c r="M417">
        <v>0.65</v>
      </c>
      <c r="N417">
        <v>0.52</v>
      </c>
      <c r="O417">
        <v>0.8</v>
      </c>
      <c r="P417" s="105">
        <v>112</v>
      </c>
      <c r="Q417">
        <v>0.53</v>
      </c>
      <c r="R417">
        <v>0.43</v>
      </c>
      <c r="S417">
        <v>0.66</v>
      </c>
    </row>
    <row r="418" spans="1:19" x14ac:dyDescent="0.35">
      <c r="A418" t="s">
        <v>547</v>
      </c>
      <c r="B418" t="s">
        <v>130</v>
      </c>
      <c r="C418" t="s">
        <v>44</v>
      </c>
      <c r="D418" s="105" t="s">
        <v>42</v>
      </c>
      <c r="E418" s="105" t="s">
        <v>58</v>
      </c>
      <c r="F418" s="105">
        <v>100</v>
      </c>
      <c r="G418" s="105">
        <v>80</v>
      </c>
      <c r="H418" s="105">
        <v>120</v>
      </c>
      <c r="I418" s="120">
        <v>2.3E-3</v>
      </c>
      <c r="J418" s="120">
        <v>1.9E-3</v>
      </c>
      <c r="K418" s="120">
        <v>2.8999999999999998E-3</v>
      </c>
      <c r="L418" s="105">
        <v>68</v>
      </c>
      <c r="M418">
        <v>0.68</v>
      </c>
      <c r="N418">
        <v>0.56999999999999995</v>
      </c>
      <c r="O418">
        <v>0.85</v>
      </c>
      <c r="P418" s="105">
        <v>53</v>
      </c>
      <c r="Q418">
        <v>0.53</v>
      </c>
      <c r="R418">
        <v>0.44</v>
      </c>
      <c r="S418">
        <v>0.66</v>
      </c>
    </row>
    <row r="419" spans="1:19" x14ac:dyDescent="0.35">
      <c r="A419" t="s">
        <v>548</v>
      </c>
      <c r="B419" t="s">
        <v>130</v>
      </c>
      <c r="C419" t="s">
        <v>44</v>
      </c>
      <c r="D419" s="105" t="s">
        <v>37</v>
      </c>
      <c r="E419" s="105" t="s">
        <v>58</v>
      </c>
      <c r="F419" s="105">
        <v>230</v>
      </c>
      <c r="G419" s="105">
        <v>190</v>
      </c>
      <c r="H419" s="105">
        <v>280</v>
      </c>
      <c r="I419" s="120">
        <v>5.8999999999999999E-3</v>
      </c>
      <c r="J419" s="120">
        <v>5.0000000000000001E-3</v>
      </c>
      <c r="K419" s="120">
        <v>7.1000000000000004E-3</v>
      </c>
      <c r="L419" s="105">
        <v>160</v>
      </c>
      <c r="M419">
        <v>0.7</v>
      </c>
      <c r="N419">
        <v>0.56999999999999995</v>
      </c>
      <c r="O419">
        <v>0.84</v>
      </c>
      <c r="P419" s="105">
        <v>121</v>
      </c>
      <c r="Q419">
        <v>0.53</v>
      </c>
      <c r="R419">
        <v>0.43</v>
      </c>
      <c r="S419">
        <v>0.64</v>
      </c>
    </row>
    <row r="420" spans="1:19" x14ac:dyDescent="0.35">
      <c r="A420" t="s">
        <v>549</v>
      </c>
      <c r="B420" t="s">
        <v>130</v>
      </c>
      <c r="C420" t="s">
        <v>46</v>
      </c>
      <c r="D420" s="105" t="s">
        <v>42</v>
      </c>
      <c r="E420" s="105" t="s">
        <v>58</v>
      </c>
      <c r="F420" s="105">
        <v>100</v>
      </c>
      <c r="G420" s="105">
        <v>80</v>
      </c>
      <c r="H420" s="105">
        <v>120</v>
      </c>
      <c r="I420" s="120">
        <v>2.3E-3</v>
      </c>
      <c r="J420" s="120">
        <v>1.9E-3</v>
      </c>
      <c r="K420" s="120">
        <v>2.8999999999999998E-3</v>
      </c>
      <c r="L420" s="105">
        <v>67</v>
      </c>
      <c r="M420">
        <v>0.67</v>
      </c>
      <c r="N420">
        <v>0.56000000000000005</v>
      </c>
      <c r="O420">
        <v>0.84</v>
      </c>
      <c r="P420" s="105">
        <v>56</v>
      </c>
      <c r="Q420">
        <v>0.56000000000000005</v>
      </c>
      <c r="R420">
        <v>0.47</v>
      </c>
      <c r="S420">
        <v>0.7</v>
      </c>
    </row>
    <row r="421" spans="1:19" x14ac:dyDescent="0.35">
      <c r="A421" t="s">
        <v>550</v>
      </c>
      <c r="B421" t="s">
        <v>130</v>
      </c>
      <c r="C421" t="s">
        <v>46</v>
      </c>
      <c r="D421" s="105" t="s">
        <v>37</v>
      </c>
      <c r="E421" s="105" t="s">
        <v>58</v>
      </c>
      <c r="F421" s="105">
        <v>270</v>
      </c>
      <c r="G421" s="105">
        <v>230</v>
      </c>
      <c r="H421" s="105">
        <v>310</v>
      </c>
      <c r="I421" s="120">
        <v>6.8999999999999999E-3</v>
      </c>
      <c r="J421" s="120">
        <v>5.7999999999999996E-3</v>
      </c>
      <c r="K421" s="120">
        <v>8.0999999999999996E-3</v>
      </c>
      <c r="L421" s="105">
        <v>192</v>
      </c>
      <c r="M421">
        <v>0.71</v>
      </c>
      <c r="N421">
        <v>0.62</v>
      </c>
      <c r="O421">
        <v>0.83</v>
      </c>
      <c r="P421" s="105">
        <v>143</v>
      </c>
      <c r="Q421">
        <v>0.53</v>
      </c>
      <c r="R421">
        <v>0.46</v>
      </c>
      <c r="S421">
        <v>0.62</v>
      </c>
    </row>
    <row r="422" spans="1:19" x14ac:dyDescent="0.35">
      <c r="A422" t="s">
        <v>551</v>
      </c>
      <c r="B422" t="s">
        <v>130</v>
      </c>
      <c r="C422" t="s">
        <v>47</v>
      </c>
      <c r="D422" s="105" t="s">
        <v>42</v>
      </c>
      <c r="E422" s="105" t="s">
        <v>58</v>
      </c>
      <c r="F422" s="105">
        <v>100</v>
      </c>
      <c r="G422" s="105">
        <v>80</v>
      </c>
      <c r="H422" s="105">
        <v>120</v>
      </c>
      <c r="I422" s="120">
        <v>2.3E-3</v>
      </c>
      <c r="J422" s="120">
        <v>1.8E-3</v>
      </c>
      <c r="K422" s="120">
        <v>2.8E-3</v>
      </c>
      <c r="L422" s="105">
        <v>77</v>
      </c>
      <c r="M422">
        <v>0.77</v>
      </c>
      <c r="N422">
        <v>0.64</v>
      </c>
      <c r="O422">
        <v>0.96</v>
      </c>
      <c r="P422" s="105">
        <v>66</v>
      </c>
      <c r="Q422">
        <v>0.66</v>
      </c>
      <c r="R422">
        <v>0.55000000000000004</v>
      </c>
      <c r="S422">
        <v>0.83</v>
      </c>
    </row>
    <row r="423" spans="1:19" x14ac:dyDescent="0.35">
      <c r="A423" t="s">
        <v>552</v>
      </c>
      <c r="B423" t="s">
        <v>130</v>
      </c>
      <c r="C423" t="s">
        <v>47</v>
      </c>
      <c r="D423" s="105" t="s">
        <v>37</v>
      </c>
      <c r="E423" s="105" t="s">
        <v>58</v>
      </c>
      <c r="F423" s="105">
        <v>250</v>
      </c>
      <c r="G423" s="105">
        <v>220</v>
      </c>
      <c r="H423" s="105">
        <v>290</v>
      </c>
      <c r="I423" s="120">
        <v>6.4999999999999997E-3</v>
      </c>
      <c r="J423" s="120">
        <v>5.5999999999999999E-3</v>
      </c>
      <c r="K423" s="120">
        <v>7.4000000000000003E-3</v>
      </c>
      <c r="L423" s="105">
        <v>205</v>
      </c>
      <c r="M423">
        <v>0.82</v>
      </c>
      <c r="N423">
        <v>0.71</v>
      </c>
      <c r="O423">
        <v>0.93</v>
      </c>
      <c r="P423" s="105">
        <v>166</v>
      </c>
      <c r="Q423">
        <v>0.66</v>
      </c>
      <c r="R423">
        <v>0.56999999999999995</v>
      </c>
      <c r="S423">
        <v>0.75</v>
      </c>
    </row>
    <row r="424" spans="1:19" x14ac:dyDescent="0.35">
      <c r="A424" t="s">
        <v>553</v>
      </c>
      <c r="B424" t="s">
        <v>130</v>
      </c>
      <c r="C424" t="s">
        <v>48</v>
      </c>
      <c r="D424" s="105" t="s">
        <v>42</v>
      </c>
      <c r="E424" s="105" t="s">
        <v>58</v>
      </c>
      <c r="F424" s="105">
        <v>110</v>
      </c>
      <c r="G424" s="105">
        <v>90</v>
      </c>
      <c r="H424" s="105">
        <v>140</v>
      </c>
      <c r="I424" s="120">
        <v>2.5999999999999999E-3</v>
      </c>
      <c r="J424" s="120">
        <v>2.0999999999999999E-3</v>
      </c>
      <c r="K424" s="120">
        <v>3.0999999999999999E-3</v>
      </c>
      <c r="L424" s="105">
        <v>85</v>
      </c>
      <c r="M424">
        <v>0.77</v>
      </c>
      <c r="N424">
        <v>0.61</v>
      </c>
      <c r="O424">
        <v>0.94</v>
      </c>
      <c r="P424" s="105">
        <v>72</v>
      </c>
      <c r="Q424">
        <v>0.65</v>
      </c>
      <c r="R424">
        <v>0.51</v>
      </c>
      <c r="S424">
        <v>0.8</v>
      </c>
    </row>
    <row r="425" spans="1:19" x14ac:dyDescent="0.35">
      <c r="A425" t="s">
        <v>554</v>
      </c>
      <c r="B425" t="s">
        <v>130</v>
      </c>
      <c r="C425" t="s">
        <v>48</v>
      </c>
      <c r="D425" s="105" t="s">
        <v>37</v>
      </c>
      <c r="E425" s="105" t="s">
        <v>58</v>
      </c>
      <c r="F425" s="105">
        <v>300</v>
      </c>
      <c r="G425" s="105">
        <v>270</v>
      </c>
      <c r="H425" s="105">
        <v>350</v>
      </c>
      <c r="I425" s="120">
        <v>7.7000000000000002E-3</v>
      </c>
      <c r="J425" s="120">
        <v>6.7000000000000002E-3</v>
      </c>
      <c r="K425" s="120">
        <v>8.8000000000000005E-3</v>
      </c>
      <c r="L425" s="105">
        <v>240</v>
      </c>
      <c r="M425">
        <v>0.8</v>
      </c>
      <c r="N425">
        <v>0.69</v>
      </c>
      <c r="O425">
        <v>0.89</v>
      </c>
      <c r="P425" s="105">
        <v>199</v>
      </c>
      <c r="Q425">
        <v>0.66</v>
      </c>
      <c r="R425">
        <v>0.56999999999999995</v>
      </c>
      <c r="S425">
        <v>0.74</v>
      </c>
    </row>
    <row r="426" spans="1:19" x14ac:dyDescent="0.35">
      <c r="A426" t="s">
        <v>555</v>
      </c>
      <c r="B426" t="s">
        <v>130</v>
      </c>
      <c r="C426" t="s">
        <v>49</v>
      </c>
      <c r="D426" s="105" t="s">
        <v>42</v>
      </c>
      <c r="E426" s="105" t="s">
        <v>58</v>
      </c>
      <c r="F426" s="105">
        <v>140</v>
      </c>
      <c r="G426" s="105">
        <v>120</v>
      </c>
      <c r="H426" s="105">
        <v>160</v>
      </c>
      <c r="I426" s="120">
        <v>3.2000000000000002E-3</v>
      </c>
      <c r="J426" s="120">
        <v>2.5999999999999999E-3</v>
      </c>
      <c r="K426" s="120">
        <v>3.7000000000000002E-3</v>
      </c>
      <c r="L426" s="105">
        <v>111</v>
      </c>
      <c r="M426">
        <v>0.79</v>
      </c>
      <c r="N426">
        <v>0.69</v>
      </c>
      <c r="O426">
        <v>0.93</v>
      </c>
      <c r="P426" s="105">
        <v>98</v>
      </c>
      <c r="Q426">
        <v>0.7</v>
      </c>
      <c r="R426">
        <v>0.61</v>
      </c>
      <c r="S426">
        <v>0.82</v>
      </c>
    </row>
    <row r="427" spans="1:19" x14ac:dyDescent="0.35">
      <c r="A427" t="s">
        <v>556</v>
      </c>
      <c r="B427" t="s">
        <v>130</v>
      </c>
      <c r="C427" t="s">
        <v>49</v>
      </c>
      <c r="D427" s="105" t="s">
        <v>37</v>
      </c>
      <c r="E427" s="105" t="s">
        <v>58</v>
      </c>
      <c r="F427" s="105">
        <v>340</v>
      </c>
      <c r="G427" s="105">
        <v>300</v>
      </c>
      <c r="H427" s="105">
        <v>390</v>
      </c>
      <c r="I427" s="120">
        <v>8.6999999999999994E-3</v>
      </c>
      <c r="J427" s="120">
        <v>7.6E-3</v>
      </c>
      <c r="K427" s="120">
        <v>9.7999999999999997E-3</v>
      </c>
      <c r="L427" s="105">
        <v>281</v>
      </c>
      <c r="M427">
        <v>0.83</v>
      </c>
      <c r="N427">
        <v>0.72</v>
      </c>
      <c r="O427">
        <v>0.94</v>
      </c>
      <c r="P427" s="105">
        <v>238</v>
      </c>
      <c r="Q427">
        <v>0.7</v>
      </c>
      <c r="R427">
        <v>0.61</v>
      </c>
      <c r="S427">
        <v>0.79</v>
      </c>
    </row>
    <row r="428" spans="1:19" x14ac:dyDescent="0.35">
      <c r="A428" t="s">
        <v>557</v>
      </c>
      <c r="B428" t="s">
        <v>130</v>
      </c>
      <c r="C428" t="s">
        <v>124</v>
      </c>
      <c r="D428" s="105" t="s">
        <v>42</v>
      </c>
      <c r="E428" s="105" t="s">
        <v>58</v>
      </c>
      <c r="F428" s="105">
        <v>180</v>
      </c>
      <c r="G428" s="105">
        <v>150</v>
      </c>
      <c r="H428" s="105">
        <v>210</v>
      </c>
      <c r="I428" s="120">
        <v>4.0000000000000001E-3</v>
      </c>
      <c r="J428" s="120">
        <v>3.3999999999999998E-3</v>
      </c>
      <c r="K428" s="120">
        <v>4.7000000000000002E-3</v>
      </c>
      <c r="L428" s="105">
        <v>139</v>
      </c>
      <c r="M428">
        <v>0.77</v>
      </c>
      <c r="N428">
        <v>0.66</v>
      </c>
      <c r="O428">
        <v>0.93</v>
      </c>
      <c r="P428" s="105">
        <v>117</v>
      </c>
      <c r="Q428">
        <v>0.65</v>
      </c>
      <c r="R428">
        <v>0.56000000000000005</v>
      </c>
      <c r="S428">
        <v>0.78</v>
      </c>
    </row>
    <row r="429" spans="1:19" x14ac:dyDescent="0.35">
      <c r="A429" t="s">
        <v>558</v>
      </c>
      <c r="B429" t="s">
        <v>130</v>
      </c>
      <c r="C429" t="s">
        <v>124</v>
      </c>
      <c r="D429" s="105" t="s">
        <v>37</v>
      </c>
      <c r="E429" s="105" t="s">
        <v>58</v>
      </c>
      <c r="F429" s="105">
        <v>420</v>
      </c>
      <c r="G429" s="105">
        <v>370</v>
      </c>
      <c r="H429" s="105">
        <v>470</v>
      </c>
      <c r="I429" s="120">
        <v>1.0500000000000001E-2</v>
      </c>
      <c r="J429" s="120">
        <v>9.1999999999999998E-3</v>
      </c>
      <c r="K429" s="120">
        <v>1.18E-2</v>
      </c>
      <c r="L429" s="105">
        <v>327</v>
      </c>
      <c r="M429">
        <v>0.78</v>
      </c>
      <c r="N429">
        <v>0.7</v>
      </c>
      <c r="O429">
        <v>0.88</v>
      </c>
      <c r="P429" s="105">
        <v>264</v>
      </c>
      <c r="Q429">
        <v>0.63</v>
      </c>
      <c r="R429">
        <v>0.56000000000000005</v>
      </c>
      <c r="S429">
        <v>0.71</v>
      </c>
    </row>
    <row r="430" spans="1:19" x14ac:dyDescent="0.35">
      <c r="A430" t="s">
        <v>559</v>
      </c>
      <c r="B430" t="s">
        <v>130</v>
      </c>
      <c r="C430" t="s">
        <v>125</v>
      </c>
      <c r="D430" s="105" t="s">
        <v>42</v>
      </c>
      <c r="E430" s="105" t="s">
        <v>58</v>
      </c>
      <c r="F430" s="105">
        <v>190</v>
      </c>
      <c r="G430" s="105">
        <v>160</v>
      </c>
      <c r="H430" s="105">
        <v>230</v>
      </c>
      <c r="I430" s="120">
        <v>4.3E-3</v>
      </c>
      <c r="J430" s="120">
        <v>3.7000000000000002E-3</v>
      </c>
      <c r="K430" s="120">
        <v>5.0000000000000001E-3</v>
      </c>
      <c r="L430" s="105">
        <v>155</v>
      </c>
      <c r="M430">
        <v>0.82</v>
      </c>
      <c r="N430">
        <v>0.67</v>
      </c>
      <c r="O430">
        <v>0.97</v>
      </c>
      <c r="P430" s="105">
        <v>131</v>
      </c>
      <c r="Q430">
        <v>0.69</v>
      </c>
      <c r="R430">
        <v>0.56999999999999995</v>
      </c>
      <c r="S430">
        <v>0.82</v>
      </c>
    </row>
    <row r="431" spans="1:19" x14ac:dyDescent="0.35">
      <c r="A431" t="s">
        <v>560</v>
      </c>
      <c r="B431" t="s">
        <v>130</v>
      </c>
      <c r="C431" t="s">
        <v>125</v>
      </c>
      <c r="D431" s="105" t="s">
        <v>37</v>
      </c>
      <c r="E431" s="105" t="s">
        <v>58</v>
      </c>
      <c r="F431" s="105">
        <v>460</v>
      </c>
      <c r="G431" s="105">
        <v>410</v>
      </c>
      <c r="H431" s="105">
        <v>520</v>
      </c>
      <c r="I431" s="120">
        <v>1.1599999999999999E-2</v>
      </c>
      <c r="J431" s="120">
        <v>1.03E-2</v>
      </c>
      <c r="K431" s="120">
        <v>1.2999999999999999E-2</v>
      </c>
      <c r="L431" s="105">
        <v>375</v>
      </c>
      <c r="M431">
        <v>0.82</v>
      </c>
      <c r="N431">
        <v>0.72</v>
      </c>
      <c r="O431">
        <v>0.91</v>
      </c>
      <c r="P431" s="105">
        <v>324</v>
      </c>
      <c r="Q431">
        <v>0.7</v>
      </c>
      <c r="R431">
        <v>0.62</v>
      </c>
      <c r="S431">
        <v>0.79</v>
      </c>
    </row>
    <row r="432" spans="1:19" x14ac:dyDescent="0.35">
      <c r="A432" t="s">
        <v>561</v>
      </c>
      <c r="B432" t="s">
        <v>130</v>
      </c>
      <c r="C432" t="s">
        <v>126</v>
      </c>
      <c r="D432" s="105" t="s">
        <v>42</v>
      </c>
      <c r="E432" s="105" t="s">
        <v>58</v>
      </c>
      <c r="F432" s="105">
        <v>220</v>
      </c>
      <c r="G432" s="105">
        <v>190</v>
      </c>
      <c r="H432" s="105">
        <v>250</v>
      </c>
      <c r="I432" s="120">
        <v>4.7999999999999996E-3</v>
      </c>
      <c r="J432" s="120">
        <v>4.1999999999999997E-3</v>
      </c>
      <c r="K432" s="120">
        <v>5.5999999999999999E-3</v>
      </c>
      <c r="L432" s="105">
        <v>179</v>
      </c>
      <c r="M432">
        <v>0.81</v>
      </c>
      <c r="N432">
        <v>0.72</v>
      </c>
      <c r="O432">
        <v>0.94</v>
      </c>
      <c r="P432" s="105">
        <v>147</v>
      </c>
      <c r="Q432">
        <v>0.67</v>
      </c>
      <c r="R432">
        <v>0.59</v>
      </c>
      <c r="S432">
        <v>0.77</v>
      </c>
    </row>
    <row r="433" spans="1:19" x14ac:dyDescent="0.35">
      <c r="A433" t="s">
        <v>562</v>
      </c>
      <c r="B433" t="s">
        <v>130</v>
      </c>
      <c r="C433" t="s">
        <v>126</v>
      </c>
      <c r="D433" s="105" t="s">
        <v>37</v>
      </c>
      <c r="E433" s="105" t="s">
        <v>58</v>
      </c>
      <c r="F433" s="105">
        <v>520</v>
      </c>
      <c r="G433" s="105">
        <v>460</v>
      </c>
      <c r="H433" s="105">
        <v>580</v>
      </c>
      <c r="I433" s="120">
        <v>1.2800000000000001E-2</v>
      </c>
      <c r="J433" s="120">
        <v>1.15E-2</v>
      </c>
      <c r="K433" s="120">
        <v>1.43E-2</v>
      </c>
      <c r="L433" s="105">
        <v>432</v>
      </c>
      <c r="M433">
        <v>0.83</v>
      </c>
      <c r="N433">
        <v>0.74</v>
      </c>
      <c r="O433">
        <v>0.94</v>
      </c>
      <c r="P433" s="105">
        <v>355</v>
      </c>
      <c r="Q433">
        <v>0.68</v>
      </c>
      <c r="R433">
        <v>0.61</v>
      </c>
      <c r="S433">
        <v>0.77</v>
      </c>
    </row>
  </sheetData>
  <autoFilter ref="A1:S433" xr:uid="{2BA32AF5-F557-4DD3-84E0-AC70B76D8B8B}"/>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6A6BCBD-902D-42A6-AE53-5DA0EDFF9F0E}">
  <ds:schemaRefs>
    <ds:schemaRef ds:uri="http://schemas.microsoft.com/sharepoint/v3/contenttype/forms"/>
  </ds:schemaRefs>
</ds:datastoreItem>
</file>

<file path=customXml/itemProps2.xml><?xml version="1.0" encoding="utf-8"?>
<ds:datastoreItem xmlns:ds="http://schemas.openxmlformats.org/officeDocument/2006/customXml" ds:itemID="{F6A90C08-672F-4825-A878-1BAD621ABC16}">
  <ds:schemaRefs>
    <ds:schemaRef ds:uri="http://schemas.microsoft.com/office/2006/metadata/properties"/>
    <ds:schemaRef ds:uri="http://schemas.microsoft.com/office/infopath/2007/PartnerControls"/>
    <ds:schemaRef ds:uri="15e9c7c7-720e-457f-8d7f-28edf1a58f24"/>
    <ds:schemaRef ds:uri="158eac70-73b0-45c8-8281-c2471280e21a"/>
  </ds:schemaRefs>
</ds:datastoreItem>
</file>

<file path=customXml/itemProps3.xml><?xml version="1.0" encoding="utf-8"?>
<ds:datastoreItem xmlns:ds="http://schemas.openxmlformats.org/officeDocument/2006/customXml" ds:itemID="{8DDE4ED6-BB17-43F0-B549-2A2C5DE1C5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Contents</vt:lpstr>
      <vt:lpstr>Table 1</vt:lpstr>
      <vt:lpstr>Table 2</vt:lpstr>
      <vt:lpstr>Table 3</vt:lpstr>
      <vt:lpstr>Table 4</vt:lpstr>
      <vt:lpstr>Table 5</vt:lpstr>
      <vt:lpstr>Table 6</vt:lpstr>
      <vt:lpstr>Table 7</vt:lpstr>
      <vt:lpstr>Table 8</vt:lpstr>
      <vt:lpstr>Table 9</vt:lpstr>
      <vt:lpstr>Table 10</vt:lpstr>
      <vt:lpstr>Age</vt:lpstr>
      <vt:lpstr>Sex</vt:lpstr>
      <vt:lpstr>SexAge</vt:lpstr>
    </vt:vector>
  </TitlesOfParts>
  <Manager/>
  <Company>NHSS National Services Scotland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Sophie Edwards</dc:creator>
  <cp:keywords/>
  <dc:description/>
  <cp:lastModifiedBy>Gordon Hunt</cp:lastModifiedBy>
  <cp:revision/>
  <dcterms:created xsi:type="dcterms:W3CDTF">2024-01-15T12:51:38Z</dcterms:created>
  <dcterms:modified xsi:type="dcterms:W3CDTF">2025-03-14T12:16:32Z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