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\\scotland.gov.uk\dc1\fs6_home\u418445\COMPLAINTS\COMPLAINTS STATISTICS\COMPLAINTS STATISTICS 19-20\FINAL DOCS FOR PUBLICATION\"/>
    </mc:Choice>
  </mc:AlternateContent>
  <bookViews>
    <workbookView xWindow="0" yWindow="0" windowWidth="15736" windowHeight="4516"/>
  </bookViews>
  <sheets>
    <sheet name="Collation" sheetId="4" r:id="rId1"/>
    <sheet name="Errors" sheetId="5" r:id="rId2"/>
    <sheet name="Percentages" sheetId="6" r:id="rId3"/>
    <sheet name="Analyst Calculations" sheetId="7" state="hidden" r:id="rId4"/>
  </sheets>
  <definedNames>
    <definedName name="_xlnm.Print_Area" localSheetId="0">Collation!$C$1:$AU$36</definedName>
    <definedName name="_xlnm.Print_Area" localSheetId="1">Errors!$B$1:$V$36</definedName>
    <definedName name="_xlnm.Print_Area" localSheetId="2">Percentages!$A$1:$AU$36</definedName>
    <definedName name="_xlnm.Print_Titles" localSheetId="0">Collation!$A:$B</definedName>
    <definedName name="_xlnm.Print_Titles" localSheetId="1">Errors!$A:$A</definedName>
  </definedNames>
  <calcPr calcId="162913"/>
</workbook>
</file>

<file path=xl/calcChain.xml><?xml version="1.0" encoding="utf-8"?>
<calcChain xmlns="http://schemas.openxmlformats.org/spreadsheetml/2006/main">
  <c r="AU32" i="4" l="1"/>
  <c r="AU31" i="4"/>
  <c r="AQ28" i="4"/>
  <c r="U28" i="4"/>
  <c r="T28" i="4"/>
  <c r="M22" i="4" l="1"/>
  <c r="E9" i="4" l="1"/>
  <c r="F9" i="4" s="1"/>
  <c r="AU21" i="4" l="1"/>
  <c r="AH21" i="4"/>
  <c r="AH27" i="4"/>
  <c r="AI27" i="4" s="1"/>
  <c r="AU33" i="4" l="1"/>
  <c r="AQ33" i="4"/>
  <c r="AH33" i="4"/>
  <c r="AD33" i="4"/>
  <c r="Z33" i="4"/>
  <c r="U33" i="4"/>
  <c r="E33" i="4"/>
  <c r="AV32" i="4"/>
  <c r="E32" i="4"/>
  <c r="AQ31" i="4"/>
  <c r="AH31" i="4"/>
  <c r="AD31" i="4"/>
  <c r="Z31" i="4"/>
  <c r="U31" i="4"/>
  <c r="E31" i="4"/>
  <c r="AQ30" i="4"/>
  <c r="AD30" i="4"/>
  <c r="Z30" i="4"/>
  <c r="U30" i="4"/>
  <c r="E30" i="4"/>
  <c r="AH28" i="4"/>
  <c r="AH34" i="4" s="1"/>
  <c r="AD28" i="4"/>
  <c r="Z28" i="4"/>
  <c r="AI28" i="4" s="1"/>
  <c r="E26" i="4"/>
  <c r="Z17" i="4"/>
  <c r="E17" i="4"/>
  <c r="AU27" i="4" l="1"/>
  <c r="AU20" i="4"/>
  <c r="AQ20" i="4"/>
  <c r="AH20" i="4"/>
  <c r="AD20" i="4"/>
  <c r="Z20" i="4"/>
  <c r="U20" i="4"/>
  <c r="O20" i="4"/>
  <c r="AU19" i="4"/>
  <c r="AQ19" i="4"/>
  <c r="AH19" i="4"/>
  <c r="AH18" i="4"/>
  <c r="AD19" i="4"/>
  <c r="Z19" i="4"/>
  <c r="U19" i="4"/>
  <c r="O19" i="4"/>
  <c r="O18" i="4"/>
  <c r="AQ18" i="4"/>
  <c r="AD18" i="4"/>
  <c r="Z18" i="4"/>
  <c r="U18" i="4"/>
  <c r="AU16" i="4"/>
  <c r="AQ16" i="4"/>
  <c r="AH16" i="4"/>
  <c r="AD16" i="4"/>
  <c r="Z16" i="4"/>
  <c r="U16" i="4"/>
  <c r="O16" i="4"/>
  <c r="Z15" i="4"/>
  <c r="AU14" i="4" l="1"/>
  <c r="AQ14" i="4"/>
  <c r="AH14" i="4"/>
  <c r="AD14" i="4"/>
  <c r="Z14" i="4"/>
  <c r="U14" i="4"/>
  <c r="O14" i="4"/>
  <c r="AU13" i="4"/>
  <c r="O13" i="4"/>
  <c r="O12" i="4"/>
  <c r="AU10" i="4"/>
  <c r="AQ10" i="4"/>
  <c r="AH10" i="4"/>
  <c r="AD10" i="4"/>
  <c r="Z10" i="4"/>
  <c r="AI10" i="4" s="1"/>
  <c r="U10" i="4"/>
  <c r="O10" i="4"/>
  <c r="AU8" i="4"/>
  <c r="AS22" i="4"/>
  <c r="AT22" i="4"/>
  <c r="E8" i="4"/>
  <c r="F8" i="4" s="1"/>
  <c r="E10" i="4"/>
  <c r="E11" i="4"/>
  <c r="E12" i="4"/>
  <c r="E13" i="4"/>
  <c r="E14" i="4"/>
  <c r="E15" i="4"/>
  <c r="E16" i="4"/>
  <c r="E18" i="4"/>
  <c r="E20" i="4"/>
  <c r="E21" i="4"/>
  <c r="AQ27" i="4" l="1"/>
  <c r="AD27" i="4"/>
  <c r="Z27" i="4"/>
  <c r="U27" i="4"/>
  <c r="AU17" i="4" l="1"/>
  <c r="AQ17" i="4"/>
  <c r="AH17" i="4"/>
  <c r="AD17" i="4"/>
  <c r="U17" i="4"/>
  <c r="O17" i="4"/>
  <c r="AQ32" i="4" l="1"/>
  <c r="AH32" i="4"/>
  <c r="AD32" i="4"/>
  <c r="Z32" i="4"/>
  <c r="U32" i="4"/>
  <c r="AU11" i="4"/>
  <c r="AQ11" i="4"/>
  <c r="AH11" i="4"/>
  <c r="AD11" i="4"/>
  <c r="Z11" i="4"/>
  <c r="U11" i="4"/>
  <c r="O11" i="4"/>
  <c r="AU15" i="4" l="1"/>
  <c r="AQ15" i="4"/>
  <c r="AH15" i="4"/>
  <c r="AD15" i="4"/>
  <c r="U15" i="4"/>
  <c r="O15" i="4"/>
  <c r="AU12" i="4" l="1"/>
  <c r="AQ12" i="4"/>
  <c r="AH12" i="4"/>
  <c r="AD12" i="4"/>
  <c r="Z12" i="4"/>
  <c r="U12" i="4"/>
  <c r="V12" i="4"/>
  <c r="AU9" i="4"/>
  <c r="AU22" i="4" s="1"/>
  <c r="AQ9" i="4"/>
  <c r="AH9" i="4"/>
  <c r="AD9" i="4"/>
  <c r="Z9" i="4"/>
  <c r="U9" i="4"/>
  <c r="O9" i="4"/>
  <c r="P33" i="5" l="1"/>
  <c r="P32" i="5"/>
  <c r="P31" i="5"/>
  <c r="P30" i="5"/>
  <c r="P29" i="5"/>
  <c r="P28" i="5"/>
  <c r="P27" i="5"/>
  <c r="M33" i="5"/>
  <c r="M32" i="5"/>
  <c r="M31" i="5"/>
  <c r="M30" i="5"/>
  <c r="M29" i="5"/>
  <c r="M28" i="5"/>
  <c r="M27" i="5"/>
  <c r="J33" i="5"/>
  <c r="J32" i="5"/>
  <c r="J31" i="5"/>
  <c r="J30" i="5"/>
  <c r="J29" i="5"/>
  <c r="J28" i="5"/>
  <c r="J27" i="5"/>
  <c r="U33" i="5"/>
  <c r="U32" i="5"/>
  <c r="U31" i="5"/>
  <c r="U30" i="5"/>
  <c r="U29" i="5"/>
  <c r="U28" i="5"/>
  <c r="U27" i="5"/>
  <c r="AV33" i="4"/>
  <c r="AV33" i="6" s="1"/>
  <c r="AV32" i="6"/>
  <c r="AV31" i="6"/>
  <c r="AV30" i="6"/>
  <c r="AV29" i="4"/>
  <c r="AV29" i="6" s="1"/>
  <c r="AV28" i="4"/>
  <c r="AV28" i="6" s="1"/>
  <c r="AV27" i="4"/>
  <c r="AV27" i="6" s="1"/>
  <c r="AV14" i="4"/>
  <c r="AV14" i="6" s="1"/>
  <c r="AV15" i="4"/>
  <c r="AV15" i="6" s="1"/>
  <c r="AV16" i="4"/>
  <c r="AV16" i="6" s="1"/>
  <c r="AV17" i="4"/>
  <c r="AV17" i="6" s="1"/>
  <c r="AV18" i="4"/>
  <c r="AV18" i="6" s="1"/>
  <c r="AV19" i="4"/>
  <c r="AV19" i="6" s="1"/>
  <c r="AV20" i="4"/>
  <c r="AV20" i="6" s="1"/>
  <c r="AV9" i="4"/>
  <c r="AV9" i="6" s="1"/>
  <c r="AV10" i="4"/>
  <c r="AV10" i="6" s="1"/>
  <c r="AV11" i="4"/>
  <c r="AV11" i="6" s="1"/>
  <c r="AV12" i="4"/>
  <c r="AV12" i="6" s="1"/>
  <c r="P9" i="5"/>
  <c r="P10" i="5"/>
  <c r="P11" i="5"/>
  <c r="P12" i="5"/>
  <c r="P14" i="5"/>
  <c r="P15" i="5"/>
  <c r="P16" i="5"/>
  <c r="P17" i="5"/>
  <c r="P18" i="5"/>
  <c r="P19" i="5"/>
  <c r="P20" i="5"/>
  <c r="P21" i="5"/>
  <c r="J9" i="5"/>
  <c r="J10" i="5"/>
  <c r="J11" i="5"/>
  <c r="J12" i="5"/>
  <c r="J14" i="5"/>
  <c r="J15" i="5"/>
  <c r="J16" i="5"/>
  <c r="J17" i="5"/>
  <c r="J18" i="5"/>
  <c r="J19" i="5"/>
  <c r="J20" i="5"/>
  <c r="M9" i="5"/>
  <c r="M10" i="5"/>
  <c r="M11" i="5"/>
  <c r="M12" i="5"/>
  <c r="M14" i="5"/>
  <c r="M15" i="5"/>
  <c r="M16" i="5"/>
  <c r="M17" i="5"/>
  <c r="M18" i="5"/>
  <c r="M19" i="5"/>
  <c r="M20" i="5"/>
  <c r="AQ13" i="4" l="1"/>
  <c r="AH13" i="4"/>
  <c r="P13" i="5" s="1"/>
  <c r="AD13" i="4"/>
  <c r="M13" i="5" s="1"/>
  <c r="Z13" i="4"/>
  <c r="J13" i="5" s="1"/>
  <c r="U13" i="4"/>
  <c r="AV13" i="4" l="1"/>
  <c r="AV13" i="6" s="1"/>
  <c r="AU26" i="4"/>
  <c r="AQ26" i="4"/>
  <c r="AH26" i="4"/>
  <c r="P26" i="5" s="1"/>
  <c r="AD26" i="4"/>
  <c r="M26" i="5" s="1"/>
  <c r="Z26" i="4"/>
  <c r="J26" i="5" s="1"/>
  <c r="U26" i="4"/>
  <c r="U26" i="5" l="1"/>
  <c r="AV26" i="4"/>
  <c r="AV26" i="6" s="1"/>
  <c r="AQ21" i="4"/>
  <c r="AD21" i="4"/>
  <c r="M21" i="5" s="1"/>
  <c r="Z21" i="4"/>
  <c r="J21" i="5" s="1"/>
  <c r="U21" i="4"/>
  <c r="O21" i="4"/>
  <c r="AV21" i="4" l="1"/>
  <c r="AV21" i="6" s="1"/>
  <c r="AQ8" i="4"/>
  <c r="AH8" i="4"/>
  <c r="P8" i="5" s="1"/>
  <c r="AD8" i="4"/>
  <c r="M8" i="5" s="1"/>
  <c r="Z8" i="4"/>
  <c r="J8" i="5" s="1"/>
  <c r="U8" i="4"/>
  <c r="O8" i="4"/>
  <c r="AV8" i="4" l="1"/>
  <c r="AV8" i="6" s="1"/>
  <c r="AU33" i="6"/>
  <c r="AU32" i="6"/>
  <c r="AU31" i="6"/>
  <c r="AU30" i="6"/>
  <c r="AU29" i="6"/>
  <c r="AU28" i="6"/>
  <c r="AU27" i="6"/>
  <c r="AU26" i="6"/>
  <c r="AT33" i="6"/>
  <c r="AT32" i="6"/>
  <c r="AT31" i="6"/>
  <c r="AT30" i="6"/>
  <c r="AT29" i="6"/>
  <c r="AT28" i="6"/>
  <c r="AT27" i="6"/>
  <c r="AT26" i="6"/>
  <c r="AS33" i="6"/>
  <c r="AS32" i="6"/>
  <c r="AS31" i="6"/>
  <c r="AS30" i="6"/>
  <c r="AS29" i="6"/>
  <c r="AS28" i="6"/>
  <c r="AS27" i="6"/>
  <c r="AS26" i="6"/>
  <c r="AU21" i="6"/>
  <c r="AU20" i="6"/>
  <c r="AU19" i="6"/>
  <c r="AU18" i="6"/>
  <c r="AU17" i="6"/>
  <c r="AU16" i="6"/>
  <c r="AU15" i="6"/>
  <c r="AU14" i="6"/>
  <c r="AU13" i="6"/>
  <c r="AU12" i="6"/>
  <c r="AU11" i="6"/>
  <c r="AU10" i="6"/>
  <c r="AU9" i="6"/>
  <c r="AT21" i="6"/>
  <c r="AT20" i="6"/>
  <c r="AT19" i="6"/>
  <c r="AT18" i="6"/>
  <c r="AT17" i="6"/>
  <c r="AT16" i="6"/>
  <c r="AT15" i="6"/>
  <c r="AT14" i="6"/>
  <c r="AT13" i="6"/>
  <c r="AT12" i="6"/>
  <c r="AT11" i="6"/>
  <c r="AT10" i="6"/>
  <c r="AT9" i="6"/>
  <c r="AS21" i="6"/>
  <c r="AS20" i="6"/>
  <c r="AS19" i="6"/>
  <c r="AS18" i="6"/>
  <c r="AS17" i="6"/>
  <c r="AS16" i="6"/>
  <c r="AS15" i="6"/>
  <c r="AS14" i="6"/>
  <c r="AS13" i="6"/>
  <c r="AS12" i="6"/>
  <c r="AS11" i="6"/>
  <c r="AS10" i="6"/>
  <c r="AS9" i="6"/>
  <c r="AU8" i="6"/>
  <c r="AT8" i="6"/>
  <c r="AS8" i="6"/>
  <c r="AQ33" i="6" l="1"/>
  <c r="AP33" i="6"/>
  <c r="AO33" i="6"/>
  <c r="AN33" i="6"/>
  <c r="AQ32" i="6"/>
  <c r="AP32" i="6"/>
  <c r="AO32" i="6"/>
  <c r="AN32" i="6"/>
  <c r="AQ31" i="6"/>
  <c r="AP31" i="6"/>
  <c r="AO31" i="6"/>
  <c r="AN31" i="6"/>
  <c r="AQ30" i="6"/>
  <c r="AP30" i="6"/>
  <c r="AO30" i="6"/>
  <c r="AN30" i="6"/>
  <c r="AQ29" i="6"/>
  <c r="AP29" i="6"/>
  <c r="AO29" i="6"/>
  <c r="AN29" i="6"/>
  <c r="AQ28" i="6"/>
  <c r="AP28" i="6"/>
  <c r="AO28" i="6"/>
  <c r="AN28" i="6"/>
  <c r="AQ27" i="6"/>
  <c r="AP27" i="6"/>
  <c r="AO27" i="6"/>
  <c r="AN27" i="6"/>
  <c r="AQ26" i="6"/>
  <c r="AP26" i="6"/>
  <c r="AO26" i="6"/>
  <c r="AN26" i="6"/>
  <c r="AQ21" i="6"/>
  <c r="AP21" i="6"/>
  <c r="AO21" i="6"/>
  <c r="AN21" i="6"/>
  <c r="AQ20" i="6"/>
  <c r="AP20" i="6"/>
  <c r="AO20" i="6"/>
  <c r="AN20" i="6"/>
  <c r="AQ19" i="6"/>
  <c r="AP19" i="6"/>
  <c r="AO19" i="6"/>
  <c r="AN19" i="6"/>
  <c r="AQ18" i="6"/>
  <c r="AP18" i="6"/>
  <c r="AO18" i="6"/>
  <c r="AN18" i="6"/>
  <c r="AQ17" i="6"/>
  <c r="AP17" i="6"/>
  <c r="AO17" i="6"/>
  <c r="AN17" i="6"/>
  <c r="AQ16" i="6"/>
  <c r="AP16" i="6"/>
  <c r="AO16" i="6"/>
  <c r="AN16" i="6"/>
  <c r="AQ15" i="6"/>
  <c r="AP15" i="6"/>
  <c r="AO15" i="6"/>
  <c r="AN15" i="6"/>
  <c r="AQ14" i="6"/>
  <c r="AP14" i="6"/>
  <c r="AO14" i="6"/>
  <c r="AN14" i="6"/>
  <c r="AQ13" i="6"/>
  <c r="AP13" i="6"/>
  <c r="AO13" i="6"/>
  <c r="AN13" i="6"/>
  <c r="AQ12" i="6"/>
  <c r="AP12" i="6"/>
  <c r="AO12" i="6"/>
  <c r="AN12" i="6"/>
  <c r="AQ11" i="6"/>
  <c r="AP11" i="6"/>
  <c r="AO11" i="6"/>
  <c r="AN11" i="6"/>
  <c r="AQ10" i="6"/>
  <c r="AP10" i="6"/>
  <c r="AO10" i="6"/>
  <c r="AN10" i="6"/>
  <c r="AQ9" i="6"/>
  <c r="AP9" i="6"/>
  <c r="AO9" i="6"/>
  <c r="AN9" i="6"/>
  <c r="AQ8" i="6"/>
  <c r="AP8" i="6"/>
  <c r="AO8" i="6"/>
  <c r="AN8" i="6"/>
  <c r="AU36" i="4" l="1"/>
  <c r="AT36" i="4"/>
  <c r="AS36" i="4"/>
  <c r="AQ36" i="4"/>
  <c r="AP36" i="4"/>
  <c r="AO36" i="4"/>
  <c r="AN36" i="4"/>
  <c r="AH36" i="4"/>
  <c r="AG36" i="4"/>
  <c r="AF36" i="4"/>
  <c r="AE36" i="4"/>
  <c r="AD36" i="4"/>
  <c r="AC36" i="4"/>
  <c r="AB36" i="4"/>
  <c r="AA36" i="4"/>
  <c r="Z36" i="4"/>
  <c r="Y36" i="4"/>
  <c r="X36" i="4"/>
  <c r="W36" i="4"/>
  <c r="U36" i="4"/>
  <c r="T36" i="4"/>
  <c r="S36" i="4"/>
  <c r="R36" i="4"/>
  <c r="AU34" i="4"/>
  <c r="AT34" i="4"/>
  <c r="AS34" i="4"/>
  <c r="AQ34" i="4"/>
  <c r="AP34" i="4"/>
  <c r="AO34" i="4"/>
  <c r="AN34" i="4"/>
  <c r="AG34" i="4"/>
  <c r="AF34" i="4"/>
  <c r="AE34" i="4"/>
  <c r="AD34" i="4"/>
  <c r="AD34" i="6" s="1"/>
  <c r="AC34" i="4"/>
  <c r="AB34" i="4"/>
  <c r="AA34" i="4"/>
  <c r="Z34" i="4"/>
  <c r="Y34" i="4"/>
  <c r="X34" i="4"/>
  <c r="W34" i="4"/>
  <c r="U34" i="4"/>
  <c r="T34" i="4"/>
  <c r="S34" i="4"/>
  <c r="R34" i="4"/>
  <c r="P36" i="4"/>
  <c r="P34" i="4"/>
  <c r="AQ22" i="4"/>
  <c r="AP22" i="4"/>
  <c r="AO22" i="4"/>
  <c r="AN22" i="4"/>
  <c r="AH22" i="4"/>
  <c r="AG22" i="4"/>
  <c r="AF22" i="4"/>
  <c r="AE22" i="4"/>
  <c r="AD22" i="4"/>
  <c r="AC22" i="4"/>
  <c r="AB22" i="4"/>
  <c r="AA22" i="4"/>
  <c r="Z22" i="4"/>
  <c r="Y22" i="4"/>
  <c r="X22" i="4"/>
  <c r="W22" i="4"/>
  <c r="U22" i="4"/>
  <c r="T22" i="4"/>
  <c r="S22" i="4"/>
  <c r="R22" i="4"/>
  <c r="P22" i="4"/>
  <c r="O36" i="4"/>
  <c r="O22" i="4"/>
  <c r="N36" i="4"/>
  <c r="M36" i="4"/>
  <c r="L36" i="4"/>
  <c r="K36" i="4"/>
  <c r="J36" i="4"/>
  <c r="I36" i="4"/>
  <c r="H36" i="4"/>
  <c r="G36" i="4"/>
  <c r="N22" i="4"/>
  <c r="L22" i="4"/>
  <c r="K22" i="4"/>
  <c r="J22" i="4"/>
  <c r="I22" i="4"/>
  <c r="H22" i="4"/>
  <c r="G22" i="4"/>
  <c r="D36" i="4"/>
  <c r="E36" i="4"/>
  <c r="C36" i="4"/>
  <c r="E34" i="4"/>
  <c r="E34" i="6" s="1"/>
  <c r="C34" i="4"/>
  <c r="D22" i="4"/>
  <c r="C22" i="4"/>
  <c r="AG33" i="6"/>
  <c r="AF33" i="6"/>
  <c r="AE33" i="6"/>
  <c r="AG32" i="6"/>
  <c r="AF32" i="6"/>
  <c r="AE32" i="6"/>
  <c r="AG31" i="6"/>
  <c r="AF31" i="6"/>
  <c r="AE31" i="6"/>
  <c r="AG30" i="6"/>
  <c r="AF30" i="6"/>
  <c r="AE30" i="6"/>
  <c r="AG29" i="6"/>
  <c r="AF29" i="6"/>
  <c r="AE29" i="6"/>
  <c r="AG28" i="6"/>
  <c r="AF28" i="6"/>
  <c r="AE28" i="6"/>
  <c r="AG27" i="6"/>
  <c r="AF27" i="6"/>
  <c r="AE27" i="6"/>
  <c r="AG26" i="6"/>
  <c r="AF26" i="6"/>
  <c r="AE26" i="6"/>
  <c r="AG21" i="6"/>
  <c r="AF21" i="6"/>
  <c r="AE21" i="6"/>
  <c r="AG20" i="6"/>
  <c r="AF20" i="6"/>
  <c r="AE20" i="6"/>
  <c r="AG19" i="6"/>
  <c r="AF19" i="6"/>
  <c r="AE19" i="6"/>
  <c r="AG18" i="6"/>
  <c r="AF18" i="6"/>
  <c r="AE18" i="6"/>
  <c r="AG17" i="6"/>
  <c r="AF17" i="6"/>
  <c r="AE17" i="6"/>
  <c r="AG16" i="6"/>
  <c r="AF16" i="6"/>
  <c r="AE16" i="6"/>
  <c r="AG15" i="6"/>
  <c r="AF15" i="6"/>
  <c r="AE15" i="6"/>
  <c r="AG14" i="6"/>
  <c r="AF14" i="6"/>
  <c r="AE14" i="6"/>
  <c r="AG13" i="6"/>
  <c r="AF13" i="6"/>
  <c r="AE13" i="6"/>
  <c r="AG12" i="6"/>
  <c r="AF12" i="6"/>
  <c r="AE12" i="6"/>
  <c r="AG11" i="6"/>
  <c r="AF11" i="6"/>
  <c r="AE11" i="6"/>
  <c r="AG10" i="6"/>
  <c r="AF10" i="6"/>
  <c r="AE10" i="6"/>
  <c r="AG9" i="6"/>
  <c r="AF9" i="6"/>
  <c r="AE9" i="6"/>
  <c r="AG8" i="6"/>
  <c r="AF8" i="6"/>
  <c r="AE8" i="6"/>
  <c r="AH33" i="6"/>
  <c r="AH32" i="6"/>
  <c r="AH31" i="6"/>
  <c r="AH30" i="6"/>
  <c r="AH29" i="6"/>
  <c r="AH28" i="6"/>
  <c r="AH27" i="6"/>
  <c r="AH26" i="6"/>
  <c r="AH21" i="6"/>
  <c r="AH20" i="6"/>
  <c r="AH19" i="6"/>
  <c r="AH18" i="6"/>
  <c r="AH17" i="6"/>
  <c r="AH16" i="6"/>
  <c r="AH15" i="6"/>
  <c r="AH14" i="6"/>
  <c r="AH13" i="6"/>
  <c r="AH12" i="6"/>
  <c r="AH11" i="6"/>
  <c r="AH10" i="6"/>
  <c r="AH9" i="6"/>
  <c r="AH8" i="6"/>
  <c r="AC33" i="6"/>
  <c r="AB33" i="6"/>
  <c r="AA33" i="6"/>
  <c r="AC32" i="6"/>
  <c r="AB32" i="6"/>
  <c r="AA32" i="6"/>
  <c r="AC31" i="6"/>
  <c r="AB31" i="6"/>
  <c r="AA31" i="6"/>
  <c r="AC30" i="6"/>
  <c r="AB30" i="6"/>
  <c r="AA30" i="6"/>
  <c r="AC29" i="6"/>
  <c r="AB29" i="6"/>
  <c r="AA29" i="6"/>
  <c r="AC28" i="6"/>
  <c r="AB28" i="6"/>
  <c r="AA28" i="6"/>
  <c r="AC27" i="6"/>
  <c r="AB27" i="6"/>
  <c r="AA27" i="6"/>
  <c r="AC26" i="6"/>
  <c r="AB26" i="6"/>
  <c r="AA26" i="6"/>
  <c r="AC21" i="6"/>
  <c r="AB21" i="6"/>
  <c r="AA21" i="6"/>
  <c r="AC20" i="6"/>
  <c r="AB20" i="6"/>
  <c r="AA20" i="6"/>
  <c r="AC19" i="6"/>
  <c r="AB19" i="6"/>
  <c r="AA19" i="6"/>
  <c r="AC18" i="6"/>
  <c r="AB18" i="6"/>
  <c r="AA18" i="6"/>
  <c r="AC17" i="6"/>
  <c r="AB17" i="6"/>
  <c r="AA17" i="6"/>
  <c r="AC16" i="6"/>
  <c r="AB16" i="6"/>
  <c r="AA16" i="6"/>
  <c r="AC15" i="6"/>
  <c r="AB15" i="6"/>
  <c r="AA15" i="6"/>
  <c r="AC14" i="6"/>
  <c r="AB14" i="6"/>
  <c r="AA14" i="6"/>
  <c r="AC13" i="6"/>
  <c r="AB13" i="6"/>
  <c r="AA13" i="6"/>
  <c r="AC12" i="6"/>
  <c r="AB12" i="6"/>
  <c r="AA12" i="6"/>
  <c r="AC11" i="6"/>
  <c r="AB11" i="6"/>
  <c r="AA11" i="6"/>
  <c r="AC10" i="6"/>
  <c r="AB10" i="6"/>
  <c r="AA10" i="6"/>
  <c r="AC9" i="6"/>
  <c r="AB9" i="6"/>
  <c r="AA9" i="6"/>
  <c r="AC8" i="6"/>
  <c r="AB8" i="6"/>
  <c r="AA8" i="6"/>
  <c r="AD33" i="6"/>
  <c r="AD32" i="6"/>
  <c r="AD31" i="6"/>
  <c r="AD30" i="6"/>
  <c r="AD29" i="6"/>
  <c r="AD28" i="6"/>
  <c r="AD27" i="6"/>
  <c r="AD26" i="6"/>
  <c r="AD21" i="6"/>
  <c r="AD20" i="6"/>
  <c r="AD19" i="6"/>
  <c r="AD18" i="6"/>
  <c r="AD17" i="6"/>
  <c r="AD16" i="6"/>
  <c r="AD15" i="6"/>
  <c r="AD14" i="6"/>
  <c r="AD13" i="6"/>
  <c r="AD12" i="6"/>
  <c r="AD11" i="6"/>
  <c r="AD10" i="6"/>
  <c r="AD9" i="6"/>
  <c r="AD8" i="6"/>
  <c r="Y33" i="6"/>
  <c r="X33" i="6"/>
  <c r="W33" i="6"/>
  <c r="Y32" i="6"/>
  <c r="X32" i="6"/>
  <c r="W32" i="6"/>
  <c r="Y31" i="6"/>
  <c r="X31" i="6"/>
  <c r="W31" i="6"/>
  <c r="Y30" i="6"/>
  <c r="X30" i="6"/>
  <c r="W30" i="6"/>
  <c r="Y29" i="6"/>
  <c r="X29" i="6"/>
  <c r="W29" i="6"/>
  <c r="Y28" i="6"/>
  <c r="X28" i="6"/>
  <c r="W28" i="6"/>
  <c r="Y27" i="6"/>
  <c r="X27" i="6"/>
  <c r="W27" i="6"/>
  <c r="Y26" i="6"/>
  <c r="X26" i="6"/>
  <c r="W26" i="6"/>
  <c r="Y21" i="6"/>
  <c r="X21" i="6"/>
  <c r="W21" i="6"/>
  <c r="Y20" i="6"/>
  <c r="X20" i="6"/>
  <c r="W20" i="6"/>
  <c r="Y19" i="6"/>
  <c r="X19" i="6"/>
  <c r="W19" i="6"/>
  <c r="Y18" i="6"/>
  <c r="X18" i="6"/>
  <c r="W18" i="6"/>
  <c r="Y17" i="6"/>
  <c r="X17" i="6"/>
  <c r="W17" i="6"/>
  <c r="Y16" i="6"/>
  <c r="X16" i="6"/>
  <c r="W16" i="6"/>
  <c r="Y15" i="6"/>
  <c r="X15" i="6"/>
  <c r="W15" i="6"/>
  <c r="Y14" i="6"/>
  <c r="X14" i="6"/>
  <c r="W14" i="6"/>
  <c r="Y13" i="6"/>
  <c r="X13" i="6"/>
  <c r="W13" i="6"/>
  <c r="Y12" i="6"/>
  <c r="X12" i="6"/>
  <c r="W12" i="6"/>
  <c r="Y11" i="6"/>
  <c r="X11" i="6"/>
  <c r="W11" i="6"/>
  <c r="Y10" i="6"/>
  <c r="X10" i="6"/>
  <c r="W10" i="6"/>
  <c r="Y9" i="6"/>
  <c r="X9" i="6"/>
  <c r="W9" i="6"/>
  <c r="Y8" i="6"/>
  <c r="X8" i="6"/>
  <c r="W8" i="6"/>
  <c r="Z33" i="6"/>
  <c r="Z32" i="6"/>
  <c r="Z31" i="6"/>
  <c r="Z30" i="6"/>
  <c r="Z29" i="6"/>
  <c r="Z28" i="6"/>
  <c r="Z27" i="6"/>
  <c r="Z26" i="6"/>
  <c r="Z21" i="6"/>
  <c r="Z20" i="6"/>
  <c r="Z19" i="6"/>
  <c r="Z18" i="6"/>
  <c r="Z17" i="6"/>
  <c r="Z16" i="6"/>
  <c r="Z15" i="6"/>
  <c r="Z14" i="6"/>
  <c r="Z13" i="6"/>
  <c r="Z12" i="6"/>
  <c r="Z11" i="6"/>
  <c r="Z10" i="6"/>
  <c r="Z9" i="6"/>
  <c r="Z8" i="6"/>
  <c r="U33" i="6"/>
  <c r="T33" i="6"/>
  <c r="S33" i="6"/>
  <c r="R33" i="6"/>
  <c r="U32" i="6"/>
  <c r="T32" i="6"/>
  <c r="S32" i="6"/>
  <c r="R32" i="6"/>
  <c r="U31" i="6"/>
  <c r="T31" i="6"/>
  <c r="S31" i="6"/>
  <c r="R31" i="6"/>
  <c r="U30" i="6"/>
  <c r="T30" i="6"/>
  <c r="S30" i="6"/>
  <c r="R30" i="6"/>
  <c r="U29" i="6"/>
  <c r="T29" i="6"/>
  <c r="S29" i="6"/>
  <c r="R29" i="6"/>
  <c r="U28" i="6"/>
  <c r="T28" i="6"/>
  <c r="S28" i="6"/>
  <c r="R28" i="6"/>
  <c r="U27" i="6"/>
  <c r="T27" i="6"/>
  <c r="S27" i="6"/>
  <c r="R27" i="6"/>
  <c r="U26" i="6"/>
  <c r="T26" i="6"/>
  <c r="S26" i="6"/>
  <c r="R26" i="6"/>
  <c r="T21" i="6"/>
  <c r="S21" i="6"/>
  <c r="R21" i="6"/>
  <c r="T20" i="6"/>
  <c r="S20" i="6"/>
  <c r="R20" i="6"/>
  <c r="T19" i="6"/>
  <c r="S19" i="6"/>
  <c r="R19" i="6"/>
  <c r="T18" i="6"/>
  <c r="S18" i="6"/>
  <c r="R18" i="6"/>
  <c r="T17" i="6"/>
  <c r="S17" i="6"/>
  <c r="R17" i="6"/>
  <c r="T16" i="6"/>
  <c r="S16" i="6"/>
  <c r="R16" i="6"/>
  <c r="T15" i="6"/>
  <c r="S15" i="6"/>
  <c r="R15" i="6"/>
  <c r="T14" i="6"/>
  <c r="S14" i="6"/>
  <c r="R14" i="6"/>
  <c r="T13" i="6"/>
  <c r="S13" i="6"/>
  <c r="R13" i="6"/>
  <c r="T12" i="6"/>
  <c r="S12" i="6"/>
  <c r="R12" i="6"/>
  <c r="T11" i="6"/>
  <c r="S11" i="6"/>
  <c r="R11" i="6"/>
  <c r="T10" i="6"/>
  <c r="S10" i="6"/>
  <c r="R10" i="6"/>
  <c r="T9" i="6"/>
  <c r="S9" i="6"/>
  <c r="R9" i="6"/>
  <c r="T8" i="6"/>
  <c r="S8" i="6"/>
  <c r="R8" i="6"/>
  <c r="U21" i="6"/>
  <c r="U20" i="6"/>
  <c r="U19" i="6"/>
  <c r="U18" i="6"/>
  <c r="U17" i="6"/>
  <c r="U16" i="6"/>
  <c r="U15" i="6"/>
  <c r="U14" i="6"/>
  <c r="U13" i="6"/>
  <c r="U12" i="6"/>
  <c r="U11" i="6"/>
  <c r="U10" i="6"/>
  <c r="U9" i="6"/>
  <c r="U8" i="6"/>
  <c r="G9" i="6"/>
  <c r="H9" i="6"/>
  <c r="I9" i="6"/>
  <c r="J9" i="6"/>
  <c r="K9" i="6"/>
  <c r="L9" i="6"/>
  <c r="M9" i="6"/>
  <c r="N9" i="6"/>
  <c r="G10" i="6"/>
  <c r="H10" i="6"/>
  <c r="I10" i="6"/>
  <c r="J10" i="6"/>
  <c r="K10" i="6"/>
  <c r="L10" i="6"/>
  <c r="M10" i="6"/>
  <c r="N10" i="6"/>
  <c r="G11" i="6"/>
  <c r="H11" i="6"/>
  <c r="I11" i="6"/>
  <c r="J11" i="6"/>
  <c r="K11" i="6"/>
  <c r="L11" i="6"/>
  <c r="M11" i="6"/>
  <c r="N11" i="6"/>
  <c r="G12" i="6"/>
  <c r="H12" i="6"/>
  <c r="I12" i="6"/>
  <c r="J12" i="6"/>
  <c r="K12" i="6"/>
  <c r="L12" i="6"/>
  <c r="M12" i="6"/>
  <c r="N12" i="6"/>
  <c r="G13" i="6"/>
  <c r="H13" i="6"/>
  <c r="I13" i="6"/>
  <c r="J13" i="6"/>
  <c r="K13" i="6"/>
  <c r="L13" i="6"/>
  <c r="M13" i="6"/>
  <c r="N13" i="6"/>
  <c r="G14" i="6"/>
  <c r="H14" i="6"/>
  <c r="I14" i="6"/>
  <c r="J14" i="6"/>
  <c r="K14" i="6"/>
  <c r="L14" i="6"/>
  <c r="M14" i="6"/>
  <c r="N14" i="6"/>
  <c r="G15" i="6"/>
  <c r="H15" i="6"/>
  <c r="I15" i="6"/>
  <c r="J15" i="6"/>
  <c r="K15" i="6"/>
  <c r="L15" i="6"/>
  <c r="M15" i="6"/>
  <c r="N15" i="6"/>
  <c r="G16" i="6"/>
  <c r="H16" i="6"/>
  <c r="I16" i="6"/>
  <c r="J16" i="6"/>
  <c r="K16" i="6"/>
  <c r="L16" i="6"/>
  <c r="M16" i="6"/>
  <c r="N16" i="6"/>
  <c r="G17" i="6"/>
  <c r="H17" i="6"/>
  <c r="I17" i="6"/>
  <c r="J17" i="6"/>
  <c r="K17" i="6"/>
  <c r="L17" i="6"/>
  <c r="M17" i="6"/>
  <c r="N17" i="6"/>
  <c r="G18" i="6"/>
  <c r="H18" i="6"/>
  <c r="I18" i="6"/>
  <c r="J18" i="6"/>
  <c r="K18" i="6"/>
  <c r="L18" i="6"/>
  <c r="M18" i="6"/>
  <c r="N18" i="6"/>
  <c r="G19" i="6"/>
  <c r="H19" i="6"/>
  <c r="I19" i="6"/>
  <c r="J19" i="6"/>
  <c r="K19" i="6"/>
  <c r="L19" i="6"/>
  <c r="M19" i="6"/>
  <c r="N19" i="6"/>
  <c r="G20" i="6"/>
  <c r="H20" i="6"/>
  <c r="I20" i="6"/>
  <c r="J20" i="6"/>
  <c r="K20" i="6"/>
  <c r="L20" i="6"/>
  <c r="M20" i="6"/>
  <c r="N20" i="6"/>
  <c r="G21" i="6"/>
  <c r="H21" i="6"/>
  <c r="I21" i="6"/>
  <c r="J21" i="6"/>
  <c r="K21" i="6"/>
  <c r="L21" i="6"/>
  <c r="M21" i="6"/>
  <c r="N21" i="6"/>
  <c r="H8" i="6"/>
  <c r="I8" i="6"/>
  <c r="J8" i="6"/>
  <c r="K8" i="6"/>
  <c r="L8" i="6"/>
  <c r="M8" i="6"/>
  <c r="N8" i="6"/>
  <c r="G8" i="6"/>
  <c r="P9" i="6"/>
  <c r="P8" i="6"/>
  <c r="P11" i="6"/>
  <c r="P12" i="6"/>
  <c r="P13" i="6"/>
  <c r="P14" i="6"/>
  <c r="P15" i="6"/>
  <c r="P16" i="6"/>
  <c r="P17" i="6"/>
  <c r="P18" i="6"/>
  <c r="P19" i="6"/>
  <c r="P20" i="6"/>
  <c r="P10" i="6"/>
  <c r="E10" i="6"/>
  <c r="E21" i="6"/>
  <c r="D21" i="6"/>
  <c r="C21" i="6"/>
  <c r="C15" i="6"/>
  <c r="D15" i="6"/>
  <c r="E15" i="6"/>
  <c r="C16" i="6"/>
  <c r="D16" i="6"/>
  <c r="E16" i="6"/>
  <c r="C17" i="6"/>
  <c r="D17" i="6"/>
  <c r="E17" i="6"/>
  <c r="C18" i="6"/>
  <c r="D18" i="6"/>
  <c r="E18" i="6"/>
  <c r="C19" i="6"/>
  <c r="D19" i="6"/>
  <c r="E19" i="6"/>
  <c r="C20" i="6"/>
  <c r="D20" i="6"/>
  <c r="E20" i="6"/>
  <c r="E14" i="6"/>
  <c r="D14" i="6"/>
  <c r="C14" i="6"/>
  <c r="E13" i="6"/>
  <c r="D13" i="6"/>
  <c r="C13" i="6"/>
  <c r="E12" i="6"/>
  <c r="D12" i="6"/>
  <c r="C12" i="6"/>
  <c r="E11" i="6"/>
  <c r="D11" i="6"/>
  <c r="C11" i="6"/>
  <c r="D10" i="6"/>
  <c r="C10" i="6"/>
  <c r="E9" i="6"/>
  <c r="D9" i="6"/>
  <c r="C9" i="6"/>
  <c r="E8" i="6"/>
  <c r="D8" i="6"/>
  <c r="C8" i="6"/>
  <c r="C33" i="6"/>
  <c r="C32" i="6"/>
  <c r="C31" i="6"/>
  <c r="C30" i="6"/>
  <c r="C29" i="6"/>
  <c r="C28" i="6"/>
  <c r="C27" i="6"/>
  <c r="C26" i="6"/>
  <c r="E26" i="6"/>
  <c r="O21" i="6"/>
  <c r="O20" i="6"/>
  <c r="O19" i="6"/>
  <c r="O18" i="6"/>
  <c r="O17" i="6"/>
  <c r="O16" i="6"/>
  <c r="O15" i="6"/>
  <c r="O14" i="6"/>
  <c r="O13" i="6"/>
  <c r="O12" i="6"/>
  <c r="O11" i="6"/>
  <c r="O10" i="6"/>
  <c r="O9" i="6"/>
  <c r="O8" i="6"/>
  <c r="E33" i="6"/>
  <c r="E32" i="6"/>
  <c r="E31" i="6"/>
  <c r="E30" i="6"/>
  <c r="E29" i="6"/>
  <c r="E28" i="6"/>
  <c r="E27" i="6"/>
  <c r="D26" i="6"/>
  <c r="D34" i="6"/>
  <c r="D33" i="6"/>
  <c r="D32" i="6"/>
  <c r="D31" i="6"/>
  <c r="D30" i="6"/>
  <c r="D29" i="6"/>
  <c r="D28" i="6"/>
  <c r="D27" i="6"/>
  <c r="O27" i="6"/>
  <c r="O28" i="6"/>
  <c r="O29" i="6"/>
  <c r="O30" i="6"/>
  <c r="O31" i="6"/>
  <c r="O32" i="6"/>
  <c r="O33" i="6"/>
  <c r="O34" i="6"/>
  <c r="O26" i="6"/>
  <c r="G9" i="5"/>
  <c r="G8" i="5"/>
  <c r="F9" i="5"/>
  <c r="F8" i="5"/>
  <c r="P21" i="6"/>
  <c r="BB34" i="6"/>
  <c r="P34" i="5" l="1"/>
  <c r="E22" i="4"/>
  <c r="E23" i="4" s="1"/>
  <c r="AV36" i="4"/>
  <c r="AV36" i="6" s="1"/>
  <c r="M34" i="5"/>
  <c r="J34" i="5"/>
  <c r="U34" i="6"/>
  <c r="AV34" i="4"/>
  <c r="AV34" i="6" s="1"/>
  <c r="AV22" i="4"/>
  <c r="AV22" i="6" s="1"/>
  <c r="P22" i="5"/>
  <c r="P36" i="5"/>
  <c r="M22" i="5"/>
  <c r="M36" i="5"/>
  <c r="J22" i="5"/>
  <c r="J36" i="5"/>
  <c r="K22" i="5"/>
  <c r="AF34" i="6"/>
  <c r="X34" i="6"/>
  <c r="AP34" i="6"/>
  <c r="AQ34" i="6"/>
  <c r="T34" i="5"/>
  <c r="AU34" i="6"/>
  <c r="AS34" i="6"/>
  <c r="AT34" i="6"/>
  <c r="AN34" i="6"/>
  <c r="AO34" i="6"/>
  <c r="L36" i="5"/>
  <c r="Q22" i="5"/>
  <c r="R36" i="5"/>
  <c r="I22" i="5"/>
  <c r="I36" i="5"/>
  <c r="E22" i="5"/>
  <c r="E36" i="5"/>
  <c r="S36" i="6"/>
  <c r="AP22" i="6"/>
  <c r="AP36" i="6"/>
  <c r="AU36" i="6"/>
  <c r="AS36" i="6"/>
  <c r="AQ36" i="6"/>
  <c r="AN36" i="6"/>
  <c r="O22" i="5"/>
  <c r="O36" i="5"/>
  <c r="AT22" i="6"/>
  <c r="AO22" i="6"/>
  <c r="AT36" i="6"/>
  <c r="AO36" i="6"/>
  <c r="AU22" i="6"/>
  <c r="AS22" i="6"/>
  <c r="AQ22" i="6"/>
  <c r="AN22" i="6"/>
  <c r="AF22" i="6"/>
  <c r="S22" i="5"/>
  <c r="T22" i="5"/>
  <c r="H22" i="5"/>
  <c r="W22" i="6"/>
  <c r="T36" i="6"/>
  <c r="R36" i="6"/>
  <c r="P36" i="6"/>
  <c r="D36" i="5"/>
  <c r="H36" i="5"/>
  <c r="N36" i="5"/>
  <c r="S36" i="5"/>
  <c r="F34" i="5"/>
  <c r="K34" i="5"/>
  <c r="Q34" i="5"/>
  <c r="R34" i="6"/>
  <c r="U36" i="6"/>
  <c r="B22" i="5"/>
  <c r="C34" i="5"/>
  <c r="N22" i="5"/>
  <c r="AA34" i="6"/>
  <c r="T36" i="5"/>
  <c r="G34" i="5"/>
  <c r="L34" i="5"/>
  <c r="R34" i="5"/>
  <c r="C22" i="5"/>
  <c r="B36" i="5"/>
  <c r="D22" i="5"/>
  <c r="F36" i="5"/>
  <c r="K36" i="5"/>
  <c r="Q36" i="5"/>
  <c r="H34" i="5"/>
  <c r="N34" i="5"/>
  <c r="S34" i="5"/>
  <c r="B34" i="5"/>
  <c r="C36" i="5"/>
  <c r="F22" i="5"/>
  <c r="G36" i="5"/>
  <c r="I34" i="5"/>
  <c r="O34" i="5"/>
  <c r="O36" i="6"/>
  <c r="AD36" i="6"/>
  <c r="AH36" i="6"/>
  <c r="AH34" i="6"/>
  <c r="S34" i="6"/>
  <c r="S22" i="6"/>
  <c r="AA22" i="6"/>
  <c r="G22" i="5"/>
  <c r="L22" i="5"/>
  <c r="R22" i="5"/>
  <c r="AC22" i="6"/>
  <c r="Z22" i="6"/>
  <c r="Y22" i="6"/>
  <c r="AE22" i="6"/>
  <c r="X22" i="6"/>
  <c r="C36" i="6"/>
  <c r="M36" i="6"/>
  <c r="I36" i="6"/>
  <c r="D36" i="6"/>
  <c r="N36" i="6"/>
  <c r="J36" i="6"/>
  <c r="K36" i="6"/>
  <c r="G36" i="6"/>
  <c r="L36" i="6"/>
  <c r="H36" i="6"/>
  <c r="J22" i="6"/>
  <c r="M22" i="6"/>
  <c r="K22" i="6"/>
  <c r="O22" i="6"/>
  <c r="I22" i="6"/>
  <c r="AE34" i="6"/>
  <c r="AG34" i="6"/>
  <c r="AG36" i="6"/>
  <c r="AE36" i="6"/>
  <c r="AG22" i="6"/>
  <c r="AH22" i="6"/>
  <c r="AF36" i="6"/>
  <c r="AC34" i="6"/>
  <c r="AB34" i="6"/>
  <c r="AB36" i="6"/>
  <c r="AA36" i="6"/>
  <c r="AB22" i="6"/>
  <c r="AC36" i="6"/>
  <c r="AD22" i="6"/>
  <c r="Z36" i="6"/>
  <c r="Y34" i="6"/>
  <c r="Z34" i="6"/>
  <c r="X36" i="6"/>
  <c r="W34" i="6"/>
  <c r="W36" i="6"/>
  <c r="Y36" i="6"/>
  <c r="T22" i="6"/>
  <c r="T34" i="6"/>
  <c r="R22" i="6"/>
  <c r="U22" i="6"/>
  <c r="L22" i="6"/>
  <c r="H22" i="6"/>
  <c r="N22" i="6"/>
  <c r="G22" i="6"/>
  <c r="D22" i="6"/>
  <c r="C34" i="6"/>
  <c r="E36" i="6"/>
  <c r="E22" i="6" l="1"/>
  <c r="C22" i="6"/>
  <c r="P22" i="6"/>
  <c r="X5" i="5"/>
  <c r="B28" i="5"/>
  <c r="C28" i="5"/>
  <c r="B29" i="5"/>
  <c r="C29" i="5"/>
  <c r="B30" i="5"/>
  <c r="C30" i="5"/>
  <c r="B31" i="5"/>
  <c r="C31" i="5"/>
  <c r="B32" i="5"/>
  <c r="C32" i="5"/>
  <c r="B33" i="5"/>
  <c r="C33" i="5"/>
  <c r="C27" i="5"/>
  <c r="B27" i="5"/>
  <c r="C26" i="5"/>
  <c r="B26" i="5"/>
  <c r="B9" i="5"/>
  <c r="C9" i="5"/>
  <c r="B10" i="5"/>
  <c r="C10" i="5"/>
  <c r="B11" i="5"/>
  <c r="C11" i="5"/>
  <c r="B12" i="5"/>
  <c r="C12" i="5"/>
  <c r="B13" i="5"/>
  <c r="C13" i="5"/>
  <c r="B14" i="5"/>
  <c r="C14" i="5"/>
  <c r="B15" i="5"/>
  <c r="C15" i="5"/>
  <c r="B16" i="5"/>
  <c r="C16" i="5"/>
  <c r="B17" i="5"/>
  <c r="C17" i="5"/>
  <c r="B18" i="5"/>
  <c r="C18" i="5"/>
  <c r="B19" i="5"/>
  <c r="C19" i="5"/>
  <c r="B20" i="5"/>
  <c r="C20" i="5"/>
  <c r="B21" i="5"/>
  <c r="C21" i="5"/>
  <c r="C8" i="5"/>
  <c r="B8" i="5"/>
  <c r="T33" i="5"/>
  <c r="S33" i="5"/>
  <c r="R33" i="5"/>
  <c r="Q33" i="5"/>
  <c r="O33" i="5"/>
  <c r="N33" i="5"/>
  <c r="L33" i="5"/>
  <c r="K33" i="5"/>
  <c r="I33" i="5"/>
  <c r="H33" i="5"/>
  <c r="G33" i="5"/>
  <c r="F33" i="5"/>
  <c r="T32" i="5"/>
  <c r="S32" i="5"/>
  <c r="R32" i="5"/>
  <c r="Q32" i="5"/>
  <c r="O32" i="5"/>
  <c r="N32" i="5"/>
  <c r="L32" i="5"/>
  <c r="K32" i="5"/>
  <c r="I32" i="5"/>
  <c r="H32" i="5"/>
  <c r="G32" i="5"/>
  <c r="F32" i="5"/>
  <c r="T31" i="5"/>
  <c r="S31" i="5"/>
  <c r="R31" i="5"/>
  <c r="Q31" i="5"/>
  <c r="O31" i="5"/>
  <c r="N31" i="5"/>
  <c r="L31" i="5"/>
  <c r="K31" i="5"/>
  <c r="I31" i="5"/>
  <c r="H31" i="5"/>
  <c r="G31" i="5"/>
  <c r="F31" i="5"/>
  <c r="T30" i="5"/>
  <c r="S30" i="5"/>
  <c r="R30" i="5"/>
  <c r="Q30" i="5"/>
  <c r="O30" i="5"/>
  <c r="N30" i="5"/>
  <c r="L30" i="5"/>
  <c r="K30" i="5"/>
  <c r="I30" i="5"/>
  <c r="H30" i="5"/>
  <c r="G30" i="5"/>
  <c r="F30" i="5"/>
  <c r="T29" i="5"/>
  <c r="S29" i="5"/>
  <c r="R29" i="5"/>
  <c r="Q29" i="5"/>
  <c r="O29" i="5"/>
  <c r="N29" i="5"/>
  <c r="L29" i="5"/>
  <c r="K29" i="5"/>
  <c r="I29" i="5"/>
  <c r="H29" i="5"/>
  <c r="G29" i="5"/>
  <c r="F29" i="5"/>
  <c r="T28" i="5"/>
  <c r="S28" i="5"/>
  <c r="R28" i="5"/>
  <c r="Q28" i="5"/>
  <c r="O28" i="5"/>
  <c r="N28" i="5"/>
  <c r="L28" i="5"/>
  <c r="K28" i="5"/>
  <c r="I28" i="5"/>
  <c r="H28" i="5"/>
  <c r="G28" i="5"/>
  <c r="F28" i="5"/>
  <c r="T27" i="5"/>
  <c r="S27" i="5"/>
  <c r="R27" i="5"/>
  <c r="Q27" i="5"/>
  <c r="O27" i="5"/>
  <c r="N27" i="5"/>
  <c r="L27" i="5"/>
  <c r="K27" i="5"/>
  <c r="I27" i="5"/>
  <c r="H27" i="5"/>
  <c r="G27" i="5"/>
  <c r="F27" i="5"/>
  <c r="T26" i="5"/>
  <c r="S26" i="5"/>
  <c r="R26" i="5"/>
  <c r="Q26" i="5"/>
  <c r="O26" i="5"/>
  <c r="N26" i="5"/>
  <c r="L26" i="5"/>
  <c r="K26" i="5"/>
  <c r="I26" i="5"/>
  <c r="H26" i="5"/>
  <c r="G26" i="5"/>
  <c r="F26" i="5"/>
  <c r="AW10" i="4"/>
  <c r="AW11" i="4"/>
  <c r="AW12" i="4"/>
  <c r="AW13" i="4"/>
  <c r="AW14" i="4"/>
  <c r="AW15" i="4"/>
  <c r="AW16" i="4"/>
  <c r="AW18" i="4"/>
  <c r="AW19" i="4"/>
  <c r="AW20" i="4"/>
  <c r="AW21" i="4"/>
  <c r="AW8" i="4"/>
  <c r="AX22" i="6"/>
  <c r="S8" i="5"/>
  <c r="S9" i="5"/>
  <c r="T9" i="5"/>
  <c r="S10" i="5"/>
  <c r="T10" i="5"/>
  <c r="S11" i="5"/>
  <c r="T11" i="5"/>
  <c r="S12" i="5"/>
  <c r="T12" i="5"/>
  <c r="S13" i="5"/>
  <c r="T13" i="5"/>
  <c r="S14" i="5"/>
  <c r="T14" i="5"/>
  <c r="S15" i="5"/>
  <c r="T15" i="5"/>
  <c r="S16" i="5"/>
  <c r="T16" i="5"/>
  <c r="S17" i="5"/>
  <c r="T17" i="5"/>
  <c r="S18" i="5"/>
  <c r="T18" i="5"/>
  <c r="S19" i="5"/>
  <c r="T19" i="5"/>
  <c r="S20" i="5"/>
  <c r="T20" i="5"/>
  <c r="S21" i="5"/>
  <c r="T21" i="5"/>
  <c r="Q9" i="5"/>
  <c r="R9" i="5"/>
  <c r="Q10" i="5"/>
  <c r="R10" i="5"/>
  <c r="Q11" i="5"/>
  <c r="R11" i="5"/>
  <c r="Q12" i="5"/>
  <c r="R12" i="5"/>
  <c r="Q13" i="5"/>
  <c r="R13" i="5"/>
  <c r="Q14" i="5"/>
  <c r="R14" i="5"/>
  <c r="Q15" i="5"/>
  <c r="R15" i="5"/>
  <c r="Q16" i="5"/>
  <c r="R16" i="5"/>
  <c r="Q17" i="5"/>
  <c r="R17" i="5"/>
  <c r="Q18" i="5"/>
  <c r="R18" i="5"/>
  <c r="Q19" i="5"/>
  <c r="R19" i="5"/>
  <c r="Q20" i="5"/>
  <c r="R20" i="5"/>
  <c r="Q21" i="5"/>
  <c r="R21" i="5"/>
  <c r="N9" i="5"/>
  <c r="O9" i="5"/>
  <c r="N10" i="5"/>
  <c r="O10" i="5"/>
  <c r="N11" i="5"/>
  <c r="O11" i="5"/>
  <c r="N12" i="5"/>
  <c r="O12" i="5"/>
  <c r="N13" i="5"/>
  <c r="O13" i="5"/>
  <c r="N14" i="5"/>
  <c r="O14" i="5"/>
  <c r="N15" i="5"/>
  <c r="O15" i="5"/>
  <c r="N16" i="5"/>
  <c r="O16" i="5"/>
  <c r="N17" i="5"/>
  <c r="O17" i="5"/>
  <c r="N18" i="5"/>
  <c r="O18" i="5"/>
  <c r="N19" i="5"/>
  <c r="O19" i="5"/>
  <c r="N20" i="5"/>
  <c r="O20" i="5"/>
  <c r="N21" i="5"/>
  <c r="O21" i="5"/>
  <c r="T8" i="5"/>
  <c r="R8" i="5"/>
  <c r="Q8" i="5"/>
  <c r="O8" i="5"/>
  <c r="N8" i="5"/>
  <c r="K9" i="5"/>
  <c r="L9" i="5"/>
  <c r="K10" i="5"/>
  <c r="L10" i="5"/>
  <c r="K11" i="5"/>
  <c r="L11" i="5"/>
  <c r="K12" i="5"/>
  <c r="L12" i="5"/>
  <c r="K13" i="5"/>
  <c r="L13" i="5"/>
  <c r="K14" i="5"/>
  <c r="L14" i="5"/>
  <c r="K15" i="5"/>
  <c r="L15" i="5"/>
  <c r="K16" i="5"/>
  <c r="L16" i="5"/>
  <c r="K17" i="5"/>
  <c r="L17" i="5"/>
  <c r="K18" i="5"/>
  <c r="L18" i="5"/>
  <c r="K19" i="5"/>
  <c r="L19" i="5"/>
  <c r="K20" i="5"/>
  <c r="L20" i="5"/>
  <c r="K21" i="5"/>
  <c r="L21" i="5"/>
  <c r="L8" i="5"/>
  <c r="K8" i="5"/>
  <c r="H9" i="5"/>
  <c r="H10" i="5"/>
  <c r="H11" i="5"/>
  <c r="H12" i="5"/>
  <c r="H13" i="5"/>
  <c r="H14" i="5"/>
  <c r="H15" i="5"/>
  <c r="H16" i="5"/>
  <c r="H17" i="5"/>
  <c r="H18" i="5"/>
  <c r="H19" i="5"/>
  <c r="H20" i="5"/>
  <c r="H21" i="5"/>
  <c r="I9" i="5"/>
  <c r="I10" i="5"/>
  <c r="I11" i="5"/>
  <c r="I12" i="5"/>
  <c r="I13" i="5"/>
  <c r="I14" i="5"/>
  <c r="I15" i="5"/>
  <c r="I16" i="5"/>
  <c r="I17" i="5"/>
  <c r="I18" i="5"/>
  <c r="I19" i="5"/>
  <c r="I20" i="5"/>
  <c r="I21" i="5"/>
  <c r="I8" i="5"/>
  <c r="H8" i="5"/>
  <c r="G10" i="5"/>
  <c r="G11" i="5"/>
  <c r="G12" i="5"/>
  <c r="G13" i="5"/>
  <c r="G14" i="5"/>
  <c r="G15" i="5"/>
  <c r="G16" i="5"/>
  <c r="G17" i="5"/>
  <c r="G18" i="5"/>
  <c r="G19" i="5"/>
  <c r="G20" i="5"/>
  <c r="G21" i="5"/>
  <c r="E8" i="5"/>
  <c r="F10" i="5"/>
  <c r="F11" i="5"/>
  <c r="F12" i="5"/>
  <c r="F13" i="5"/>
  <c r="F14" i="5"/>
  <c r="F15" i="5"/>
  <c r="F16" i="5"/>
  <c r="F17" i="5"/>
  <c r="F18" i="5"/>
  <c r="F19" i="5"/>
  <c r="F20" i="5"/>
  <c r="F21" i="5"/>
  <c r="D8" i="5"/>
  <c r="D9" i="5"/>
  <c r="E9" i="5"/>
  <c r="D10" i="5"/>
  <c r="E10" i="5"/>
  <c r="D11" i="5"/>
  <c r="E11" i="5"/>
  <c r="D12" i="5"/>
  <c r="E12" i="5"/>
  <c r="D13" i="5"/>
  <c r="E13" i="5"/>
  <c r="D14" i="5"/>
  <c r="E14" i="5"/>
  <c r="D15" i="5"/>
  <c r="E15" i="5"/>
  <c r="D16" i="5"/>
  <c r="E16" i="5"/>
  <c r="D17" i="5"/>
  <c r="E17" i="5"/>
  <c r="D18" i="5"/>
  <c r="E18" i="5"/>
  <c r="D19" i="5"/>
  <c r="E19" i="5"/>
  <c r="D20" i="5"/>
  <c r="E20" i="5"/>
  <c r="D21" i="5"/>
  <c r="E21" i="5"/>
  <c r="A23" i="5"/>
  <c r="A36" i="5"/>
  <c r="A34" i="5"/>
  <c r="A32" i="5"/>
  <c r="A33" i="5"/>
  <c r="X8" i="5" l="1"/>
  <c r="AZ8" i="4" s="1"/>
  <c r="X27" i="5"/>
  <c r="AZ27" i="4" s="1"/>
  <c r="X20" i="5"/>
  <c r="AZ20" i="4" s="1"/>
  <c r="X16" i="5"/>
  <c r="AZ16" i="4" s="1"/>
  <c r="X12" i="5"/>
  <c r="AZ12" i="4" s="1"/>
  <c r="X31" i="5"/>
  <c r="AZ31" i="4" s="1"/>
  <c r="X19" i="5"/>
  <c r="AZ19" i="4" s="1"/>
  <c r="X15" i="5"/>
  <c r="AZ15" i="4" s="1"/>
  <c r="X11" i="5"/>
  <c r="AZ11" i="4" s="1"/>
  <c r="X30" i="5"/>
  <c r="AZ30" i="4" s="1"/>
  <c r="X18" i="5"/>
  <c r="AZ18" i="4" s="1"/>
  <c r="X14" i="5"/>
  <c r="AZ14" i="4" s="1"/>
  <c r="X10" i="5"/>
  <c r="AZ10" i="4" s="1"/>
  <c r="X26" i="5"/>
  <c r="AZ26" i="4" s="1"/>
  <c r="X33" i="5"/>
  <c r="AZ33" i="4" s="1"/>
  <c r="X29" i="5"/>
  <c r="AZ29" i="4" s="1"/>
  <c r="X21" i="5"/>
  <c r="AZ21" i="4" s="1"/>
  <c r="X17" i="5"/>
  <c r="AZ17" i="4" s="1"/>
  <c r="X13" i="5"/>
  <c r="AZ13" i="4" s="1"/>
  <c r="X9" i="5"/>
  <c r="AZ9" i="4" s="1"/>
  <c r="X32" i="5"/>
  <c r="AZ32" i="4" s="1"/>
  <c r="X28" i="5"/>
  <c r="AZ28" i="4" s="1"/>
  <c r="AH23" i="4"/>
  <c r="AG23" i="4"/>
  <c r="O23" i="4"/>
  <c r="AU23" i="4"/>
  <c r="AT23" i="4"/>
  <c r="AQ23" i="4"/>
  <c r="AP23" i="4"/>
  <c r="AD23" i="4"/>
  <c r="Z23" i="4"/>
  <c r="BA27" i="6"/>
  <c r="AJ27" i="6"/>
  <c r="AK27" i="6"/>
  <c r="AL27" i="6"/>
  <c r="AJ28" i="6"/>
  <c r="AK28" i="6"/>
  <c r="AL28" i="6"/>
  <c r="AJ29" i="6"/>
  <c r="AK29" i="6"/>
  <c r="AL29" i="6"/>
  <c r="AJ30" i="6"/>
  <c r="AK30" i="6"/>
  <c r="AL30" i="6"/>
  <c r="AJ31" i="6"/>
  <c r="AK31" i="6"/>
  <c r="AL31" i="6"/>
  <c r="AJ32" i="6"/>
  <c r="AK32" i="6"/>
  <c r="AL32" i="6"/>
  <c r="AJ33" i="6"/>
  <c r="AK33" i="6"/>
  <c r="AL33" i="6"/>
  <c r="AL26" i="6"/>
  <c r="AK26" i="6"/>
  <c r="AJ26" i="6"/>
  <c r="BB22" i="6" l="1"/>
  <c r="AZ22" i="6"/>
  <c r="A31" i="5"/>
  <c r="A30" i="5"/>
  <c r="A29" i="5"/>
  <c r="A28" i="5"/>
  <c r="A27" i="5"/>
  <c r="A26" i="5"/>
  <c r="I58" i="7"/>
  <c r="I57" i="7"/>
  <c r="I59" i="7"/>
  <c r="I68" i="7"/>
  <c r="I69" i="7"/>
  <c r="J18" i="7"/>
  <c r="J17" i="7"/>
  <c r="J45" i="7"/>
  <c r="J38" i="7"/>
  <c r="J31" i="7"/>
  <c r="J16" i="7"/>
  <c r="J7" i="7"/>
  <c r="I70" i="7" l="1"/>
  <c r="X34" i="5" l="1"/>
  <c r="AZ34" i="4" s="1"/>
  <c r="J6" i="7"/>
  <c r="J19" i="7" l="1"/>
  <c r="K17" i="7" s="1"/>
  <c r="AY28" i="6"/>
  <c r="K16" i="7" l="1"/>
  <c r="K18" i="7"/>
  <c r="A39" i="6" l="1"/>
  <c r="A38" i="6"/>
  <c r="AL21" i="6" l="1"/>
  <c r="AK21" i="6"/>
  <c r="AJ21" i="6"/>
  <c r="AL20" i="6"/>
  <c r="AK20" i="6"/>
  <c r="AJ20" i="6"/>
  <c r="AL19" i="6"/>
  <c r="AK19" i="6"/>
  <c r="AJ19" i="6"/>
  <c r="AL18" i="6"/>
  <c r="AK18" i="6"/>
  <c r="AJ18" i="6"/>
  <c r="AL17" i="6"/>
  <c r="AK17" i="6"/>
  <c r="AJ17" i="6"/>
  <c r="AL16" i="6"/>
  <c r="AK16" i="6"/>
  <c r="AJ16" i="6"/>
  <c r="AL15" i="6"/>
  <c r="AK15" i="6"/>
  <c r="AJ15" i="6"/>
  <c r="AL14" i="6"/>
  <c r="AK14" i="6"/>
  <c r="AJ14" i="6"/>
  <c r="AL13" i="6"/>
  <c r="AK13" i="6"/>
  <c r="AJ13" i="6"/>
  <c r="AL12" i="6"/>
  <c r="AK12" i="6"/>
  <c r="AJ12" i="6"/>
  <c r="AL11" i="6"/>
  <c r="AK11" i="6"/>
  <c r="AJ11" i="6"/>
  <c r="AL10" i="6"/>
  <c r="AK10" i="6"/>
  <c r="AJ10" i="6"/>
  <c r="AL9" i="6"/>
  <c r="AK9" i="6"/>
  <c r="AJ9" i="6"/>
  <c r="AL8" i="6"/>
  <c r="AK8" i="6"/>
  <c r="AJ8" i="6"/>
  <c r="BA33" i="6"/>
  <c r="BA32" i="6"/>
  <c r="BA31" i="6"/>
  <c r="BA21" i="6"/>
  <c r="BA19" i="6"/>
  <c r="BA18" i="6"/>
  <c r="BA30" i="6"/>
  <c r="BA29" i="6"/>
  <c r="BA11" i="6"/>
  <c r="BA28" i="6"/>
  <c r="BA9" i="6"/>
  <c r="BA26" i="6"/>
  <c r="BC33" i="6"/>
  <c r="BC32" i="6"/>
  <c r="BC31" i="6"/>
  <c r="BC19" i="6"/>
  <c r="BC30" i="6"/>
  <c r="BC29" i="6"/>
  <c r="BC28" i="6"/>
  <c r="BC27" i="6"/>
  <c r="AY33" i="6"/>
  <c r="AY20" i="6"/>
  <c r="AY19" i="6"/>
  <c r="AY18" i="6"/>
  <c r="AY17" i="6"/>
  <c r="AY16" i="6"/>
  <c r="AY15" i="6"/>
  <c r="AY14" i="6"/>
  <c r="AY13" i="6"/>
  <c r="AY12" i="6"/>
  <c r="BC11" i="6"/>
  <c r="AY10" i="6"/>
  <c r="AY9" i="6"/>
  <c r="AY26" i="6"/>
  <c r="AY32" i="6"/>
  <c r="AY31" i="6"/>
  <c r="AY30" i="6"/>
  <c r="AY29" i="6"/>
  <c r="AY27" i="6"/>
  <c r="BC8" i="6" l="1"/>
  <c r="AY11" i="6"/>
  <c r="BC21" i="6"/>
  <c r="AY21" i="6"/>
  <c r="AY8" i="6"/>
  <c r="BC13" i="6"/>
  <c r="BC26" i="6"/>
  <c r="BC34" i="6" s="1"/>
  <c r="BA17" i="6"/>
  <c r="BA20" i="6"/>
  <c r="BC10" i="6"/>
  <c r="BA12" i="6"/>
  <c r="BA15" i="6"/>
  <c r="BC17" i="6"/>
  <c r="BA14" i="6"/>
  <c r="BC14" i="6"/>
  <c r="BA8" i="6"/>
  <c r="BC16" i="6"/>
  <c r="BC20" i="6"/>
  <c r="BA10" i="6"/>
  <c r="BA13" i="6"/>
  <c r="BA16" i="6"/>
  <c r="BC9" i="6"/>
  <c r="BC12" i="6"/>
  <c r="BC15" i="6"/>
  <c r="BC18" i="6"/>
  <c r="AY36" i="6" l="1"/>
  <c r="BC36" i="6"/>
  <c r="BA36" i="6"/>
  <c r="AY22" i="6"/>
  <c r="BA22" i="6"/>
  <c r="BC22" i="6"/>
  <c r="AI27" i="6" l="1"/>
  <c r="AI26" i="6"/>
  <c r="AI8" i="6"/>
  <c r="AI10" i="6"/>
  <c r="AI13" i="6"/>
  <c r="AI15" i="6"/>
  <c r="AI18" i="6"/>
  <c r="AI31" i="6"/>
  <c r="AI9" i="6"/>
  <c r="AI12" i="6"/>
  <c r="AI29" i="6"/>
  <c r="AI30" i="6"/>
  <c r="AI21" i="6"/>
  <c r="AI28" i="6"/>
  <c r="AI14" i="6"/>
  <c r="AI16" i="6"/>
  <c r="AI19" i="6"/>
  <c r="AI32" i="6"/>
  <c r="AI11" i="6"/>
  <c r="AI17" i="6"/>
  <c r="AI20" i="6"/>
  <c r="AI33" i="6"/>
  <c r="A22" i="5" l="1"/>
  <c r="A20" i="5"/>
  <c r="A21" i="5"/>
  <c r="A8" i="5"/>
  <c r="A9" i="5"/>
  <c r="A10" i="5"/>
  <c r="A11" i="5"/>
  <c r="A12" i="5"/>
  <c r="A13" i="5"/>
  <c r="A14" i="5"/>
  <c r="A15" i="5"/>
  <c r="A16" i="5"/>
  <c r="A17" i="5"/>
  <c r="A18" i="5"/>
  <c r="A19" i="5"/>
  <c r="A5" i="5"/>
  <c r="K23" i="4"/>
  <c r="L23" i="4"/>
  <c r="M23" i="4"/>
  <c r="N23" i="4"/>
  <c r="P23" i="4"/>
  <c r="U23" i="4"/>
  <c r="R23" i="4"/>
  <c r="S23" i="4"/>
  <c r="T23" i="4"/>
  <c r="W23" i="4"/>
  <c r="X23" i="4"/>
  <c r="Y23" i="4"/>
  <c r="AA23" i="4"/>
  <c r="AB23" i="4"/>
  <c r="AC23" i="4"/>
  <c r="AE23" i="4"/>
  <c r="AF23" i="4"/>
  <c r="AJ23" i="4"/>
  <c r="AK23" i="4"/>
  <c r="AL23" i="4"/>
  <c r="AN23" i="4"/>
  <c r="AO23" i="4"/>
  <c r="AS23" i="4"/>
  <c r="C23" i="4"/>
  <c r="J8" i="7" l="1"/>
  <c r="J9" i="7" s="1"/>
  <c r="X22" i="5" l="1"/>
  <c r="J43" i="7"/>
  <c r="K43" i="7" s="1"/>
  <c r="J36" i="7"/>
  <c r="K36" i="7" s="1"/>
  <c r="J42" i="7"/>
  <c r="K42" i="7" s="1"/>
  <c r="J44" i="7"/>
  <c r="K44" i="7" s="1"/>
  <c r="J37" i="7"/>
  <c r="K37" i="7" s="1"/>
  <c r="J69" i="7"/>
  <c r="K69" i="7" s="1"/>
  <c r="J68" i="7"/>
  <c r="K68" i="7" s="1"/>
  <c r="J35" i="7"/>
  <c r="K35" i="7" s="1"/>
  <c r="J59" i="7"/>
  <c r="K59" i="7" s="1"/>
  <c r="J30" i="7"/>
  <c r="K30" i="7" s="1"/>
  <c r="J58" i="7"/>
  <c r="K58" i="7" s="1"/>
  <c r="J29" i="7"/>
  <c r="K29" i="7" s="1"/>
  <c r="J57" i="7"/>
  <c r="K57" i="7" s="1"/>
  <c r="J28" i="7"/>
  <c r="K28" i="7" s="1"/>
  <c r="AI22" i="6"/>
  <c r="AZ6" i="4"/>
  <c r="S37" i="6"/>
  <c r="U37" i="6"/>
  <c r="W37" i="6"/>
  <c r="Y37" i="6"/>
  <c r="AA37" i="6"/>
  <c r="T37" i="6"/>
  <c r="E37" i="6"/>
  <c r="R37" i="6"/>
  <c r="AE37" i="6"/>
  <c r="X37" i="6"/>
  <c r="Z37" i="6"/>
  <c r="AZ36" i="6"/>
  <c r="AO37" i="6"/>
  <c r="AT37" i="6"/>
  <c r="AN37" i="6"/>
  <c r="AG37" i="6"/>
  <c r="AB37" i="6"/>
  <c r="AF37" i="6"/>
  <c r="BB36" i="6"/>
  <c r="AS37" i="6"/>
  <c r="AD37" i="6"/>
  <c r="AK37" i="6"/>
  <c r="AP37" i="6"/>
  <c r="AJ37" i="6"/>
  <c r="AL37" i="6"/>
  <c r="X36" i="5" l="1"/>
  <c r="AI36" i="6"/>
  <c r="AX36" i="6"/>
</calcChain>
</file>

<file path=xl/sharedStrings.xml><?xml version="1.0" encoding="utf-8"?>
<sst xmlns="http://schemas.openxmlformats.org/spreadsheetml/2006/main" count="651" uniqueCount="235">
  <si>
    <t>Indicator Five  - Complaints closed at each stage</t>
  </si>
  <si>
    <t>Indicator Six – Complaints upheld, partially upheld and not upheld</t>
  </si>
  <si>
    <t>Indicator Nine – Number of cases where an extension is authorised</t>
  </si>
  <si>
    <t>Complaints
1st April 2017 to 31 March 2018</t>
  </si>
  <si>
    <t>NHS Ayrshire and Arran</t>
  </si>
  <si>
    <t>NHS Borders</t>
  </si>
  <si>
    <t>NHS Dumfries and Galloway</t>
  </si>
  <si>
    <t>NHS Fife</t>
  </si>
  <si>
    <t>NHS Forth Valley</t>
  </si>
  <si>
    <t>NHS Grampian</t>
  </si>
  <si>
    <t>NHS Greater Glasgow and Clyde</t>
  </si>
  <si>
    <t>NHS Highland</t>
  </si>
  <si>
    <t>NHS Lanarkshire</t>
  </si>
  <si>
    <t>NHS Lothian</t>
  </si>
  <si>
    <t>NHS Orkney</t>
  </si>
  <si>
    <t>NHS Shetland</t>
  </si>
  <si>
    <t>NHS Tayside</t>
  </si>
  <si>
    <t>NHS Western Isles</t>
  </si>
  <si>
    <t>NHS Education for Scotland</t>
  </si>
  <si>
    <t>NHS Health Scotland</t>
  </si>
  <si>
    <t>NHS24</t>
  </si>
  <si>
    <t>Scottish Ambulance Service</t>
  </si>
  <si>
    <t>NHS National Services Scotland</t>
  </si>
  <si>
    <t>Healthcare Improvement Scotland</t>
  </si>
  <si>
    <t>Indicator Four - The total number and breakdown of complaints received</t>
  </si>
  <si>
    <r>
      <t xml:space="preserve">Indicator Eight – Complaints </t>
    </r>
    <r>
      <rPr>
        <b/>
        <u/>
        <sz val="12"/>
        <color rgb="FF000000"/>
        <rFont val="Calibri"/>
        <family val="2"/>
      </rPr>
      <t>closed in full</t>
    </r>
    <r>
      <rPr>
        <b/>
        <sz val="12"/>
        <color rgb="FF000000"/>
        <rFont val="Calibri"/>
        <family val="2"/>
      </rPr>
      <t xml:space="preserve"> within the timescales</t>
    </r>
  </si>
  <si>
    <t>Indicator Seven - The average time in working days to close complaints at Stage One and complaints at Stage Two</t>
  </si>
  <si>
    <r>
      <t xml:space="preserve">7c - The average time in working days to respond to complaints </t>
    </r>
    <r>
      <rPr>
        <sz val="10"/>
        <color rgb="FFFF0000"/>
        <rFont val="Calibri"/>
        <family val="2"/>
      </rPr>
      <t>after escalation</t>
    </r>
  </si>
  <si>
    <t>6a, 6b and 6c should add up to 5a.</t>
  </si>
  <si>
    <t>6d, 6e and 6f should add up to 5b.</t>
  </si>
  <si>
    <t>6g, 6h and 6i should add up to 5c.</t>
  </si>
  <si>
    <t>The total for KPI 8 &amp; 9 should equal the total for KPI 5. (The total for 5a should equal 8a plus 9a).</t>
  </si>
  <si>
    <t>Notes: (Linda please check these notes, I added to the column headings)</t>
  </si>
  <si>
    <r>
      <t xml:space="preserve">7a -The average time in working days to close complaints at </t>
    </r>
    <r>
      <rPr>
        <sz val="10"/>
        <color rgb="FFFF0000"/>
        <rFont val="Calibri"/>
        <family val="2"/>
      </rPr>
      <t>Stage One</t>
    </r>
  </si>
  <si>
    <t>-</t>
  </si>
  <si>
    <t>Example</t>
  </si>
  <si>
    <t>Entries missing</t>
  </si>
  <si>
    <t>The State Hospitals Board for Scotland</t>
  </si>
  <si>
    <t>Total number of complaints received in territorial boards</t>
  </si>
  <si>
    <t>not</t>
  </si>
  <si>
    <t>territorial</t>
  </si>
  <si>
    <t>Territorial board or not (used to calculate: Acute hospital service, number of complaints as a percentage of total number of complaints)</t>
  </si>
  <si>
    <t>Prison in Board or not</t>
  </si>
  <si>
    <t>Prison</t>
  </si>
  <si>
    <t>Acute or not</t>
  </si>
  <si>
    <t>acute</t>
  </si>
  <si>
    <r>
      <rPr>
        <b/>
        <sz val="10"/>
        <color theme="1"/>
        <rFont val="Calibri"/>
        <family val="2"/>
      </rPr>
      <t>Prison</t>
    </r>
    <r>
      <rPr>
        <sz val="10"/>
        <color theme="1"/>
        <rFont val="Calibri"/>
        <family val="2"/>
      </rPr>
      <t xml:space="preserve">
Complaints as a percentage of total complaints
</t>
    </r>
  </si>
  <si>
    <t>National figures</t>
  </si>
  <si>
    <t xml:space="preserve"> </t>
  </si>
  <si>
    <t>Number of complaints from Boards with a prison</t>
  </si>
  <si>
    <t>Number of complaints from acute hospitals</t>
  </si>
  <si>
    <t>Used to build logic formulae for Indicator 4</t>
  </si>
  <si>
    <t>n/a</t>
  </si>
  <si>
    <r>
      <t xml:space="preserve">7b - The average time in working days to respond to complaints at </t>
    </r>
    <r>
      <rPr>
        <sz val="10"/>
        <color rgb="FFFF0000"/>
        <rFont val="Calibri"/>
        <family val="2"/>
      </rPr>
      <t>Stage Two (Non-escalated)</t>
    </r>
  </si>
  <si>
    <t>Performance Indicator Four:</t>
  </si>
  <si>
    <t>The total number of complaints received</t>
  </si>
  <si>
    <t>Number of complaints received by the NHS Territorial Boards</t>
  </si>
  <si>
    <t>Number of complaints received by the NHS Special Boards</t>
  </si>
  <si>
    <t>Number of complaints received by NHS Contractors</t>
  </si>
  <si>
    <t>Total number of complaints received by NHS Scotland</t>
  </si>
  <si>
    <t>Performance Indicator Five:</t>
  </si>
  <si>
    <t>The total number of complaints closed by NHS Boards</t>
  </si>
  <si>
    <t>Total number of complaints closed by the NHS Board (excludes contractors)</t>
  </si>
  <si>
    <t>Number</t>
  </si>
  <si>
    <t>As a % of all complaints closed</t>
  </si>
  <si>
    <t>Stage one</t>
  </si>
  <si>
    <t>Stage two</t>
  </si>
  <si>
    <t>Stage two after escalation</t>
  </si>
  <si>
    <t>Total complaints closed by NHS Boards</t>
  </si>
  <si>
    <t>Performance Indicator Six:</t>
  </si>
  <si>
    <t>Complaints upheld, partially upheld and not upheld</t>
  </si>
  <si>
    <t>Stage one complaints</t>
  </si>
  <si>
    <t>As a % of all complaints closed at stage one</t>
  </si>
  <si>
    <t>Number of complaints upheld at stage one</t>
  </si>
  <si>
    <t>Number of complaints not upheld at stage one</t>
  </si>
  <si>
    <t>Number of complaints partially upheld at stage one</t>
  </si>
  <si>
    <t>Stage two complaints</t>
  </si>
  <si>
    <t>As a % of all complaints closed at stage two</t>
  </si>
  <si>
    <t>Number of complaints upheld at stage two</t>
  </si>
  <si>
    <t>Number of complaints not upheld at stage two</t>
  </si>
  <si>
    <t>Number of complaints partially upheld at stage two</t>
  </si>
  <si>
    <t>Stage two escalated complaints</t>
  </si>
  <si>
    <t>As a % of all escalated complaints closed at stage two</t>
  </si>
  <si>
    <t>Number of escalated complaints upheld at stage two</t>
  </si>
  <si>
    <t>Number of escalated complaints not upheld at stage two</t>
  </si>
  <si>
    <t>Number of escalated complaints partially upheld at stage two</t>
  </si>
  <si>
    <t>Performance Indicator Seven:</t>
  </si>
  <si>
    <t>This indicator cannot be reported at national level.</t>
  </si>
  <si>
    <t>Performance Indicator Eight:</t>
  </si>
  <si>
    <t>Complaints closed in full within the timescales.</t>
  </si>
  <si>
    <t>This indicator measures complaints closed within 5 working days at stage one and 20 working days at stage two.</t>
  </si>
  <si>
    <t>As a % of complaints closed at each stage</t>
  </si>
  <si>
    <t>Number of complaints closed at stage one within 5 working days</t>
  </si>
  <si>
    <t>Number of complaints closed at stage two within 20 working days</t>
  </si>
  <si>
    <t>Number of escalated complaints closed at stage two within 20 working days</t>
  </si>
  <si>
    <t>Performance Indicator Nine:</t>
  </si>
  <si>
    <t>Number of cases where an extension is authorised.</t>
  </si>
  <si>
    <t>This indicator measures the number of complaints not closed within the CHP timescale, where an extension was authorised.</t>
  </si>
  <si>
    <t>Number of complaints closed at stage one where extension was authorised</t>
  </si>
  <si>
    <t>Number of complaints closed at stage two where extension was authorised</t>
  </si>
  <si>
    <t>&lt;------------------------------------------VISIBLE------------------------------------------------------&gt;</t>
  </si>
  <si>
    <t>&lt;------INVISIBLE CALCULATIONS------&gt;</t>
  </si>
  <si>
    <t>Nbr of all complaints closed at stage one</t>
  </si>
  <si>
    <t>Nbr of all complaints closed at stage two</t>
  </si>
  <si>
    <t>Nbr of all escalated complaints closed at stage two</t>
  </si>
  <si>
    <t>Nbr of complaints closed at each stage</t>
  </si>
  <si>
    <t>Nbr of complaints closed at each stage and period</t>
  </si>
  <si>
    <t>H:\[FINAL WORKING COPY - 2019 04 02 NHS - Collated Complaints 2018-19 v2.xlsx]Analyst Calculations</t>
  </si>
  <si>
    <t>filepath and name  of this file, (currently with 2017-18 numbers):</t>
  </si>
  <si>
    <t>NHS Territorial Boards</t>
  </si>
  <si>
    <t>NHS Special Boards</t>
  </si>
  <si>
    <t>Combined Total</t>
  </si>
  <si>
    <t>Total</t>
  </si>
  <si>
    <t>| &lt;------Board Managed Primary Care services---------&gt; |</t>
  </si>
  <si>
    <t>| &lt;---Independent Contractors Primary Care services---&gt; |</t>
  </si>
  <si>
    <t>| &lt;-------------------------------------------------------------- Primary Care services--------------------------------------------------------------&gt; |</t>
  </si>
  <si>
    <r>
      <rPr>
        <b/>
        <sz val="10"/>
        <color rgb="FF000000"/>
        <rFont val="Calibri"/>
        <family val="2"/>
      </rPr>
      <t xml:space="preserve">6a </t>
    </r>
    <r>
      <rPr>
        <sz val="10"/>
        <color rgb="FF000000"/>
        <rFont val="Calibri"/>
        <family val="2"/>
      </rPr>
      <t xml:space="preserve">- The number of complaints </t>
    </r>
    <r>
      <rPr>
        <sz val="10"/>
        <color rgb="FFFF0000"/>
        <rFont val="Calibri"/>
        <family val="2"/>
      </rPr>
      <t>upheld</t>
    </r>
    <r>
      <rPr>
        <sz val="10"/>
        <color rgb="FF000000"/>
        <rFont val="Calibri"/>
        <family val="2"/>
      </rPr>
      <t xml:space="preserve"> at Stage One.</t>
    </r>
  </si>
  <si>
    <r>
      <rPr>
        <b/>
        <sz val="10"/>
        <color rgb="FF000000"/>
        <rFont val="Calibri"/>
        <family val="2"/>
      </rPr>
      <t>6b</t>
    </r>
    <r>
      <rPr>
        <sz val="10"/>
        <color rgb="FF000000"/>
        <rFont val="Calibri"/>
        <family val="2"/>
      </rPr>
      <t xml:space="preserve"> - The number of complaints </t>
    </r>
    <r>
      <rPr>
        <sz val="10"/>
        <color rgb="FFFF0000"/>
        <rFont val="Calibri"/>
        <family val="2"/>
      </rPr>
      <t>not upheld</t>
    </r>
    <r>
      <rPr>
        <sz val="10"/>
        <color rgb="FF000000"/>
        <rFont val="Calibri"/>
        <family val="2"/>
      </rPr>
      <t xml:space="preserve"> at Stage One.</t>
    </r>
  </si>
  <si>
    <r>
      <rPr>
        <b/>
        <sz val="10"/>
        <color rgb="FF000000"/>
        <rFont val="Calibri"/>
        <family val="2"/>
      </rPr>
      <t>6c</t>
    </r>
    <r>
      <rPr>
        <sz val="10"/>
        <color rgb="FF000000"/>
        <rFont val="Calibri"/>
        <family val="2"/>
      </rPr>
      <t xml:space="preserve"> - The number of complaints </t>
    </r>
    <r>
      <rPr>
        <sz val="10"/>
        <color rgb="FFFF0000"/>
        <rFont val="Calibri"/>
        <family val="2"/>
      </rPr>
      <t>partially upheld</t>
    </r>
    <r>
      <rPr>
        <sz val="10"/>
        <color rgb="FF000000"/>
        <rFont val="Calibri"/>
        <family val="2"/>
      </rPr>
      <t xml:space="preserve"> at Stage One.</t>
    </r>
  </si>
  <si>
    <r>
      <rPr>
        <b/>
        <sz val="10"/>
        <color rgb="FF000000"/>
        <rFont val="Calibri"/>
        <family val="2"/>
      </rPr>
      <t>6e</t>
    </r>
    <r>
      <rPr>
        <sz val="10"/>
        <color rgb="FF000000"/>
        <rFont val="Calibri"/>
        <family val="2"/>
      </rPr>
      <t xml:space="preserve"> - Number of </t>
    </r>
    <r>
      <rPr>
        <sz val="10"/>
        <color rgb="FFFF0000"/>
        <rFont val="Calibri"/>
        <family val="2"/>
      </rPr>
      <t>Non-escalated</t>
    </r>
    <r>
      <rPr>
        <sz val="10"/>
        <color rgb="FF000000"/>
        <rFont val="Calibri"/>
        <family val="2"/>
      </rPr>
      <t xml:space="preserve"> complaints </t>
    </r>
    <r>
      <rPr>
        <sz val="10"/>
        <color rgb="FFFF0000"/>
        <rFont val="Calibri"/>
        <family val="2"/>
      </rPr>
      <t>upheld</t>
    </r>
    <r>
      <rPr>
        <sz val="10"/>
        <color rgb="FF000000"/>
        <rFont val="Calibri"/>
        <family val="2"/>
      </rPr>
      <t xml:space="preserve"> at Stage Two.</t>
    </r>
  </si>
  <si>
    <r>
      <rPr>
        <b/>
        <sz val="10"/>
        <color rgb="FF000000"/>
        <rFont val="Calibri"/>
        <family val="2"/>
      </rPr>
      <t>6f</t>
    </r>
    <r>
      <rPr>
        <sz val="10"/>
        <color rgb="FF000000"/>
        <rFont val="Calibri"/>
        <family val="2"/>
      </rPr>
      <t xml:space="preserve"> - Number of</t>
    </r>
    <r>
      <rPr>
        <sz val="10"/>
        <color rgb="FFFF0000"/>
        <rFont val="Calibri"/>
        <family val="2"/>
      </rPr>
      <t xml:space="preserve"> Non-escalated</t>
    </r>
    <r>
      <rPr>
        <sz val="10"/>
        <color rgb="FF000000"/>
        <rFont val="Calibri"/>
        <family val="2"/>
      </rPr>
      <t xml:space="preserve"> complaints </t>
    </r>
    <r>
      <rPr>
        <sz val="10"/>
        <color rgb="FFFF0000"/>
        <rFont val="Calibri"/>
        <family val="2"/>
      </rPr>
      <t>not upheld</t>
    </r>
    <r>
      <rPr>
        <sz val="10"/>
        <color rgb="FF000000"/>
        <rFont val="Calibri"/>
        <family val="2"/>
      </rPr>
      <t xml:space="preserve"> at Stage Two.</t>
    </r>
  </si>
  <si>
    <r>
      <rPr>
        <b/>
        <sz val="10"/>
        <color rgb="FF000000"/>
        <rFont val="Calibri"/>
        <family val="2"/>
      </rPr>
      <t>6g</t>
    </r>
    <r>
      <rPr>
        <sz val="10"/>
        <color rgb="FF000000"/>
        <rFont val="Calibri"/>
        <family val="2"/>
      </rPr>
      <t xml:space="preserve"> - Number of </t>
    </r>
    <r>
      <rPr>
        <sz val="10"/>
        <color rgb="FFFF0000"/>
        <rFont val="Calibri"/>
        <family val="2"/>
      </rPr>
      <t>Non-escalated</t>
    </r>
    <r>
      <rPr>
        <sz val="10"/>
        <color rgb="FF000000"/>
        <rFont val="Calibri"/>
        <family val="2"/>
      </rPr>
      <t xml:space="preserve"> complaints </t>
    </r>
    <r>
      <rPr>
        <sz val="10"/>
        <color rgb="FFFF0000"/>
        <rFont val="Calibri"/>
        <family val="2"/>
      </rPr>
      <t>partially upheld</t>
    </r>
    <r>
      <rPr>
        <sz val="10"/>
        <color rgb="FF000000"/>
        <rFont val="Calibri"/>
        <family val="2"/>
      </rPr>
      <t xml:space="preserve"> at Stage Two.</t>
    </r>
  </si>
  <si>
    <r>
      <rPr>
        <b/>
        <sz val="10"/>
        <color rgb="FF000000"/>
        <rFont val="Calibri"/>
        <family val="2"/>
      </rPr>
      <t>6d - Total stage one complaints outcomes.</t>
    </r>
    <r>
      <rPr>
        <sz val="10"/>
        <color rgb="FF000000"/>
        <rFont val="Calibri"/>
        <family val="2"/>
      </rPr>
      <t xml:space="preserve">
(6a+6b+6c).
</t>
    </r>
    <r>
      <rPr>
        <i/>
        <sz val="9"/>
        <rFont val="Calibri"/>
        <family val="2"/>
      </rPr>
      <t/>
    </r>
  </si>
  <si>
    <r>
      <rPr>
        <b/>
        <sz val="10"/>
        <color rgb="FF000000"/>
        <rFont val="Calibri"/>
        <family val="2"/>
      </rPr>
      <t>6h - Total Stage one complaints outcomes.</t>
    </r>
    <r>
      <rPr>
        <sz val="10"/>
        <color rgb="FF000000"/>
        <rFont val="Calibri"/>
        <family val="2"/>
      </rPr>
      <t xml:space="preserve">
(6e+6f+6g).
</t>
    </r>
    <r>
      <rPr>
        <i/>
        <sz val="9"/>
        <rFont val="Calibri"/>
        <family val="2"/>
      </rPr>
      <t/>
    </r>
  </si>
  <si>
    <r>
      <rPr>
        <b/>
        <sz val="10"/>
        <color rgb="FF000000"/>
        <rFont val="Calibri"/>
        <family val="2"/>
      </rPr>
      <t>6i</t>
    </r>
    <r>
      <rPr>
        <sz val="10"/>
        <color rgb="FF000000"/>
        <rFont val="Calibri"/>
        <family val="2"/>
      </rPr>
      <t xml:space="preserve"> - Number of </t>
    </r>
    <r>
      <rPr>
        <sz val="10"/>
        <color rgb="FFFF0000"/>
        <rFont val="Calibri"/>
        <family val="2"/>
      </rPr>
      <t xml:space="preserve">escalated </t>
    </r>
    <r>
      <rPr>
        <sz val="10"/>
        <color rgb="FF000000"/>
        <rFont val="Calibri"/>
        <family val="2"/>
      </rPr>
      <t xml:space="preserve">complaints </t>
    </r>
    <r>
      <rPr>
        <sz val="10"/>
        <color rgb="FFFF0000"/>
        <rFont val="Calibri"/>
        <family val="2"/>
      </rPr>
      <t>upheld</t>
    </r>
    <r>
      <rPr>
        <sz val="10"/>
        <color rgb="FF000000"/>
        <rFont val="Calibri"/>
        <family val="2"/>
      </rPr>
      <t xml:space="preserve"> at Stage Two.</t>
    </r>
  </si>
  <si>
    <r>
      <rPr>
        <b/>
        <sz val="10"/>
        <color rgb="FF000000"/>
        <rFont val="Calibri"/>
        <family val="2"/>
      </rPr>
      <t>6j</t>
    </r>
    <r>
      <rPr>
        <sz val="10"/>
        <color rgb="FF000000"/>
        <rFont val="Calibri"/>
        <family val="2"/>
      </rPr>
      <t xml:space="preserve"> - Number of </t>
    </r>
    <r>
      <rPr>
        <sz val="10"/>
        <color rgb="FFFF0000"/>
        <rFont val="Calibri"/>
        <family val="2"/>
      </rPr>
      <t>escalated</t>
    </r>
    <r>
      <rPr>
        <sz val="10"/>
        <color rgb="FF000000"/>
        <rFont val="Calibri"/>
        <family val="2"/>
      </rPr>
      <t xml:space="preserve"> complaints </t>
    </r>
    <r>
      <rPr>
        <sz val="10"/>
        <color rgb="FFFF0000"/>
        <rFont val="Calibri"/>
        <family val="2"/>
      </rPr>
      <t>not upheld</t>
    </r>
    <r>
      <rPr>
        <sz val="10"/>
        <color rgb="FF000000"/>
        <rFont val="Calibri"/>
        <family val="2"/>
      </rPr>
      <t xml:space="preserve"> at Stage Two.</t>
    </r>
  </si>
  <si>
    <r>
      <rPr>
        <b/>
        <sz val="10"/>
        <color rgb="FF000000"/>
        <rFont val="Calibri"/>
        <family val="2"/>
      </rPr>
      <t>6k</t>
    </r>
    <r>
      <rPr>
        <sz val="10"/>
        <color rgb="FF000000"/>
        <rFont val="Calibri"/>
        <family val="2"/>
      </rPr>
      <t xml:space="preserve">  - Number of </t>
    </r>
    <r>
      <rPr>
        <sz val="10"/>
        <color rgb="FFFF0000"/>
        <rFont val="Calibri"/>
        <family val="2"/>
      </rPr>
      <t xml:space="preserve">escalated </t>
    </r>
    <r>
      <rPr>
        <sz val="10"/>
        <color rgb="FF000000"/>
        <rFont val="Calibri"/>
        <family val="2"/>
      </rPr>
      <t xml:space="preserve">complaints </t>
    </r>
    <r>
      <rPr>
        <sz val="10"/>
        <color rgb="FFFF0000"/>
        <rFont val="Calibri"/>
        <family val="2"/>
      </rPr>
      <t>partially upheld</t>
    </r>
    <r>
      <rPr>
        <sz val="10"/>
        <color rgb="FF000000"/>
        <rFont val="Calibri"/>
        <family val="2"/>
      </rPr>
      <t xml:space="preserve"> at Stage Two.</t>
    </r>
  </si>
  <si>
    <r>
      <rPr>
        <b/>
        <sz val="10"/>
        <color rgb="FF000000"/>
        <rFont val="Calibri"/>
        <family val="2"/>
      </rPr>
      <t>6l</t>
    </r>
    <r>
      <rPr>
        <sz val="10"/>
        <color rgb="FF000000"/>
        <rFont val="Calibri"/>
        <family val="2"/>
      </rPr>
      <t xml:space="preserve">  - Total stage two </t>
    </r>
    <r>
      <rPr>
        <sz val="10"/>
        <color rgb="FFFF0000"/>
        <rFont val="Calibri"/>
        <family val="2"/>
      </rPr>
      <t>escalated</t>
    </r>
    <r>
      <rPr>
        <sz val="10"/>
        <color rgb="FF000000"/>
        <rFont val="Calibri"/>
        <family val="2"/>
      </rPr>
      <t xml:space="preserve"> complaints outcomes.
(6i+6j+6k).</t>
    </r>
  </si>
  <si>
    <r>
      <rPr>
        <b/>
        <sz val="10"/>
        <color rgb="FF000000"/>
        <rFont val="Calibri"/>
        <family val="2"/>
      </rPr>
      <t>7a</t>
    </r>
    <r>
      <rPr>
        <sz val="10"/>
        <color rgb="FF000000"/>
        <rFont val="Calibri"/>
        <family val="2"/>
      </rPr>
      <t xml:space="preserve"> -The average time in working days to close complaints at </t>
    </r>
    <r>
      <rPr>
        <sz val="10"/>
        <color rgb="FFFF0000"/>
        <rFont val="Calibri"/>
        <family val="2"/>
      </rPr>
      <t>Stage One.</t>
    </r>
  </si>
  <si>
    <r>
      <rPr>
        <b/>
        <sz val="10"/>
        <color rgb="FF000000"/>
        <rFont val="Calibri"/>
        <family val="2"/>
      </rPr>
      <t>7b</t>
    </r>
    <r>
      <rPr>
        <sz val="10"/>
        <color rgb="FF000000"/>
        <rFont val="Calibri"/>
        <family val="2"/>
      </rPr>
      <t xml:space="preserve"> - The average time in working days to respond to complaints at </t>
    </r>
    <r>
      <rPr>
        <sz val="10"/>
        <color rgb="FFFF0000"/>
        <rFont val="Calibri"/>
        <family val="2"/>
      </rPr>
      <t>Stage Two.</t>
    </r>
  </si>
  <si>
    <r>
      <rPr>
        <b/>
        <sz val="10"/>
        <color rgb="FF000000"/>
        <rFont val="Calibri"/>
        <family val="2"/>
      </rPr>
      <t>7c</t>
    </r>
    <r>
      <rPr>
        <sz val="10"/>
        <color rgb="FF000000"/>
        <rFont val="Calibri"/>
        <family val="2"/>
      </rPr>
      <t xml:space="preserve"> - The average time in working days to respond to complaints </t>
    </r>
    <r>
      <rPr>
        <sz val="10"/>
        <color rgb="FFFF0000"/>
        <rFont val="Calibri"/>
        <family val="2"/>
      </rPr>
      <t>after escalation.</t>
    </r>
  </si>
  <si>
    <r>
      <rPr>
        <b/>
        <sz val="10"/>
        <color rgb="FF000000"/>
        <rFont val="Calibri"/>
        <family val="2"/>
      </rPr>
      <t>8a</t>
    </r>
    <r>
      <rPr>
        <sz val="10"/>
        <color rgb="FF000000"/>
        <rFont val="Calibri"/>
        <family val="2"/>
      </rPr>
      <t xml:space="preserve"> - Number of complaints closed at </t>
    </r>
    <r>
      <rPr>
        <sz val="10"/>
        <color rgb="FFFF0000"/>
        <rFont val="Calibri"/>
        <family val="2"/>
      </rPr>
      <t>Stage One</t>
    </r>
    <r>
      <rPr>
        <sz val="10"/>
        <color rgb="FF000000"/>
        <rFont val="Calibri"/>
        <family val="2"/>
      </rPr>
      <t xml:space="preserve"> within 5 working days.</t>
    </r>
  </si>
  <si>
    <r>
      <rPr>
        <b/>
        <sz val="10"/>
        <color rgb="FF000000"/>
        <rFont val="Calibri"/>
        <family val="2"/>
      </rPr>
      <t>8b</t>
    </r>
    <r>
      <rPr>
        <sz val="10"/>
        <color rgb="FF000000"/>
        <rFont val="Calibri"/>
        <family val="2"/>
      </rPr>
      <t xml:space="preserve"> - Number of </t>
    </r>
    <r>
      <rPr>
        <sz val="10"/>
        <color rgb="FFFF0000"/>
        <rFont val="Calibri"/>
        <family val="2"/>
      </rPr>
      <t>Non-escalated</t>
    </r>
    <r>
      <rPr>
        <sz val="10"/>
        <color rgb="FF000000"/>
        <rFont val="Calibri"/>
        <family val="2"/>
      </rPr>
      <t xml:space="preserve"> complaints closed at </t>
    </r>
    <r>
      <rPr>
        <sz val="10"/>
        <color rgb="FFFF0000"/>
        <rFont val="Calibri"/>
        <family val="2"/>
      </rPr>
      <t>Stage Two</t>
    </r>
    <r>
      <rPr>
        <sz val="10"/>
        <color rgb="FF000000"/>
        <rFont val="Calibri"/>
        <family val="2"/>
      </rPr>
      <t xml:space="preserve"> within 20 working days. </t>
    </r>
  </si>
  <si>
    <r>
      <rPr>
        <b/>
        <sz val="10"/>
        <color rgb="FF000000"/>
        <rFont val="Calibri"/>
        <family val="2"/>
      </rPr>
      <t>8c</t>
    </r>
    <r>
      <rPr>
        <sz val="10"/>
        <color rgb="FF000000"/>
        <rFont val="Calibri"/>
        <family val="2"/>
      </rPr>
      <t xml:space="preserve"> - Number of </t>
    </r>
    <r>
      <rPr>
        <sz val="10"/>
        <color rgb="FFFF0000"/>
        <rFont val="Calibri"/>
        <family val="2"/>
      </rPr>
      <t>escalated</t>
    </r>
    <r>
      <rPr>
        <sz val="10"/>
        <color rgb="FF000000"/>
        <rFont val="Calibri"/>
        <family val="2"/>
      </rPr>
      <t xml:space="preserve"> complaints closed within 20 working days.</t>
    </r>
  </si>
  <si>
    <r>
      <rPr>
        <b/>
        <sz val="10"/>
        <color rgb="FF000000"/>
        <rFont val="Calibri"/>
        <family val="2"/>
      </rPr>
      <t>8d - Total number of complaints closed within timescales.</t>
    </r>
    <r>
      <rPr>
        <sz val="10"/>
        <color rgb="FF000000"/>
        <rFont val="Calibri"/>
        <family val="2"/>
      </rPr>
      <t xml:space="preserve">
(8a+8b+8c).
</t>
    </r>
    <r>
      <rPr>
        <i/>
        <sz val="9"/>
        <rFont val="Calibri"/>
        <family val="2"/>
      </rPr>
      <t/>
    </r>
  </si>
  <si>
    <r>
      <rPr>
        <b/>
        <sz val="10"/>
        <color rgb="FF000000"/>
        <rFont val="Calibri"/>
        <family val="2"/>
      </rPr>
      <t>9a</t>
    </r>
    <r>
      <rPr>
        <sz val="10"/>
        <color rgb="FF000000"/>
        <rFont val="Calibri"/>
        <family val="2"/>
      </rPr>
      <t xml:space="preserve"> - Number of complaints closed at </t>
    </r>
    <r>
      <rPr>
        <sz val="10"/>
        <color rgb="FFFF0000"/>
        <rFont val="Calibri"/>
        <family val="2"/>
      </rPr>
      <t>Stage One</t>
    </r>
    <r>
      <rPr>
        <sz val="10"/>
        <color rgb="FF000000"/>
        <rFont val="Calibri"/>
        <family val="2"/>
      </rPr>
      <t xml:space="preserve"> where an </t>
    </r>
    <r>
      <rPr>
        <sz val="10"/>
        <color rgb="FFFF0000"/>
        <rFont val="Calibri"/>
        <family val="2"/>
      </rPr>
      <t>extension was authorised</t>
    </r>
    <r>
      <rPr>
        <sz val="10"/>
        <color rgb="FF000000"/>
        <rFont val="Calibri"/>
        <family val="2"/>
      </rPr>
      <t xml:space="preserve"> (as a number).</t>
    </r>
  </si>
  <si>
    <t xml:space="preserve">4a - Total number of complaints received by NHS Board or Special Board Complaints and Feedback Team - excludes contractors complaints)
</t>
  </si>
  <si>
    <r>
      <rPr>
        <b/>
        <sz val="10"/>
        <color rgb="FF000000"/>
        <rFont val="Calibri"/>
        <family val="2"/>
      </rPr>
      <t xml:space="preserve">5a </t>
    </r>
    <r>
      <rPr>
        <sz val="10"/>
        <color rgb="FF000000"/>
        <rFont val="Calibri"/>
        <family val="2"/>
      </rPr>
      <t xml:space="preserve">- The number of complaints closed at Stage One.
</t>
    </r>
    <r>
      <rPr>
        <i/>
        <sz val="9"/>
        <color rgb="FF000000"/>
        <rFont val="Calibri"/>
        <family val="2"/>
      </rPr>
      <t xml:space="preserve">
</t>
    </r>
  </si>
  <si>
    <r>
      <rPr>
        <b/>
        <sz val="10"/>
        <color rgb="FF000000"/>
        <rFont val="Calibri"/>
        <family val="2"/>
      </rPr>
      <t>5b</t>
    </r>
    <r>
      <rPr>
        <sz val="10"/>
        <color rgb="FF000000"/>
        <rFont val="Calibri"/>
        <family val="2"/>
      </rPr>
      <t xml:space="preserve"> - The number of </t>
    </r>
    <r>
      <rPr>
        <sz val="10"/>
        <color rgb="FFFF0000"/>
        <rFont val="Calibri"/>
        <family val="2"/>
      </rPr>
      <t>Non-escalated</t>
    </r>
    <r>
      <rPr>
        <sz val="10"/>
        <color rgb="FF000000"/>
        <rFont val="Calibri"/>
        <family val="2"/>
      </rPr>
      <t xml:space="preserve"> complaints closed at Stage Two.
</t>
    </r>
    <r>
      <rPr>
        <i/>
        <sz val="9"/>
        <color rgb="FF000000"/>
        <rFont val="Calibri"/>
        <family val="2"/>
      </rPr>
      <t xml:space="preserve">
</t>
    </r>
  </si>
  <si>
    <r>
      <rPr>
        <b/>
        <sz val="10"/>
        <color rgb="FF000000"/>
        <rFont val="Calibri"/>
        <family val="2"/>
      </rPr>
      <t>5c</t>
    </r>
    <r>
      <rPr>
        <sz val="10"/>
        <color rgb="FF000000"/>
        <rFont val="Calibri"/>
        <family val="2"/>
      </rPr>
      <t xml:space="preserve"> - The number of complaints closed at Stage Two </t>
    </r>
    <r>
      <rPr>
        <sz val="10"/>
        <color rgb="FFFF0000"/>
        <rFont val="Calibri"/>
        <family val="2"/>
      </rPr>
      <t>after escalation.</t>
    </r>
    <r>
      <rPr>
        <sz val="10"/>
        <color theme="1"/>
        <rFont val="Calibri"/>
        <family val="2"/>
      </rPr>
      <t xml:space="preserve">
</t>
    </r>
    <r>
      <rPr>
        <i/>
        <sz val="10"/>
        <color theme="1"/>
        <rFont val="Calibri"/>
        <family val="2"/>
      </rPr>
      <t xml:space="preserve">
</t>
    </r>
  </si>
  <si>
    <r>
      <rPr>
        <b/>
        <sz val="10"/>
        <color rgb="FF000000"/>
        <rFont val="Calibri"/>
        <family val="2"/>
      </rPr>
      <t>5d. Total</t>
    </r>
    <r>
      <rPr>
        <sz val="10"/>
        <color rgb="FF000000"/>
        <rFont val="Calibri"/>
        <family val="2"/>
      </rPr>
      <t xml:space="preserve"> number of complaints closed by Board
(5a+5b+5c).
</t>
    </r>
    <r>
      <rPr>
        <i/>
        <sz val="9"/>
        <rFont val="Calibri"/>
        <family val="2"/>
      </rPr>
      <t/>
    </r>
  </si>
  <si>
    <r>
      <rPr>
        <b/>
        <sz val="10"/>
        <color theme="1"/>
        <rFont val="Calibri"/>
        <family val="2"/>
      </rPr>
      <t>9b</t>
    </r>
    <r>
      <rPr>
        <sz val="10"/>
        <color theme="1"/>
        <rFont val="Calibri"/>
        <family val="2"/>
      </rPr>
      <t xml:space="preserve"> - Number of complaints closed at </t>
    </r>
    <r>
      <rPr>
        <sz val="10"/>
        <color rgb="FFFF0000"/>
        <rFont val="Calibri"/>
        <family val="2"/>
      </rPr>
      <t>Stage Two</t>
    </r>
    <r>
      <rPr>
        <sz val="10"/>
        <color theme="1"/>
        <rFont val="Calibri"/>
        <family val="2"/>
      </rPr>
      <t xml:space="preserve"> where </t>
    </r>
    <r>
      <rPr>
        <sz val="10"/>
        <color rgb="FFFF0000"/>
        <rFont val="Calibri"/>
        <family val="2"/>
      </rPr>
      <t>extension was authorised</t>
    </r>
    <r>
      <rPr>
        <sz val="10"/>
        <color theme="1"/>
        <rFont val="Calibri"/>
        <family val="2"/>
      </rPr>
      <t xml:space="preserve"> (includes both </t>
    </r>
    <r>
      <rPr>
        <sz val="10"/>
        <color rgb="FFFF0000"/>
        <rFont val="Calibri"/>
        <family val="2"/>
      </rPr>
      <t>non-escalated</t>
    </r>
    <r>
      <rPr>
        <sz val="10"/>
        <color theme="1"/>
        <rFont val="Calibri"/>
        <family val="2"/>
      </rPr>
      <t xml:space="preserve"> and </t>
    </r>
    <r>
      <rPr>
        <sz val="10"/>
        <color rgb="FFFF0000"/>
        <rFont val="Calibri"/>
        <family val="2"/>
      </rPr>
      <t>escalated</t>
    </r>
    <r>
      <rPr>
        <sz val="10"/>
        <color theme="1"/>
        <rFont val="Calibri"/>
        <family val="2"/>
      </rPr>
      <t xml:space="preserve"> complaints).</t>
    </r>
  </si>
  <si>
    <r>
      <rPr>
        <b/>
        <sz val="10"/>
        <color rgb="FF000000"/>
        <rFont val="Calibri"/>
        <family val="2"/>
      </rPr>
      <t>9c - Total number of Extensions.</t>
    </r>
    <r>
      <rPr>
        <sz val="10"/>
        <color rgb="FF000000"/>
        <rFont val="Calibri"/>
        <family val="2"/>
      </rPr>
      <t xml:space="preserve">
(9a+9b).
</t>
    </r>
    <r>
      <rPr>
        <i/>
        <sz val="9"/>
        <rFont val="Calibri"/>
        <family val="2"/>
      </rPr>
      <t/>
    </r>
  </si>
  <si>
    <t>Board Comments.</t>
  </si>
  <si>
    <r>
      <rPr>
        <b/>
        <sz val="10"/>
        <color rgb="FF000000"/>
        <rFont val="Calibri"/>
        <family val="2"/>
      </rPr>
      <t xml:space="preserve">4k - Pharmacy
</t>
    </r>
    <r>
      <rPr>
        <sz val="10"/>
        <color rgb="FF000000"/>
        <rFont val="Calibri"/>
        <family val="2"/>
      </rPr>
      <t>Number of  complaints.</t>
    </r>
  </si>
  <si>
    <r>
      <rPr>
        <b/>
        <sz val="10"/>
        <color rgb="FF000000"/>
        <rFont val="Calibri"/>
        <family val="2"/>
      </rPr>
      <t xml:space="preserve">4j - Ophthalmic </t>
    </r>
    <r>
      <rPr>
        <sz val="10"/>
        <color rgb="FF000000"/>
        <rFont val="Calibri"/>
        <family val="2"/>
      </rPr>
      <t xml:space="preserve">
Number of complaints.</t>
    </r>
  </si>
  <si>
    <r>
      <rPr>
        <b/>
        <sz val="10"/>
        <color rgb="FF000000"/>
        <rFont val="Calibri"/>
        <family val="2"/>
      </rPr>
      <t xml:space="preserve">4i - Dental Practitioner
</t>
    </r>
    <r>
      <rPr>
        <sz val="10"/>
        <color rgb="FF000000"/>
        <rFont val="Calibri"/>
        <family val="2"/>
      </rPr>
      <t>Number of complaints.</t>
    </r>
  </si>
  <si>
    <r>
      <rPr>
        <b/>
        <sz val="10"/>
        <color rgb="FF000000"/>
        <rFont val="Calibri"/>
        <family val="2"/>
      </rPr>
      <t>4h - General Practitioner</t>
    </r>
    <r>
      <rPr>
        <sz val="10"/>
        <color rgb="FF000000"/>
        <rFont val="Calibri"/>
        <family val="2"/>
      </rPr>
      <t xml:space="preserve"> 
Number of complaints.</t>
    </r>
  </si>
  <si>
    <r>
      <rPr>
        <b/>
        <sz val="10"/>
        <color rgb="FF000000"/>
        <rFont val="Calibri"/>
        <family val="2"/>
      </rPr>
      <t xml:space="preserve">4g - Pharmacy
</t>
    </r>
    <r>
      <rPr>
        <sz val="10"/>
        <color rgb="FF000000"/>
        <rFont val="Calibri"/>
        <family val="2"/>
      </rPr>
      <t>Number of  complaints.</t>
    </r>
  </si>
  <si>
    <r>
      <rPr>
        <b/>
        <sz val="10"/>
        <color rgb="FF000000"/>
        <rFont val="Calibri"/>
        <family val="2"/>
      </rPr>
      <t xml:space="preserve">4f - Ophthalmic </t>
    </r>
    <r>
      <rPr>
        <sz val="10"/>
        <color rgb="FF000000"/>
        <rFont val="Calibri"/>
        <family val="2"/>
      </rPr>
      <t xml:space="preserve">
Number of complaints.</t>
    </r>
  </si>
  <si>
    <r>
      <rPr>
        <b/>
        <sz val="10"/>
        <color rgb="FF000000"/>
        <rFont val="Calibri"/>
        <family val="2"/>
      </rPr>
      <t xml:space="preserve">4e - Dental Practitioner
</t>
    </r>
    <r>
      <rPr>
        <sz val="10"/>
        <color rgb="FF000000"/>
        <rFont val="Calibri"/>
        <family val="2"/>
      </rPr>
      <t>Number of complaints.</t>
    </r>
  </si>
  <si>
    <r>
      <rPr>
        <b/>
        <sz val="10"/>
        <color rgb="FF000000"/>
        <rFont val="Calibri"/>
        <family val="2"/>
      </rPr>
      <t>4d - General Practitioner</t>
    </r>
    <r>
      <rPr>
        <sz val="10"/>
        <color rgb="FF000000"/>
        <rFont val="Calibri"/>
        <family val="2"/>
      </rPr>
      <t xml:space="preserve"> 
Number of complaints.</t>
    </r>
  </si>
  <si>
    <r>
      <rPr>
        <b/>
        <sz val="10"/>
        <color rgb="FF000000"/>
        <rFont val="Calibri"/>
        <family val="2"/>
      </rPr>
      <t>4l - Total</t>
    </r>
    <r>
      <rPr>
        <sz val="10"/>
        <color rgb="FF000000"/>
        <rFont val="Calibri"/>
        <family val="2"/>
      </rPr>
      <t xml:space="preserve"> of Primary Care Services complaints.
(4d+4e+4f+4g+
4h+4i+4j+4k).</t>
    </r>
  </si>
  <si>
    <t>4l - Difference</t>
  </si>
  <si>
    <t>5d - Difference</t>
  </si>
  <si>
    <t>6d -  Difference</t>
  </si>
  <si>
    <t>6h -  Difference</t>
  </si>
  <si>
    <t>6l -  Difference</t>
  </si>
  <si>
    <t>8d -  Difference</t>
  </si>
  <si>
    <t>5d - Total number of complaints closed and match to Sum of (5a+5b+5c).</t>
  </si>
  <si>
    <t>4l - Total of Primary Care Services complaints and match to
Sum of (4d+4e+4f+4g+
4h+4i+4j+4k).</t>
  </si>
  <si>
    <t>6l  - Total stage two escalated complaints outcomes and match to Sum of 
(6i+6j+6k).</t>
  </si>
  <si>
    <t xml:space="preserve">8d - Total number of complaints closed within timescales and match to Sum of 
(8a+8b+8c).
</t>
  </si>
  <si>
    <t xml:space="preserve">9c - Total number of Extensions  and match to Sum of 
(9a+9b).
</t>
  </si>
  <si>
    <r>
      <t xml:space="preserve">6h - Total Stage one complaints outcomes and match to Sum of </t>
    </r>
    <r>
      <rPr>
        <sz val="11"/>
        <color rgb="FF000000"/>
        <rFont val="Calibri"/>
        <family val="2"/>
      </rPr>
      <t xml:space="preserve">
</t>
    </r>
    <r>
      <rPr>
        <b/>
        <sz val="11"/>
        <color rgb="FF000000"/>
        <rFont val="Calibri"/>
        <family val="2"/>
      </rPr>
      <t>(6e+6f+6g).</t>
    </r>
    <r>
      <rPr>
        <sz val="11"/>
        <color rgb="FF000000"/>
        <rFont val="Calibri"/>
        <family val="2"/>
      </rPr>
      <t xml:space="preserve">
</t>
    </r>
    <r>
      <rPr>
        <i/>
        <sz val="9"/>
        <rFont val="Calibri"/>
        <family val="2"/>
      </rPr>
      <t/>
    </r>
  </si>
  <si>
    <r>
      <t>4b -</t>
    </r>
    <r>
      <rPr>
        <b/>
        <sz val="10"/>
        <color rgb="FF000000"/>
        <rFont val="Arial"/>
        <family val="2"/>
      </rPr>
      <t xml:space="preserve"> Number of complaints received by NHS Primary Care Service Contractors.</t>
    </r>
  </si>
  <si>
    <t>Correct</t>
  </si>
  <si>
    <t>Does not match</t>
  </si>
  <si>
    <t>&lt;Blank&gt;</t>
  </si>
  <si>
    <t xml:space="preserve">6d - Total stage one complaints outcomes and match to Sum of 
(6a+6b+6c).
</t>
  </si>
  <si>
    <t>4c - Difference</t>
  </si>
  <si>
    <t>4c - Total number of complaints received in the NHS Board area. 
(4a+4b)</t>
  </si>
  <si>
    <t>4c - Total number of complaints received in the NHS Board area.
(4a+4b)</t>
  </si>
  <si>
    <t xml:space="preserve">9c - Difference </t>
  </si>
  <si>
    <t>&lt;Shows as Blank&gt;</t>
  </si>
  <si>
    <t>Total for Territorial Boards</t>
  </si>
  <si>
    <t>Total for Special Boards</t>
  </si>
  <si>
    <t>=AS/(R-AT)</t>
  </si>
  <si>
    <t>=(S+T)-(AO+AP)/AT</t>
  </si>
  <si>
    <t>=(AS+AT)/(U-AQ)</t>
  </si>
  <si>
    <t>=AN/R</t>
  </si>
  <si>
    <t>=AO/S</t>
  </si>
  <si>
    <t>=AP/T</t>
  </si>
  <si>
    <t>(AN+AO+AP)/(R+S+T)</t>
  </si>
  <si>
    <t>=AS/R</t>
  </si>
  <si>
    <t>=AT/(S+T)</t>
  </si>
  <si>
    <t>=(AU)/(R+S+T)</t>
  </si>
  <si>
    <r>
      <rPr>
        <b/>
        <sz val="8"/>
        <color rgb="FF000000"/>
        <rFont val="Calibri"/>
        <family val="2"/>
      </rPr>
      <t xml:space="preserve">6a </t>
    </r>
    <r>
      <rPr>
        <sz val="8"/>
        <color rgb="FF000000"/>
        <rFont val="Calibri"/>
        <family val="2"/>
      </rPr>
      <t xml:space="preserve">- The number of complaints </t>
    </r>
    <r>
      <rPr>
        <sz val="8"/>
        <color rgb="FFFF0000"/>
        <rFont val="Calibri"/>
        <family val="2"/>
      </rPr>
      <t>upheld</t>
    </r>
    <r>
      <rPr>
        <sz val="8"/>
        <color rgb="FF000000"/>
        <rFont val="Calibri"/>
        <family val="2"/>
      </rPr>
      <t xml:space="preserve"> at Stage One.</t>
    </r>
  </si>
  <si>
    <r>
      <rPr>
        <b/>
        <sz val="8"/>
        <color rgb="FF000000"/>
        <rFont val="Calibri"/>
        <family val="2"/>
      </rPr>
      <t>6b</t>
    </r>
    <r>
      <rPr>
        <sz val="8"/>
        <color rgb="FF000000"/>
        <rFont val="Calibri"/>
        <family val="2"/>
      </rPr>
      <t xml:space="preserve"> - The number of complaints </t>
    </r>
    <r>
      <rPr>
        <sz val="8"/>
        <color rgb="FFFF0000"/>
        <rFont val="Calibri"/>
        <family val="2"/>
      </rPr>
      <t>not upheld</t>
    </r>
    <r>
      <rPr>
        <sz val="8"/>
        <color rgb="FF000000"/>
        <rFont val="Calibri"/>
        <family val="2"/>
      </rPr>
      <t xml:space="preserve"> at Stage One.</t>
    </r>
  </si>
  <si>
    <r>
      <rPr>
        <b/>
        <sz val="8"/>
        <color rgb="FF000000"/>
        <rFont val="Calibri"/>
        <family val="2"/>
      </rPr>
      <t>6c</t>
    </r>
    <r>
      <rPr>
        <sz val="8"/>
        <color rgb="FF000000"/>
        <rFont val="Calibri"/>
        <family val="2"/>
      </rPr>
      <t xml:space="preserve"> - The number of complaints </t>
    </r>
    <r>
      <rPr>
        <sz val="8"/>
        <color rgb="FFFF0000"/>
        <rFont val="Calibri"/>
        <family val="2"/>
      </rPr>
      <t>partially upheld</t>
    </r>
    <r>
      <rPr>
        <sz val="8"/>
        <color rgb="FF000000"/>
        <rFont val="Calibri"/>
        <family val="2"/>
      </rPr>
      <t xml:space="preserve"> at Stage One.</t>
    </r>
  </si>
  <si>
    <r>
      <rPr>
        <b/>
        <sz val="8"/>
        <color rgb="FF000000"/>
        <rFont val="Calibri"/>
        <family val="2"/>
      </rPr>
      <t>6d - Total stage one complaints outcomes.</t>
    </r>
    <r>
      <rPr>
        <sz val="8"/>
        <color rgb="FF000000"/>
        <rFont val="Calibri"/>
        <family val="2"/>
      </rPr>
      <t xml:space="preserve">
(6a+6b+6c).
</t>
    </r>
    <r>
      <rPr>
        <i/>
        <sz val="9"/>
        <rFont val="Calibri"/>
        <family val="2"/>
      </rPr>
      <t/>
    </r>
  </si>
  <si>
    <r>
      <rPr>
        <b/>
        <sz val="8"/>
        <color rgb="FF000000"/>
        <rFont val="Calibri"/>
        <family val="2"/>
      </rPr>
      <t>6e</t>
    </r>
    <r>
      <rPr>
        <sz val="8"/>
        <color rgb="FF000000"/>
        <rFont val="Calibri"/>
        <family val="2"/>
      </rPr>
      <t xml:space="preserve"> - Number of </t>
    </r>
    <r>
      <rPr>
        <sz val="8"/>
        <color rgb="FFFF0000"/>
        <rFont val="Calibri"/>
        <family val="2"/>
      </rPr>
      <t>Non-escalated</t>
    </r>
    <r>
      <rPr>
        <sz val="8"/>
        <color rgb="FF000000"/>
        <rFont val="Calibri"/>
        <family val="2"/>
      </rPr>
      <t xml:space="preserve"> complaints </t>
    </r>
    <r>
      <rPr>
        <sz val="8"/>
        <color rgb="FFFF0000"/>
        <rFont val="Calibri"/>
        <family val="2"/>
      </rPr>
      <t>upheld</t>
    </r>
    <r>
      <rPr>
        <sz val="8"/>
        <color rgb="FF000000"/>
        <rFont val="Calibri"/>
        <family val="2"/>
      </rPr>
      <t xml:space="preserve"> at Stage Two.</t>
    </r>
  </si>
  <si>
    <r>
      <rPr>
        <b/>
        <sz val="8"/>
        <color rgb="FF000000"/>
        <rFont val="Calibri"/>
        <family val="2"/>
      </rPr>
      <t>6f</t>
    </r>
    <r>
      <rPr>
        <sz val="8"/>
        <color rgb="FF000000"/>
        <rFont val="Calibri"/>
        <family val="2"/>
      </rPr>
      <t xml:space="preserve"> - Number of</t>
    </r>
    <r>
      <rPr>
        <sz val="8"/>
        <color rgb="FFFF0000"/>
        <rFont val="Calibri"/>
        <family val="2"/>
      </rPr>
      <t xml:space="preserve"> Non-escalated</t>
    </r>
    <r>
      <rPr>
        <sz val="8"/>
        <color rgb="FF000000"/>
        <rFont val="Calibri"/>
        <family val="2"/>
      </rPr>
      <t xml:space="preserve"> complaints </t>
    </r>
    <r>
      <rPr>
        <sz val="8"/>
        <color rgb="FFFF0000"/>
        <rFont val="Calibri"/>
        <family val="2"/>
      </rPr>
      <t>not upheld</t>
    </r>
    <r>
      <rPr>
        <sz val="8"/>
        <color rgb="FF000000"/>
        <rFont val="Calibri"/>
        <family val="2"/>
      </rPr>
      <t xml:space="preserve"> at Stage Two.</t>
    </r>
  </si>
  <si>
    <r>
      <rPr>
        <b/>
        <sz val="8"/>
        <color rgb="FF000000"/>
        <rFont val="Calibri"/>
        <family val="2"/>
      </rPr>
      <t>6g</t>
    </r>
    <r>
      <rPr>
        <sz val="8"/>
        <color rgb="FF000000"/>
        <rFont val="Calibri"/>
        <family val="2"/>
      </rPr>
      <t xml:space="preserve"> - Number of </t>
    </r>
    <r>
      <rPr>
        <sz val="8"/>
        <color rgb="FFFF0000"/>
        <rFont val="Calibri"/>
        <family val="2"/>
      </rPr>
      <t>Non-escalated</t>
    </r>
    <r>
      <rPr>
        <sz val="8"/>
        <color rgb="FF000000"/>
        <rFont val="Calibri"/>
        <family val="2"/>
      </rPr>
      <t xml:space="preserve"> complaints </t>
    </r>
    <r>
      <rPr>
        <sz val="8"/>
        <color rgb="FFFF0000"/>
        <rFont val="Calibri"/>
        <family val="2"/>
      </rPr>
      <t>partially upheld</t>
    </r>
    <r>
      <rPr>
        <sz val="8"/>
        <color rgb="FF000000"/>
        <rFont val="Calibri"/>
        <family val="2"/>
      </rPr>
      <t xml:space="preserve"> at Stage Two.</t>
    </r>
  </si>
  <si>
    <r>
      <rPr>
        <b/>
        <sz val="8"/>
        <color rgb="FF000000"/>
        <rFont val="Calibri"/>
        <family val="2"/>
      </rPr>
      <t>6i</t>
    </r>
    <r>
      <rPr>
        <sz val="8"/>
        <color rgb="FF000000"/>
        <rFont val="Calibri"/>
        <family val="2"/>
      </rPr>
      <t xml:space="preserve"> - Number of </t>
    </r>
    <r>
      <rPr>
        <sz val="8"/>
        <color rgb="FFFF0000"/>
        <rFont val="Calibri"/>
        <family val="2"/>
      </rPr>
      <t xml:space="preserve">escalated </t>
    </r>
    <r>
      <rPr>
        <sz val="8"/>
        <color rgb="FF000000"/>
        <rFont val="Calibri"/>
        <family val="2"/>
      </rPr>
      <t xml:space="preserve">complaints </t>
    </r>
    <r>
      <rPr>
        <sz val="8"/>
        <color rgb="FFFF0000"/>
        <rFont val="Calibri"/>
        <family val="2"/>
      </rPr>
      <t>upheld</t>
    </r>
    <r>
      <rPr>
        <sz val="8"/>
        <color rgb="FF000000"/>
        <rFont val="Calibri"/>
        <family val="2"/>
      </rPr>
      <t xml:space="preserve"> at Stage Two.</t>
    </r>
  </si>
  <si>
    <r>
      <rPr>
        <b/>
        <sz val="8"/>
        <color rgb="FF000000"/>
        <rFont val="Calibri"/>
        <family val="2"/>
      </rPr>
      <t>6j</t>
    </r>
    <r>
      <rPr>
        <sz val="8"/>
        <color rgb="FF000000"/>
        <rFont val="Calibri"/>
        <family val="2"/>
      </rPr>
      <t xml:space="preserve"> - Number of </t>
    </r>
    <r>
      <rPr>
        <sz val="8"/>
        <color rgb="FFFF0000"/>
        <rFont val="Calibri"/>
        <family val="2"/>
      </rPr>
      <t>escalated</t>
    </r>
    <r>
      <rPr>
        <sz val="8"/>
        <color rgb="FF000000"/>
        <rFont val="Calibri"/>
        <family val="2"/>
      </rPr>
      <t xml:space="preserve"> complaints </t>
    </r>
    <r>
      <rPr>
        <sz val="8"/>
        <color rgb="FFFF0000"/>
        <rFont val="Calibri"/>
        <family val="2"/>
      </rPr>
      <t>not upheld</t>
    </r>
    <r>
      <rPr>
        <sz val="8"/>
        <color rgb="FF000000"/>
        <rFont val="Calibri"/>
        <family val="2"/>
      </rPr>
      <t xml:space="preserve"> at Stage Two.</t>
    </r>
  </si>
  <si>
    <r>
      <rPr>
        <b/>
        <sz val="8"/>
        <color rgb="FF000000"/>
        <rFont val="Calibri"/>
        <family val="2"/>
      </rPr>
      <t>6k</t>
    </r>
    <r>
      <rPr>
        <sz val="8"/>
        <color rgb="FF000000"/>
        <rFont val="Calibri"/>
        <family val="2"/>
      </rPr>
      <t xml:space="preserve">  - Number of </t>
    </r>
    <r>
      <rPr>
        <sz val="8"/>
        <color rgb="FFFF0000"/>
        <rFont val="Calibri"/>
        <family val="2"/>
      </rPr>
      <t xml:space="preserve">escalated </t>
    </r>
    <r>
      <rPr>
        <sz val="8"/>
        <color rgb="FF000000"/>
        <rFont val="Calibri"/>
        <family val="2"/>
      </rPr>
      <t xml:space="preserve">complaints </t>
    </r>
    <r>
      <rPr>
        <sz val="8"/>
        <color rgb="FFFF0000"/>
        <rFont val="Calibri"/>
        <family val="2"/>
      </rPr>
      <t>partially upheld</t>
    </r>
    <r>
      <rPr>
        <sz val="8"/>
        <color rgb="FF000000"/>
        <rFont val="Calibri"/>
        <family val="2"/>
      </rPr>
      <t xml:space="preserve"> at Stage Two.</t>
    </r>
  </si>
  <si>
    <r>
      <rPr>
        <b/>
        <sz val="8"/>
        <color rgb="FF000000"/>
        <rFont val="Calibri"/>
        <family val="2"/>
      </rPr>
      <t>6l</t>
    </r>
    <r>
      <rPr>
        <sz val="8"/>
        <color rgb="FF000000"/>
        <rFont val="Calibri"/>
        <family val="2"/>
      </rPr>
      <t xml:space="preserve">  - Total stage two </t>
    </r>
    <r>
      <rPr>
        <sz val="8"/>
        <color rgb="FFFF0000"/>
        <rFont val="Calibri"/>
        <family val="2"/>
      </rPr>
      <t>escalated</t>
    </r>
    <r>
      <rPr>
        <sz val="8"/>
        <color rgb="FF000000"/>
        <rFont val="Calibri"/>
        <family val="2"/>
      </rPr>
      <t xml:space="preserve"> complaints outcomes.
(6i+6j+6k).</t>
    </r>
  </si>
  <si>
    <r>
      <rPr>
        <b/>
        <sz val="8"/>
        <color rgb="FF000000"/>
        <rFont val="Calibri"/>
        <family val="2"/>
      </rPr>
      <t>8a</t>
    </r>
    <r>
      <rPr>
        <sz val="8"/>
        <color rgb="FF000000"/>
        <rFont val="Calibri"/>
        <family val="2"/>
      </rPr>
      <t xml:space="preserve"> - Number of complaints closed at </t>
    </r>
    <r>
      <rPr>
        <sz val="8"/>
        <color rgb="FFFF0000"/>
        <rFont val="Calibri"/>
        <family val="2"/>
      </rPr>
      <t>Stage One</t>
    </r>
    <r>
      <rPr>
        <sz val="8"/>
        <color rgb="FF000000"/>
        <rFont val="Calibri"/>
        <family val="2"/>
      </rPr>
      <t xml:space="preserve"> within 5 working days.</t>
    </r>
  </si>
  <si>
    <r>
      <rPr>
        <b/>
        <sz val="8"/>
        <color rgb="FF000000"/>
        <rFont val="Calibri"/>
        <family val="2"/>
      </rPr>
      <t>8b</t>
    </r>
    <r>
      <rPr>
        <sz val="8"/>
        <color rgb="FF000000"/>
        <rFont val="Calibri"/>
        <family val="2"/>
      </rPr>
      <t xml:space="preserve"> - Number of </t>
    </r>
    <r>
      <rPr>
        <sz val="8"/>
        <color rgb="FFFF0000"/>
        <rFont val="Calibri"/>
        <family val="2"/>
      </rPr>
      <t>Non-escalated</t>
    </r>
    <r>
      <rPr>
        <sz val="8"/>
        <color rgb="FF000000"/>
        <rFont val="Calibri"/>
        <family val="2"/>
      </rPr>
      <t xml:space="preserve"> complaints closed at </t>
    </r>
    <r>
      <rPr>
        <sz val="8"/>
        <color rgb="FFFF0000"/>
        <rFont val="Calibri"/>
        <family val="2"/>
      </rPr>
      <t>Stage Two</t>
    </r>
    <r>
      <rPr>
        <sz val="8"/>
        <color rgb="FF000000"/>
        <rFont val="Calibri"/>
        <family val="2"/>
      </rPr>
      <t xml:space="preserve"> within 20 working days. </t>
    </r>
  </si>
  <si>
    <r>
      <rPr>
        <b/>
        <sz val="8"/>
        <color rgb="FF000000"/>
        <rFont val="Calibri"/>
        <family val="2"/>
      </rPr>
      <t>8c</t>
    </r>
    <r>
      <rPr>
        <sz val="8"/>
        <color rgb="FF000000"/>
        <rFont val="Calibri"/>
        <family val="2"/>
      </rPr>
      <t xml:space="preserve"> - Number of </t>
    </r>
    <r>
      <rPr>
        <sz val="8"/>
        <color rgb="FFFF0000"/>
        <rFont val="Calibri"/>
        <family val="2"/>
      </rPr>
      <t>escalated</t>
    </r>
    <r>
      <rPr>
        <sz val="8"/>
        <color rgb="FF000000"/>
        <rFont val="Calibri"/>
        <family val="2"/>
      </rPr>
      <t xml:space="preserve"> complaints closed within 20 working days.</t>
    </r>
  </si>
  <si>
    <r>
      <rPr>
        <b/>
        <sz val="8"/>
        <color rgb="FF000000"/>
        <rFont val="Calibri"/>
        <family val="2"/>
      </rPr>
      <t>8d - Total number of complaints closed within timescales.</t>
    </r>
    <r>
      <rPr>
        <sz val="8"/>
        <color rgb="FF000000"/>
        <rFont val="Calibri"/>
        <family val="2"/>
      </rPr>
      <t xml:space="preserve">
(8a+8b+8c).
</t>
    </r>
    <r>
      <rPr>
        <i/>
        <sz val="9"/>
        <rFont val="Calibri"/>
        <family val="2"/>
      </rPr>
      <t/>
    </r>
  </si>
  <si>
    <r>
      <rPr>
        <b/>
        <sz val="8"/>
        <color rgb="FF000000"/>
        <rFont val="Calibri"/>
        <family val="2"/>
      </rPr>
      <t>9a</t>
    </r>
    <r>
      <rPr>
        <sz val="8"/>
        <color rgb="FF000000"/>
        <rFont val="Calibri"/>
        <family val="2"/>
      </rPr>
      <t xml:space="preserve"> - Number of complaints closed at </t>
    </r>
    <r>
      <rPr>
        <sz val="8"/>
        <color rgb="FFFF0000"/>
        <rFont val="Calibri"/>
        <family val="2"/>
      </rPr>
      <t>Stage One</t>
    </r>
    <r>
      <rPr>
        <sz val="8"/>
        <color rgb="FF000000"/>
        <rFont val="Calibri"/>
        <family val="2"/>
      </rPr>
      <t xml:space="preserve"> where an </t>
    </r>
    <r>
      <rPr>
        <sz val="8"/>
        <color rgb="FFFF0000"/>
        <rFont val="Calibri"/>
        <family val="2"/>
      </rPr>
      <t>extension was authorised</t>
    </r>
    <r>
      <rPr>
        <sz val="8"/>
        <color rgb="FF000000"/>
        <rFont val="Calibri"/>
        <family val="2"/>
      </rPr>
      <t xml:space="preserve"> (as a number).</t>
    </r>
  </si>
  <si>
    <r>
      <rPr>
        <b/>
        <sz val="8"/>
        <color theme="1"/>
        <rFont val="Calibri"/>
        <family val="2"/>
      </rPr>
      <t>9b</t>
    </r>
    <r>
      <rPr>
        <sz val="8"/>
        <color theme="1"/>
        <rFont val="Calibri"/>
        <family val="2"/>
      </rPr>
      <t xml:space="preserve"> - Number of complaints closed at </t>
    </r>
    <r>
      <rPr>
        <sz val="8"/>
        <color rgb="FFFF0000"/>
        <rFont val="Calibri"/>
        <family val="2"/>
      </rPr>
      <t>Stage Two</t>
    </r>
    <r>
      <rPr>
        <sz val="8"/>
        <color theme="1"/>
        <rFont val="Calibri"/>
        <family val="2"/>
      </rPr>
      <t xml:space="preserve"> where </t>
    </r>
    <r>
      <rPr>
        <sz val="8"/>
        <color rgb="FFFF0000"/>
        <rFont val="Calibri"/>
        <family val="2"/>
      </rPr>
      <t>extension was authorised</t>
    </r>
    <r>
      <rPr>
        <sz val="8"/>
        <color theme="1"/>
        <rFont val="Calibri"/>
        <family val="2"/>
      </rPr>
      <t xml:space="preserve"> (includes both </t>
    </r>
    <r>
      <rPr>
        <sz val="8"/>
        <color rgb="FFFF0000"/>
        <rFont val="Calibri"/>
        <family val="2"/>
      </rPr>
      <t>non-escalated</t>
    </r>
    <r>
      <rPr>
        <sz val="8"/>
        <color theme="1"/>
        <rFont val="Calibri"/>
        <family val="2"/>
      </rPr>
      <t xml:space="preserve"> and </t>
    </r>
    <r>
      <rPr>
        <sz val="8"/>
        <color rgb="FFFF0000"/>
        <rFont val="Calibri"/>
        <family val="2"/>
      </rPr>
      <t>escalated</t>
    </r>
    <r>
      <rPr>
        <sz val="8"/>
        <color theme="1"/>
        <rFont val="Calibri"/>
        <family val="2"/>
      </rPr>
      <t xml:space="preserve"> complaints).</t>
    </r>
  </si>
  <si>
    <r>
      <rPr>
        <b/>
        <sz val="8"/>
        <color rgb="FF000000"/>
        <rFont val="Calibri"/>
        <family val="2"/>
      </rPr>
      <t>9c - Total number of Extensions.</t>
    </r>
    <r>
      <rPr>
        <sz val="8"/>
        <color rgb="FF000000"/>
        <rFont val="Calibri"/>
        <family val="2"/>
      </rPr>
      <t xml:space="preserve">
(9a+9b).
</t>
    </r>
    <r>
      <rPr>
        <i/>
        <sz val="9"/>
        <rFont val="Calibri"/>
        <family val="2"/>
      </rPr>
      <t/>
    </r>
  </si>
  <si>
    <r>
      <rPr>
        <b/>
        <sz val="8"/>
        <color rgb="FF000000"/>
        <rFont val="Calibri"/>
        <family val="2"/>
      </rPr>
      <t>4d - General Practitioner</t>
    </r>
    <r>
      <rPr>
        <sz val="8"/>
        <color rgb="FF000000"/>
        <rFont val="Calibri"/>
        <family val="2"/>
      </rPr>
      <t xml:space="preserve"> 
Number of complaints.</t>
    </r>
  </si>
  <si>
    <r>
      <rPr>
        <b/>
        <sz val="8"/>
        <color rgb="FF000000"/>
        <rFont val="Calibri"/>
        <family val="2"/>
      </rPr>
      <t xml:space="preserve">4e - Dental Practitioner
</t>
    </r>
    <r>
      <rPr>
        <sz val="8"/>
        <color rgb="FF000000"/>
        <rFont val="Calibri"/>
        <family val="2"/>
      </rPr>
      <t>Number of complaints.</t>
    </r>
  </si>
  <si>
    <r>
      <rPr>
        <b/>
        <sz val="8"/>
        <color rgb="FF000000"/>
        <rFont val="Calibri"/>
        <family val="2"/>
      </rPr>
      <t xml:space="preserve">4f - Ophthalmic </t>
    </r>
    <r>
      <rPr>
        <sz val="8"/>
        <color rgb="FF000000"/>
        <rFont val="Calibri"/>
        <family val="2"/>
      </rPr>
      <t xml:space="preserve">
Number of complaints.</t>
    </r>
  </si>
  <si>
    <r>
      <rPr>
        <b/>
        <sz val="8"/>
        <color rgb="FF000000"/>
        <rFont val="Calibri"/>
        <family val="2"/>
      </rPr>
      <t xml:space="preserve">4g - Pharmacy
</t>
    </r>
    <r>
      <rPr>
        <sz val="8"/>
        <color rgb="FF000000"/>
        <rFont val="Calibri"/>
        <family val="2"/>
      </rPr>
      <t>Number of  complaints.</t>
    </r>
  </si>
  <si>
    <r>
      <rPr>
        <b/>
        <sz val="8"/>
        <color rgb="FF000000"/>
        <rFont val="Calibri"/>
        <family val="2"/>
      </rPr>
      <t>4h - General Practitioner</t>
    </r>
    <r>
      <rPr>
        <sz val="8"/>
        <color rgb="FF000000"/>
        <rFont val="Calibri"/>
        <family val="2"/>
      </rPr>
      <t xml:space="preserve"> 
Number of complaints.</t>
    </r>
  </si>
  <si>
    <r>
      <rPr>
        <b/>
        <sz val="8"/>
        <color rgb="FF000000"/>
        <rFont val="Calibri"/>
        <family val="2"/>
      </rPr>
      <t xml:space="preserve">4i - Dental Practitioner
</t>
    </r>
    <r>
      <rPr>
        <sz val="8"/>
        <color rgb="FF000000"/>
        <rFont val="Calibri"/>
        <family val="2"/>
      </rPr>
      <t>Number of complaints.</t>
    </r>
  </si>
  <si>
    <r>
      <rPr>
        <b/>
        <sz val="8"/>
        <color rgb="FF000000"/>
        <rFont val="Calibri"/>
        <family val="2"/>
      </rPr>
      <t xml:space="preserve">4j - Ophthalmic </t>
    </r>
    <r>
      <rPr>
        <sz val="8"/>
        <color rgb="FF000000"/>
        <rFont val="Calibri"/>
        <family val="2"/>
      </rPr>
      <t xml:space="preserve">
Number of complaints.</t>
    </r>
  </si>
  <si>
    <r>
      <rPr>
        <b/>
        <sz val="8"/>
        <color rgb="FF000000"/>
        <rFont val="Calibri"/>
        <family val="2"/>
      </rPr>
      <t xml:space="preserve">4k - Pharmacy
</t>
    </r>
    <r>
      <rPr>
        <sz val="8"/>
        <color rgb="FF000000"/>
        <rFont val="Calibri"/>
        <family val="2"/>
      </rPr>
      <t>Number of  complaints.</t>
    </r>
  </si>
  <si>
    <r>
      <rPr>
        <b/>
        <sz val="8"/>
        <color rgb="FF000000"/>
        <rFont val="Calibri"/>
        <family val="2"/>
      </rPr>
      <t>4l - Total</t>
    </r>
    <r>
      <rPr>
        <sz val="8"/>
        <color rgb="FF000000"/>
        <rFont val="Calibri"/>
        <family val="2"/>
      </rPr>
      <t xml:space="preserve"> of Primary Care Services complaints.
(4d+4e+4f+4g+
4h+4i+4j+4k).</t>
    </r>
  </si>
  <si>
    <r>
      <rPr>
        <b/>
        <sz val="8"/>
        <color rgb="FF000000"/>
        <rFont val="Calibri"/>
        <family val="2"/>
      </rPr>
      <t>4m - Prisons</t>
    </r>
    <r>
      <rPr>
        <sz val="8"/>
        <color rgb="FF000000"/>
        <rFont val="Calibri"/>
        <family val="2"/>
      </rPr>
      <t xml:space="preserve">
Number of complaints</t>
    </r>
  </si>
  <si>
    <r>
      <rPr>
        <sz val="8"/>
        <color rgb="FF000000"/>
        <rFont val="Calibri"/>
        <family val="2"/>
      </rPr>
      <t>4a - Total number of complaints received by NHS Board or Special Board Complaints and Feedback Team - excludes contractors complaints)</t>
    </r>
    <r>
      <rPr>
        <b/>
        <sz val="8"/>
        <color rgb="FF000000"/>
        <rFont val="Calibri"/>
        <family val="2"/>
      </rPr>
      <t xml:space="preserve">
</t>
    </r>
  </si>
  <si>
    <r>
      <t>4b -</t>
    </r>
    <r>
      <rPr>
        <sz val="8"/>
        <color rgb="FF000000"/>
        <rFont val="Arial"/>
        <family val="2"/>
      </rPr>
      <t xml:space="preserve"> Number of complaints received by NHS Primary Care Service Contractors.</t>
    </r>
  </si>
  <si>
    <r>
      <rPr>
        <b/>
        <sz val="8"/>
        <color rgb="FF000000"/>
        <rFont val="Calibri"/>
        <family val="2"/>
      </rPr>
      <t xml:space="preserve">5a </t>
    </r>
    <r>
      <rPr>
        <sz val="8"/>
        <color rgb="FF000000"/>
        <rFont val="Calibri"/>
        <family val="2"/>
      </rPr>
      <t xml:space="preserve">- The number of complaints closed at Stage One.
</t>
    </r>
    <r>
      <rPr>
        <i/>
        <sz val="8"/>
        <color rgb="FF000000"/>
        <rFont val="Calibri"/>
        <family val="2"/>
      </rPr>
      <t xml:space="preserve">
</t>
    </r>
  </si>
  <si>
    <r>
      <rPr>
        <b/>
        <sz val="8"/>
        <color rgb="FF000000"/>
        <rFont val="Calibri"/>
        <family val="2"/>
      </rPr>
      <t>5b</t>
    </r>
    <r>
      <rPr>
        <sz val="8"/>
        <color rgb="FF000000"/>
        <rFont val="Calibri"/>
        <family val="2"/>
      </rPr>
      <t xml:space="preserve"> - The number of </t>
    </r>
    <r>
      <rPr>
        <sz val="8"/>
        <color rgb="FFFF0000"/>
        <rFont val="Calibri"/>
        <family val="2"/>
      </rPr>
      <t>Non-escalated</t>
    </r>
    <r>
      <rPr>
        <sz val="8"/>
        <color rgb="FF000000"/>
        <rFont val="Calibri"/>
        <family val="2"/>
      </rPr>
      <t xml:space="preserve"> complaints closed at Stage Two.
</t>
    </r>
    <r>
      <rPr>
        <i/>
        <sz val="8"/>
        <color rgb="FF000000"/>
        <rFont val="Calibri"/>
        <family val="2"/>
      </rPr>
      <t xml:space="preserve">
</t>
    </r>
  </si>
  <si>
    <r>
      <rPr>
        <b/>
        <sz val="8"/>
        <color rgb="FF000000"/>
        <rFont val="Calibri"/>
        <family val="2"/>
      </rPr>
      <t>5c</t>
    </r>
    <r>
      <rPr>
        <sz val="8"/>
        <color rgb="FF000000"/>
        <rFont val="Calibri"/>
        <family val="2"/>
      </rPr>
      <t xml:space="preserve"> - The number of complaints closed at Stage Two </t>
    </r>
    <r>
      <rPr>
        <sz val="8"/>
        <color rgb="FFFF0000"/>
        <rFont val="Calibri"/>
        <family val="2"/>
      </rPr>
      <t>after escalation.</t>
    </r>
    <r>
      <rPr>
        <sz val="8"/>
        <color theme="1"/>
        <rFont val="Calibri"/>
        <family val="2"/>
      </rPr>
      <t xml:space="preserve">
</t>
    </r>
    <r>
      <rPr>
        <i/>
        <sz val="8"/>
        <color theme="1"/>
        <rFont val="Calibri"/>
        <family val="2"/>
      </rPr>
      <t xml:space="preserve">
</t>
    </r>
  </si>
  <si>
    <r>
      <rPr>
        <b/>
        <sz val="8"/>
        <color rgb="FF000000"/>
        <rFont val="Calibri"/>
        <family val="2"/>
      </rPr>
      <t>5d. Total</t>
    </r>
    <r>
      <rPr>
        <sz val="8"/>
        <color rgb="FF000000"/>
        <rFont val="Calibri"/>
        <family val="2"/>
      </rPr>
      <t xml:space="preserve"> number of complaints closed by Board
(5a+5b+5c).
</t>
    </r>
    <r>
      <rPr>
        <i/>
        <sz val="9"/>
        <rFont val="Calibri"/>
        <family val="2"/>
      </rPr>
      <t/>
    </r>
  </si>
  <si>
    <t>5a must equal 6d</t>
  </si>
  <si>
    <t>5b must equal 6h</t>
  </si>
  <si>
    <t>5c must equal 6l</t>
  </si>
  <si>
    <t>Unauthorised Extensions(Nbr of complaints closed outwith timescale with no authorised extension)</t>
  </si>
  <si>
    <t>(Calculated)</t>
  </si>
  <si>
    <t>=U-AQ-AU</t>
  </si>
  <si>
    <t>data not recorded for indicator 9</t>
  </si>
  <si>
    <r>
      <rPr>
        <b/>
        <sz val="8"/>
        <color rgb="FF000000"/>
        <rFont val="Calibri"/>
        <family val="2"/>
      </rPr>
      <t>6h - Total Stage two complaints outcomes.</t>
    </r>
    <r>
      <rPr>
        <sz val="8"/>
        <color rgb="FF000000"/>
        <rFont val="Calibri"/>
        <family val="2"/>
      </rPr>
      <t xml:space="preserve">
(6e+6f+6g).
</t>
    </r>
    <r>
      <rPr>
        <i/>
        <sz val="9"/>
        <rFont val="Calibri"/>
        <family val="2"/>
      </rPr>
      <t/>
    </r>
  </si>
  <si>
    <t xml:space="preserve">Nil return for complaints </t>
  </si>
  <si>
    <t>No data recorded for indicator 9</t>
  </si>
  <si>
    <t>NHS Scotland Annual Complaints Summary 2019-20</t>
  </si>
  <si>
    <t>Summary of Errors currently showing on NHS Scotland Annual Complaints Summary 2019-20</t>
  </si>
  <si>
    <t>Complaints
1st April 2019 to 31 March 2020</t>
  </si>
  <si>
    <t xml:space="preserve">NHS Golden Jubilee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</si>
</sst>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43" formatCode="_-* #,##0.00_-;\-* #,##0.00_-;_-* &quot;-&quot;??_-;_-@_-"/>
    <numFmt numFmtId="164" formatCode="0.0"/>
    <numFmt numFmtId="165" formatCode="0.0%"/>
    <numFmt numFmtId="166" formatCode="_-* #,##0.0_-;\-* #,##0.0_-;_-* &quot;-&quot;??_-;_-@_-"/>
    <numFmt numFmtId="167" formatCode="_-* #,##0_-;\-* #,##0_-;_-* &quot;-&quot;??_-;_-@_-"/>
    <numFmt numFmtId="168" formatCode="#,##0_ ;\-#,##0\ "/>
  </numFmts>
  <fonts count="43" x14ac:knownFonts="1">
    <font>
      <sz val="11"/>
      <color rgb="FF000000"/>
      <name val="Calibri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sz val="10"/>
      <color rgb="FF000000"/>
      <name val="Calibri"/>
      <family val="2"/>
    </font>
    <font>
      <b/>
      <sz val="11"/>
      <color rgb="FF000000"/>
      <name val="Calibri"/>
      <family val="2"/>
    </font>
    <font>
      <b/>
      <sz val="12"/>
      <color rgb="FF000000"/>
      <name val="Calibri"/>
      <family val="2"/>
    </font>
    <font>
      <b/>
      <sz val="10"/>
      <color rgb="FF000000"/>
      <name val="Calibri"/>
      <family val="2"/>
    </font>
    <font>
      <sz val="11"/>
      <color rgb="FF000000"/>
      <name val="Calibri"/>
      <family val="2"/>
    </font>
    <font>
      <b/>
      <sz val="11"/>
      <color theme="1"/>
      <name val="Calibri"/>
      <family val="2"/>
      <scheme val="minor"/>
    </font>
    <font>
      <sz val="10"/>
      <color rgb="FFFF0000"/>
      <name val="Calibri"/>
      <family val="2"/>
    </font>
    <font>
      <b/>
      <u/>
      <sz val="12"/>
      <color rgb="FF000000"/>
      <name val="Calibri"/>
      <family val="2"/>
    </font>
    <font>
      <b/>
      <sz val="11"/>
      <color rgb="FFFF0000"/>
      <name val="Calibri"/>
      <family val="2"/>
      <scheme val="minor"/>
    </font>
    <font>
      <i/>
      <sz val="9"/>
      <color rgb="FF000000"/>
      <name val="Calibri"/>
      <family val="2"/>
    </font>
    <font>
      <sz val="10"/>
      <color theme="1"/>
      <name val="Calibri"/>
      <family val="2"/>
    </font>
    <font>
      <i/>
      <sz val="10"/>
      <color theme="1"/>
      <name val="Calibri"/>
      <family val="2"/>
    </font>
    <font>
      <i/>
      <sz val="9"/>
      <name val="Calibri"/>
      <family val="2"/>
    </font>
    <font>
      <b/>
      <u/>
      <sz val="11"/>
      <color rgb="FF000000"/>
      <name val="Calibri"/>
      <family val="2"/>
    </font>
    <font>
      <sz val="11"/>
      <color rgb="FFFF0000"/>
      <name val="Calibri"/>
      <family val="2"/>
    </font>
    <font>
      <b/>
      <sz val="10"/>
      <color theme="1"/>
      <name val="Calibri"/>
      <family val="2"/>
    </font>
    <font>
      <i/>
      <sz val="11"/>
      <color rgb="FF000000"/>
      <name val="Calibri"/>
      <family val="2"/>
    </font>
    <font>
      <b/>
      <i/>
      <sz val="11"/>
      <color rgb="FF000000"/>
      <name val="Calibri"/>
      <family val="2"/>
    </font>
    <font>
      <i/>
      <sz val="10"/>
      <color rgb="FF000000"/>
      <name val="Comic Sans MS"/>
      <family val="4"/>
    </font>
    <font>
      <b/>
      <i/>
      <sz val="10"/>
      <color rgb="FF000000"/>
      <name val="Comic Sans MS"/>
      <family val="4"/>
    </font>
    <font>
      <b/>
      <sz val="11"/>
      <name val="Calibri"/>
      <family val="2"/>
    </font>
    <font>
      <sz val="8"/>
      <color rgb="FF000000"/>
      <name val="Wingdings 2"/>
      <family val="1"/>
      <charset val="2"/>
    </font>
    <font>
      <b/>
      <sz val="11"/>
      <color rgb="FF000000"/>
      <name val="Arial"/>
      <family val="2"/>
    </font>
    <font>
      <sz val="8.8000000000000007"/>
      <color rgb="FF000000"/>
      <name val="Arial"/>
      <family val="2"/>
    </font>
    <font>
      <b/>
      <sz val="8.8000000000000007"/>
      <color rgb="FF000000"/>
      <name val="Arial"/>
      <family val="2"/>
    </font>
    <font>
      <b/>
      <sz val="8.8000000000000007"/>
      <color rgb="FF0070C0"/>
      <name val="Arial"/>
      <family val="2"/>
    </font>
    <font>
      <sz val="8.8000000000000007"/>
      <color rgb="FF0070C0"/>
      <name val="Arial"/>
      <family val="2"/>
    </font>
    <font>
      <b/>
      <sz val="11"/>
      <color theme="4" tint="-0.249977111117893"/>
      <name val="Calibri"/>
      <family val="2"/>
    </font>
    <font>
      <b/>
      <sz val="10"/>
      <color rgb="FF000000"/>
      <name val="Arial"/>
      <family val="2"/>
    </font>
    <font>
      <sz val="8"/>
      <color rgb="FF000000"/>
      <name val="Calibri"/>
      <family val="2"/>
    </font>
    <font>
      <b/>
      <sz val="8"/>
      <color rgb="FF000000"/>
      <name val="Calibri"/>
      <family val="2"/>
    </font>
    <font>
      <sz val="8"/>
      <color rgb="FFFF0000"/>
      <name val="Calibri"/>
      <family val="2"/>
    </font>
    <font>
      <b/>
      <sz val="8"/>
      <color theme="1"/>
      <name val="Calibri"/>
      <family val="2"/>
    </font>
    <font>
      <sz val="8"/>
      <color theme="1"/>
      <name val="Calibri"/>
      <family val="2"/>
    </font>
    <font>
      <sz val="8"/>
      <color rgb="FF000000"/>
      <name val="Arial"/>
      <family val="2"/>
    </font>
    <font>
      <i/>
      <sz val="8"/>
      <color rgb="FF000000"/>
      <name val="Calibri"/>
      <family val="2"/>
    </font>
    <font>
      <i/>
      <sz val="8"/>
      <color theme="1"/>
      <name val="Calibri"/>
      <family val="2"/>
    </font>
    <font>
      <b/>
      <sz val="11"/>
      <color rgb="FFFF0000"/>
      <name val="Calibri"/>
      <family val="2"/>
    </font>
    <font>
      <sz val="11"/>
      <name val="Calibri"/>
      <family val="2"/>
    </font>
  </fonts>
  <fills count="12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rgb="FFFFC000"/>
        <bgColor indexed="64"/>
      </patternFill>
    </fill>
  </fills>
  <borders count="7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dotted">
        <color rgb="FF999999"/>
      </top>
      <bottom style="dotted">
        <color rgb="FF999999"/>
      </bottom>
      <diagonal/>
    </border>
    <border>
      <left style="medium">
        <color rgb="FF999999"/>
      </left>
      <right style="medium">
        <color rgb="FF999999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 style="thin">
        <color indexed="64"/>
      </left>
      <right style="thick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</borders>
  <cellStyleXfs count="4">
    <xf numFmtId="0" fontId="0" fillId="0" borderId="0"/>
    <xf numFmtId="9" fontId="8" fillId="0" borderId="0" applyFont="0" applyFill="0" applyBorder="0" applyAlignment="0" applyProtection="0"/>
    <xf numFmtId="9" fontId="3" fillId="0" borderId="0" applyFont="0" applyFill="0" applyBorder="0" applyAlignment="0" applyProtection="0"/>
    <xf numFmtId="43" fontId="8" fillId="0" borderId="0" applyFont="0" applyFill="0" applyBorder="0" applyAlignment="0" applyProtection="0"/>
  </cellStyleXfs>
  <cellXfs count="407">
    <xf numFmtId="0" fontId="0" fillId="0" borderId="0" xfId="0"/>
    <xf numFmtId="0" fontId="3" fillId="0" borderId="0" xfId="0" applyFont="1"/>
    <xf numFmtId="0" fontId="0" fillId="0" borderId="0" xfId="0" applyBorder="1"/>
    <xf numFmtId="0" fontId="0" fillId="0" borderId="0" xfId="0" applyFill="1"/>
    <xf numFmtId="0" fontId="3" fillId="0" borderId="0" xfId="0" applyFont="1" applyFill="1"/>
    <xf numFmtId="0" fontId="3" fillId="0" borderId="0" xfId="0" applyFont="1" applyBorder="1"/>
    <xf numFmtId="0" fontId="6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top" wrapText="1"/>
    </xf>
    <xf numFmtId="0" fontId="12" fillId="2" borderId="0" xfId="0" applyFont="1" applyFill="1"/>
    <xf numFmtId="0" fontId="0" fillId="0" borderId="0" xfId="1" applyNumberFormat="1" applyFont="1" applyFill="1" applyBorder="1" applyAlignment="1">
      <alignment horizontal="center" vertical="center"/>
    </xf>
    <xf numFmtId="0" fontId="5" fillId="0" borderId="0" xfId="0" applyFont="1"/>
    <xf numFmtId="0" fontId="0" fillId="0" borderId="0" xfId="0" applyNumberFormat="1" applyFill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0" fontId="2" fillId="0" borderId="0" xfId="0" applyFont="1"/>
    <xf numFmtId="0" fontId="0" fillId="0" borderId="0" xfId="0" applyAlignment="1"/>
    <xf numFmtId="0" fontId="4" fillId="0" borderId="0" xfId="0" applyFont="1"/>
    <xf numFmtId="0" fontId="3" fillId="0" borderId="0" xfId="0" quotePrefix="1" applyFont="1"/>
    <xf numFmtId="0" fontId="17" fillId="0" borderId="0" xfId="0" applyFont="1" applyFill="1" applyBorder="1" applyAlignment="1">
      <alignment vertical="center"/>
    </xf>
    <xf numFmtId="0" fontId="0" fillId="0" borderId="0" xfId="0" applyAlignment="1">
      <alignment horizontal="center"/>
    </xf>
    <xf numFmtId="0" fontId="18" fillId="0" borderId="0" xfId="0" applyFont="1" applyFill="1"/>
    <xf numFmtId="0" fontId="9" fillId="0" borderId="0" xfId="0" applyFont="1" applyBorder="1" applyAlignment="1">
      <alignment vertical="center"/>
    </xf>
    <xf numFmtId="0" fontId="22" fillId="0" borderId="0" xfId="0" applyFont="1"/>
    <xf numFmtId="0" fontId="22" fillId="0" borderId="0" xfId="0" applyNumberFormat="1" applyFont="1" applyFill="1" applyAlignment="1">
      <alignment horizontal="center" vertical="center"/>
    </xf>
    <xf numFmtId="0" fontId="22" fillId="0" borderId="0" xfId="1" applyNumberFormat="1" applyFont="1" applyFill="1" applyBorder="1" applyAlignment="1">
      <alignment horizontal="center" vertical="center"/>
    </xf>
    <xf numFmtId="0" fontId="23" fillId="0" borderId="2" xfId="0" applyFont="1" applyFill="1" applyBorder="1" applyAlignment="1">
      <alignment vertical="center"/>
    </xf>
    <xf numFmtId="0" fontId="0" fillId="0" borderId="4" xfId="0" applyBorder="1" applyAlignment="1">
      <alignment vertical="center"/>
    </xf>
    <xf numFmtId="0" fontId="0" fillId="0" borderId="1" xfId="2" applyNumberFormat="1" applyFont="1" applyFill="1" applyBorder="1" applyAlignment="1">
      <alignment horizontal="center" vertical="center"/>
    </xf>
    <xf numFmtId="0" fontId="0" fillId="0" borderId="0" xfId="0" applyFill="1"/>
    <xf numFmtId="0" fontId="0" fillId="5" borderId="1" xfId="1" applyNumberFormat="1" applyFont="1" applyFill="1" applyBorder="1" applyAlignment="1">
      <alignment horizontal="center" vertical="center"/>
    </xf>
    <xf numFmtId="0" fontId="0" fillId="5" borderId="0" xfId="0" applyNumberFormat="1" applyFill="1" applyAlignment="1">
      <alignment horizontal="center" vertical="center"/>
    </xf>
    <xf numFmtId="0" fontId="0" fillId="0" borderId="0" xfId="1" applyNumberFormat="1" applyFont="1" applyFill="1" applyBorder="1" applyAlignment="1">
      <alignment horizontal="center" vertical="center"/>
    </xf>
    <xf numFmtId="0" fontId="0" fillId="0" borderId="1" xfId="1" applyNumberFormat="1" applyFont="1" applyFill="1" applyBorder="1" applyAlignment="1">
      <alignment horizontal="center" vertical="center"/>
    </xf>
    <xf numFmtId="0" fontId="0" fillId="0" borderId="0" xfId="0" applyNumberFormat="1" applyFill="1" applyAlignment="1">
      <alignment horizontal="center" vertical="center"/>
    </xf>
    <xf numFmtId="0" fontId="0" fillId="0" borderId="0" xfId="0"/>
    <xf numFmtId="0" fontId="0" fillId="0" borderId="1" xfId="1" applyNumberFormat="1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167" fontId="0" fillId="0" borderId="0" xfId="3" applyNumberFormat="1" applyFont="1" applyFill="1" applyAlignment="1">
      <alignment horizontal="center" vertical="center"/>
    </xf>
    <xf numFmtId="0" fontId="3" fillId="0" borderId="0" xfId="0" applyNumberFormat="1" applyFont="1" applyFill="1" applyAlignment="1">
      <alignment horizontal="center" vertical="center"/>
    </xf>
    <xf numFmtId="166" fontId="23" fillId="6" borderId="6" xfId="3" applyNumberFormat="1" applyFont="1" applyFill="1" applyBorder="1" applyAlignment="1">
      <alignment horizontal="center" vertical="center"/>
    </xf>
    <xf numFmtId="0" fontId="23" fillId="6" borderId="7" xfId="0" applyFont="1" applyFill="1" applyBorder="1" applyAlignment="1">
      <alignment horizontal="center" vertical="center"/>
    </xf>
    <xf numFmtId="0" fontId="21" fillId="0" borderId="8" xfId="0" applyFont="1" applyFill="1" applyBorder="1" applyAlignment="1">
      <alignment horizontal="center" vertical="center"/>
    </xf>
    <xf numFmtId="0" fontId="5" fillId="6" borderId="8" xfId="0" applyFont="1" applyFill="1" applyBorder="1" applyAlignment="1">
      <alignment horizontal="center" vertical="center"/>
    </xf>
    <xf numFmtId="0" fontId="23" fillId="6" borderId="9" xfId="0" applyFont="1" applyFill="1" applyBorder="1" applyAlignment="1">
      <alignment horizontal="center" vertical="center"/>
    </xf>
    <xf numFmtId="0" fontId="21" fillId="0" borderId="1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vertical="center"/>
    </xf>
    <xf numFmtId="0" fontId="1" fillId="0" borderId="0" xfId="0" applyFont="1"/>
    <xf numFmtId="0" fontId="25" fillId="0" borderId="0" xfId="0" applyNumberFormat="1" applyFont="1" applyFill="1" applyAlignment="1">
      <alignment horizontal="center" vertical="center"/>
    </xf>
    <xf numFmtId="0" fontId="26" fillId="0" borderId="11" xfId="0" applyFont="1" applyBorder="1" applyAlignment="1">
      <alignment horizontal="left" indent="2"/>
    </xf>
    <xf numFmtId="0" fontId="0" fillId="0" borderId="12" xfId="0" applyBorder="1" applyAlignment="1">
      <alignment horizontal="left" indent="2"/>
    </xf>
    <xf numFmtId="0" fontId="28" fillId="0" borderId="0" xfId="0" applyFont="1" applyAlignment="1">
      <alignment horizontal="left" indent="2"/>
    </xf>
    <xf numFmtId="0" fontId="27" fillId="9" borderId="13" xfId="0" applyFont="1" applyFill="1" applyBorder="1" applyAlignment="1">
      <alignment wrapText="1"/>
    </xf>
    <xf numFmtId="3" fontId="28" fillId="9" borderId="13" xfId="0" applyNumberFormat="1" applyFont="1" applyFill="1" applyBorder="1" applyAlignment="1">
      <alignment wrapText="1"/>
    </xf>
    <xf numFmtId="0" fontId="28" fillId="9" borderId="13" xfId="0" applyFont="1" applyFill="1" applyBorder="1" applyAlignment="1">
      <alignment wrapText="1"/>
    </xf>
    <xf numFmtId="3" fontId="29" fillId="9" borderId="13" xfId="0" applyNumberFormat="1" applyFont="1" applyFill="1" applyBorder="1" applyAlignment="1">
      <alignment wrapText="1"/>
    </xf>
    <xf numFmtId="3" fontId="27" fillId="9" borderId="13" xfId="0" applyNumberFormat="1" applyFont="1" applyFill="1" applyBorder="1" applyAlignment="1">
      <alignment wrapText="1"/>
    </xf>
    <xf numFmtId="9" fontId="27" fillId="9" borderId="13" xfId="0" applyNumberFormat="1" applyFont="1" applyFill="1" applyBorder="1" applyAlignment="1">
      <alignment wrapText="1"/>
    </xf>
    <xf numFmtId="0" fontId="27" fillId="9" borderId="13" xfId="0" applyFont="1" applyFill="1" applyBorder="1" applyAlignment="1">
      <alignment vertical="top" wrapText="1"/>
    </xf>
    <xf numFmtId="9" fontId="28" fillId="9" borderId="13" xfId="0" applyNumberFormat="1" applyFont="1" applyFill="1" applyBorder="1" applyAlignment="1">
      <alignment wrapText="1"/>
    </xf>
    <xf numFmtId="3" fontId="29" fillId="9" borderId="13" xfId="0" quotePrefix="1" applyNumberFormat="1" applyFont="1" applyFill="1" applyBorder="1" applyAlignment="1">
      <alignment wrapText="1"/>
    </xf>
    <xf numFmtId="9" fontId="30" fillId="9" borderId="13" xfId="0" applyNumberFormat="1" applyFont="1" applyFill="1" applyBorder="1" applyAlignment="1">
      <alignment wrapText="1"/>
    </xf>
    <xf numFmtId="3" fontId="30" fillId="9" borderId="13" xfId="0" quotePrefix="1" applyNumberFormat="1" applyFont="1" applyFill="1" applyBorder="1" applyAlignment="1">
      <alignment wrapText="1"/>
    </xf>
    <xf numFmtId="9" fontId="29" fillId="9" borderId="13" xfId="0" applyNumberFormat="1" applyFont="1" applyFill="1" applyBorder="1" applyAlignment="1">
      <alignment wrapText="1"/>
    </xf>
    <xf numFmtId="0" fontId="0" fillId="0" borderId="0" xfId="0" applyFill="1" applyBorder="1"/>
    <xf numFmtId="9" fontId="29" fillId="0" borderId="0" xfId="0" applyNumberFormat="1" applyFont="1" applyFill="1" applyBorder="1" applyAlignment="1">
      <alignment wrapText="1"/>
    </xf>
    <xf numFmtId="0" fontId="31" fillId="0" borderId="0" xfId="0" applyFont="1"/>
    <xf numFmtId="0" fontId="31" fillId="0" borderId="0" xfId="0" quotePrefix="1" applyFont="1"/>
    <xf numFmtId="3" fontId="30" fillId="0" borderId="14" xfId="0" quotePrefix="1" applyNumberFormat="1" applyFont="1" applyFill="1" applyBorder="1" applyAlignment="1">
      <alignment wrapText="1"/>
    </xf>
    <xf numFmtId="9" fontId="30" fillId="0" borderId="15" xfId="0" applyNumberFormat="1" applyFont="1" applyFill="1" applyBorder="1" applyAlignment="1">
      <alignment wrapText="1"/>
    </xf>
    <xf numFmtId="0" fontId="23" fillId="4" borderId="16" xfId="0" applyFont="1" applyFill="1" applyBorder="1" applyAlignment="1">
      <alignment horizontal="center" vertical="center"/>
    </xf>
    <xf numFmtId="0" fontId="22" fillId="0" borderId="7" xfId="0" applyFont="1" applyFill="1" applyBorder="1" applyAlignment="1">
      <alignment horizontal="center" vertical="center"/>
    </xf>
    <xf numFmtId="0" fontId="22" fillId="0" borderId="17" xfId="0" applyFont="1" applyFill="1" applyBorder="1" applyAlignment="1">
      <alignment horizontal="center" vertical="center"/>
    </xf>
    <xf numFmtId="0" fontId="22" fillId="4" borderId="16" xfId="0" applyNumberFormat="1" applyFont="1" applyFill="1" applyBorder="1" applyAlignment="1">
      <alignment horizontal="center" vertical="center"/>
    </xf>
    <xf numFmtId="0" fontId="22" fillId="0" borderId="18" xfId="1" applyNumberFormat="1" applyFont="1" applyFill="1" applyBorder="1" applyAlignment="1">
      <alignment horizontal="center" vertical="center"/>
    </xf>
    <xf numFmtId="0" fontId="22" fillId="0" borderId="7" xfId="1" applyNumberFormat="1" applyFont="1" applyFill="1" applyBorder="1" applyAlignment="1">
      <alignment horizontal="center" vertical="center"/>
    </xf>
    <xf numFmtId="0" fontId="22" fillId="0" borderId="17" xfId="1" applyNumberFormat="1" applyFont="1" applyFill="1" applyBorder="1" applyAlignment="1">
      <alignment horizontal="center" vertical="center"/>
    </xf>
    <xf numFmtId="0" fontId="22" fillId="7" borderId="6" xfId="1" applyNumberFormat="1" applyFont="1" applyFill="1" applyBorder="1" applyAlignment="1">
      <alignment horizontal="center" vertical="center"/>
    </xf>
    <xf numFmtId="0" fontId="22" fillId="7" borderId="7" xfId="1" applyNumberFormat="1" applyFont="1" applyFill="1" applyBorder="1" applyAlignment="1">
      <alignment horizontal="center" vertical="center"/>
    </xf>
    <xf numFmtId="0" fontId="22" fillId="7" borderId="17" xfId="1" applyNumberFormat="1" applyFont="1" applyFill="1" applyBorder="1" applyAlignment="1">
      <alignment horizontal="center" vertical="center"/>
    </xf>
    <xf numFmtId="0" fontId="22" fillId="7" borderId="18" xfId="1" applyNumberFormat="1" applyFont="1" applyFill="1" applyBorder="1" applyAlignment="1">
      <alignment horizontal="center" vertical="center"/>
    </xf>
    <xf numFmtId="0" fontId="22" fillId="0" borderId="6" xfId="1" applyNumberFormat="1" applyFont="1" applyFill="1" applyBorder="1" applyAlignment="1">
      <alignment horizontal="center" vertical="center"/>
    </xf>
    <xf numFmtId="0" fontId="22" fillId="0" borderId="6" xfId="0" applyNumberFormat="1" applyFont="1" applyFill="1" applyBorder="1" applyAlignment="1">
      <alignment horizontal="center" vertical="center"/>
    </xf>
    <xf numFmtId="0" fontId="22" fillId="0" borderId="17" xfId="0" applyNumberFormat="1" applyFont="1" applyFill="1" applyBorder="1" applyAlignment="1">
      <alignment horizontal="center" vertical="center"/>
    </xf>
    <xf numFmtId="0" fontId="3" fillId="0" borderId="16" xfId="0" applyFont="1" applyFill="1" applyBorder="1" applyAlignment="1">
      <alignment vertical="top" wrapText="1"/>
    </xf>
    <xf numFmtId="0" fontId="0" fillId="5" borderId="0" xfId="0" applyFill="1" applyBorder="1"/>
    <xf numFmtId="0" fontId="20" fillId="5" borderId="0" xfId="0" applyFont="1" applyFill="1" applyBorder="1"/>
    <xf numFmtId="0" fontId="20" fillId="5" borderId="19" xfId="0" applyNumberFormat="1" applyFont="1" applyFill="1" applyBorder="1" applyAlignment="1">
      <alignment horizontal="center" vertical="center"/>
    </xf>
    <xf numFmtId="0" fontId="20" fillId="5" borderId="19" xfId="1" applyNumberFormat="1" applyFont="1" applyFill="1" applyBorder="1" applyAlignment="1">
      <alignment horizontal="center" vertical="center"/>
    </xf>
    <xf numFmtId="0" fontId="20" fillId="5" borderId="0" xfId="0" applyNumberFormat="1" applyFont="1" applyFill="1" applyBorder="1" applyAlignment="1">
      <alignment horizontal="center" vertical="center"/>
    </xf>
    <xf numFmtId="0" fontId="20" fillId="5" borderId="0" xfId="1" applyNumberFormat="1" applyFont="1" applyFill="1" applyBorder="1" applyAlignment="1">
      <alignment horizontal="center" vertical="center"/>
    </xf>
    <xf numFmtId="0" fontId="0" fillId="11" borderId="0" xfId="0" applyFill="1" applyAlignment="1">
      <alignment horizontal="center"/>
    </xf>
    <xf numFmtId="0" fontId="23" fillId="4" borderId="3" xfId="0" applyFont="1" applyFill="1" applyBorder="1" applyAlignment="1">
      <alignment horizontal="center" vertical="center"/>
    </xf>
    <xf numFmtId="0" fontId="3" fillId="0" borderId="0" xfId="0" applyFont="1" applyFill="1" applyAlignment="1"/>
    <xf numFmtId="0" fontId="0" fillId="0" borderId="0" xfId="0" applyFill="1" applyAlignment="1"/>
    <xf numFmtId="0" fontId="22" fillId="0" borderId="8" xfId="0" applyFont="1" applyFill="1" applyBorder="1" applyAlignment="1">
      <alignment horizontal="center" vertical="center"/>
    </xf>
    <xf numFmtId="0" fontId="0" fillId="0" borderId="0" xfId="0" applyBorder="1" applyAlignment="1">
      <alignment horizontal="center"/>
    </xf>
    <xf numFmtId="0" fontId="5" fillId="4" borderId="1" xfId="0" applyFont="1" applyFill="1" applyBorder="1" applyAlignment="1">
      <alignment horizontal="center" vertical="center"/>
    </xf>
    <xf numFmtId="0" fontId="21" fillId="0" borderId="19" xfId="0" applyFont="1" applyFill="1" applyBorder="1" applyAlignment="1">
      <alignment vertical="center"/>
    </xf>
    <xf numFmtId="0" fontId="5" fillId="4" borderId="34" xfId="0" applyFont="1" applyFill="1" applyBorder="1" applyAlignment="1">
      <alignment horizontal="center" vertical="center"/>
    </xf>
    <xf numFmtId="0" fontId="5" fillId="4" borderId="35" xfId="0" applyFont="1" applyFill="1" applyBorder="1" applyAlignment="1">
      <alignment horizontal="center" vertical="center"/>
    </xf>
    <xf numFmtId="0" fontId="5" fillId="4" borderId="36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left" vertical="top" wrapText="1"/>
    </xf>
    <xf numFmtId="0" fontId="21" fillId="0" borderId="0" xfId="0" applyFont="1"/>
    <xf numFmtId="0" fontId="5" fillId="0" borderId="1" xfId="0" applyFont="1" applyBorder="1" applyAlignment="1">
      <alignment horizontal="center" vertical="center" wrapText="1"/>
    </xf>
    <xf numFmtId="0" fontId="3" fillId="0" borderId="0" xfId="0" quotePrefix="1" applyFont="1" applyAlignment="1">
      <alignment horizontal="center"/>
    </xf>
    <xf numFmtId="0" fontId="3" fillId="0" borderId="0" xfId="0" applyFont="1" applyAlignment="1">
      <alignment horizontal="center"/>
    </xf>
    <xf numFmtId="0" fontId="9" fillId="0" borderId="37" xfId="0" applyFont="1" applyBorder="1" applyAlignment="1">
      <alignment vertical="center"/>
    </xf>
    <xf numFmtId="0" fontId="9" fillId="0" borderId="37" xfId="0" applyFont="1" applyBorder="1" applyAlignment="1">
      <alignment vertical="center" wrapText="1"/>
    </xf>
    <xf numFmtId="0" fontId="23" fillId="0" borderId="16" xfId="0" applyFont="1" applyFill="1" applyBorder="1" applyAlignment="1">
      <alignment vertical="center"/>
    </xf>
    <xf numFmtId="0" fontId="7" fillId="0" borderId="4" xfId="0" applyFont="1" applyBorder="1" applyAlignment="1">
      <alignment vertical="top" wrapText="1"/>
    </xf>
    <xf numFmtId="0" fontId="4" fillId="0" borderId="41" xfId="0" applyFont="1" applyBorder="1" applyAlignment="1">
      <alignment vertical="top" wrapText="1"/>
    </xf>
    <xf numFmtId="0" fontId="4" fillId="0" borderId="35" xfId="0" applyFont="1" applyBorder="1" applyAlignment="1">
      <alignment vertical="top" wrapText="1"/>
    </xf>
    <xf numFmtId="0" fontId="4" fillId="0" borderId="42" xfId="0" applyFont="1" applyBorder="1" applyAlignment="1">
      <alignment vertical="top" wrapText="1"/>
    </xf>
    <xf numFmtId="0" fontId="0" fillId="7" borderId="0" xfId="0" applyFill="1" applyBorder="1"/>
    <xf numFmtId="0" fontId="0" fillId="0" borderId="0" xfId="0" applyFill="1" applyBorder="1" applyAlignment="1">
      <alignment horizontal="center" vertical="center"/>
    </xf>
    <xf numFmtId="0" fontId="5" fillId="4" borderId="41" xfId="0" applyFont="1" applyFill="1" applyBorder="1" applyAlignment="1">
      <alignment horizontal="center" vertical="center"/>
    </xf>
    <xf numFmtId="0" fontId="5" fillId="4" borderId="42" xfId="0" applyFont="1" applyFill="1" applyBorder="1" applyAlignment="1">
      <alignment horizontal="center" vertical="center"/>
    </xf>
    <xf numFmtId="0" fontId="0" fillId="0" borderId="28" xfId="1" applyNumberFormat="1" applyFont="1" applyFill="1" applyBorder="1" applyAlignment="1">
      <alignment horizontal="center" vertical="center"/>
    </xf>
    <xf numFmtId="0" fontId="0" fillId="0" borderId="29" xfId="1" applyNumberFormat="1" applyFont="1" applyFill="1" applyBorder="1" applyAlignment="1">
      <alignment horizontal="center" vertical="center"/>
    </xf>
    <xf numFmtId="0" fontId="0" fillId="0" borderId="30" xfId="1" applyNumberFormat="1" applyFont="1" applyFill="1" applyBorder="1" applyAlignment="1">
      <alignment horizontal="center" vertical="center"/>
    </xf>
    <xf numFmtId="0" fontId="0" fillId="0" borderId="31" xfId="1" applyNumberFormat="1" applyFont="1" applyFill="1" applyBorder="1" applyAlignment="1">
      <alignment horizontal="center" vertical="center"/>
    </xf>
    <xf numFmtId="0" fontId="0" fillId="0" borderId="31" xfId="2" applyNumberFormat="1" applyFont="1" applyFill="1" applyBorder="1" applyAlignment="1">
      <alignment horizontal="center" vertical="center"/>
    </xf>
    <xf numFmtId="0" fontId="5" fillId="4" borderId="46" xfId="0" applyFont="1" applyFill="1" applyBorder="1" applyAlignment="1">
      <alignment horizontal="center" vertical="center"/>
    </xf>
    <xf numFmtId="0" fontId="5" fillId="4" borderId="37" xfId="0" applyFont="1" applyFill="1" applyBorder="1" applyAlignment="1">
      <alignment horizontal="center" vertical="center"/>
    </xf>
    <xf numFmtId="0" fontId="4" fillId="0" borderId="50" xfId="0" applyFont="1" applyBorder="1" applyAlignment="1">
      <alignment vertical="top" wrapText="1"/>
    </xf>
    <xf numFmtId="0" fontId="0" fillId="0" borderId="31" xfId="1" applyNumberFormat="1" applyFont="1" applyBorder="1" applyAlignment="1">
      <alignment horizontal="center" vertical="center"/>
    </xf>
    <xf numFmtId="0" fontId="0" fillId="0" borderId="32" xfId="1" applyNumberFormat="1" applyFont="1" applyBorder="1" applyAlignment="1">
      <alignment horizontal="center" vertical="center"/>
    </xf>
    <xf numFmtId="0" fontId="0" fillId="0" borderId="26" xfId="1" applyNumberFormat="1" applyFont="1" applyBorder="1" applyAlignment="1">
      <alignment horizontal="center" vertical="center"/>
    </xf>
    <xf numFmtId="0" fontId="0" fillId="0" borderId="33" xfId="1" applyNumberFormat="1" applyFont="1" applyBorder="1" applyAlignment="1">
      <alignment horizontal="center" vertical="center"/>
    </xf>
    <xf numFmtId="0" fontId="5" fillId="4" borderId="50" xfId="0" applyFont="1" applyFill="1" applyBorder="1" applyAlignment="1">
      <alignment horizontal="center" vertical="center"/>
    </xf>
    <xf numFmtId="0" fontId="5" fillId="4" borderId="53" xfId="0" applyFont="1" applyFill="1" applyBorder="1" applyAlignment="1">
      <alignment horizontal="center" vertical="center"/>
    </xf>
    <xf numFmtId="0" fontId="17" fillId="0" borderId="0" xfId="0" applyFont="1"/>
    <xf numFmtId="0" fontId="3" fillId="5" borderId="0" xfId="0" applyFont="1" applyFill="1" applyBorder="1" applyAlignment="1">
      <alignment vertical="top" wrapText="1"/>
    </xf>
    <xf numFmtId="0" fontId="3" fillId="0" borderId="47" xfId="0" applyFont="1" applyFill="1" applyBorder="1" applyAlignment="1">
      <alignment vertical="top" wrapText="1"/>
    </xf>
    <xf numFmtId="0" fontId="3" fillId="0" borderId="45" xfId="0" applyFont="1" applyFill="1" applyBorder="1" applyAlignment="1">
      <alignment vertical="top" wrapText="1"/>
    </xf>
    <xf numFmtId="0" fontId="0" fillId="0" borderId="45" xfId="0" applyFill="1" applyBorder="1" applyAlignment="1">
      <alignment vertical="top" wrapText="1"/>
    </xf>
    <xf numFmtId="0" fontId="0" fillId="0" borderId="45" xfId="0" applyBorder="1" applyAlignment="1">
      <alignment vertical="top"/>
    </xf>
    <xf numFmtId="0" fontId="0" fillId="0" borderId="44" xfId="0" applyBorder="1" applyAlignment="1">
      <alignment vertical="top"/>
    </xf>
    <xf numFmtId="14" fontId="3" fillId="0" borderId="45" xfId="0" applyNumberFormat="1" applyFont="1" applyFill="1" applyBorder="1" applyAlignment="1">
      <alignment vertical="top" wrapText="1"/>
    </xf>
    <xf numFmtId="0" fontId="0" fillId="0" borderId="44" xfId="0" applyBorder="1"/>
    <xf numFmtId="0" fontId="21" fillId="0" borderId="0" xfId="0" applyFont="1" applyBorder="1"/>
    <xf numFmtId="0" fontId="20" fillId="0" borderId="54" xfId="0" applyFont="1" applyFill="1" applyBorder="1" applyAlignment="1">
      <alignment horizontal="center"/>
    </xf>
    <xf numFmtId="0" fontId="3" fillId="0" borderId="19" xfId="0" applyFont="1" applyFill="1" applyBorder="1" applyAlignment="1">
      <alignment horizontal="center"/>
    </xf>
    <xf numFmtId="0" fontId="3" fillId="0" borderId="55" xfId="0" applyFont="1" applyFill="1" applyBorder="1" applyAlignment="1">
      <alignment horizontal="center"/>
    </xf>
    <xf numFmtId="168" fontId="3" fillId="0" borderId="56" xfId="0" applyNumberFormat="1" applyFont="1" applyFill="1" applyBorder="1" applyAlignment="1">
      <alignment horizontal="center"/>
    </xf>
    <xf numFmtId="0" fontId="3" fillId="0" borderId="56" xfId="0" applyFont="1" applyFill="1" applyBorder="1" applyAlignment="1">
      <alignment horizontal="center"/>
    </xf>
    <xf numFmtId="0" fontId="20" fillId="0" borderId="56" xfId="0" quotePrefix="1" applyFont="1" applyFill="1" applyBorder="1" applyAlignment="1">
      <alignment horizontal="center"/>
    </xf>
    <xf numFmtId="0" fontId="20" fillId="0" borderId="56" xfId="0" applyFont="1" applyFill="1" applyBorder="1" applyAlignment="1">
      <alignment horizontal="center"/>
    </xf>
    <xf numFmtId="0" fontId="3" fillId="0" borderId="57" xfId="0" applyFont="1" applyFill="1" applyBorder="1" applyAlignment="1">
      <alignment horizontal="center"/>
    </xf>
    <xf numFmtId="168" fontId="3" fillId="0" borderId="58" xfId="0" applyNumberFormat="1" applyFont="1" applyFill="1" applyBorder="1" applyAlignment="1">
      <alignment horizontal="center"/>
    </xf>
    <xf numFmtId="0" fontId="3" fillId="0" borderId="58" xfId="0" applyFont="1" applyFill="1" applyBorder="1" applyAlignment="1">
      <alignment horizontal="center"/>
    </xf>
    <xf numFmtId="0" fontId="3" fillId="0" borderId="59" xfId="0" applyFont="1" applyFill="1" applyBorder="1" applyAlignment="1">
      <alignment horizontal="center"/>
    </xf>
    <xf numFmtId="168" fontId="3" fillId="0" borderId="60" xfId="0" applyNumberFormat="1" applyFont="1" applyFill="1" applyBorder="1" applyAlignment="1">
      <alignment horizontal="center"/>
    </xf>
    <xf numFmtId="0" fontId="3" fillId="0" borderId="60" xfId="0" applyFont="1" applyFill="1" applyBorder="1" applyAlignment="1">
      <alignment horizontal="center"/>
    </xf>
    <xf numFmtId="0" fontId="5" fillId="0" borderId="1" xfId="0" applyFont="1" applyFill="1" applyBorder="1" applyAlignment="1">
      <alignment vertical="center"/>
    </xf>
    <xf numFmtId="0" fontId="5" fillId="0" borderId="61" xfId="0" applyFont="1" applyBorder="1"/>
    <xf numFmtId="0" fontId="5" fillId="0" borderId="62" xfId="0" applyFont="1" applyBorder="1"/>
    <xf numFmtId="0" fontId="21" fillId="0" borderId="1" xfId="0" applyFont="1" applyFill="1" applyBorder="1" applyAlignment="1">
      <alignment vertical="center"/>
    </xf>
    <xf numFmtId="0" fontId="5" fillId="0" borderId="1" xfId="0" applyFont="1" applyBorder="1"/>
    <xf numFmtId="166" fontId="21" fillId="0" borderId="63" xfId="3" applyNumberFormat="1" applyFont="1" applyFill="1" applyBorder="1" applyAlignment="1">
      <alignment horizontal="center" vertical="center"/>
    </xf>
    <xf numFmtId="165" fontId="0" fillId="5" borderId="1" xfId="2" applyNumberFormat="1" applyFont="1" applyFill="1" applyBorder="1" applyAlignment="1">
      <alignment horizontal="center" vertical="center"/>
    </xf>
    <xf numFmtId="165" fontId="0" fillId="5" borderId="49" xfId="2" applyNumberFormat="1" applyFont="1" applyFill="1" applyBorder="1" applyAlignment="1">
      <alignment horizontal="center" vertical="center"/>
    </xf>
    <xf numFmtId="165" fontId="0" fillId="5" borderId="28" xfId="2" applyNumberFormat="1" applyFont="1" applyFill="1" applyBorder="1" applyAlignment="1">
      <alignment horizontal="center" vertical="center"/>
    </xf>
    <xf numFmtId="165" fontId="0" fillId="5" borderId="30" xfId="2" applyNumberFormat="1" applyFont="1" applyFill="1" applyBorder="1" applyAlignment="1">
      <alignment horizontal="center" vertical="center"/>
    </xf>
    <xf numFmtId="165" fontId="0" fillId="5" borderId="32" xfId="2" applyNumberFormat="1" applyFont="1" applyFill="1" applyBorder="1" applyAlignment="1">
      <alignment horizontal="center" vertical="center"/>
    </xf>
    <xf numFmtId="167" fontId="5" fillId="7" borderId="31" xfId="3" applyNumberFormat="1" applyFont="1" applyFill="1" applyBorder="1" applyAlignment="1">
      <alignment horizontal="center" vertical="center"/>
    </xf>
    <xf numFmtId="167" fontId="5" fillId="7" borderId="33" xfId="3" applyNumberFormat="1" applyFont="1" applyFill="1" applyBorder="1" applyAlignment="1">
      <alignment horizontal="center" vertical="center"/>
    </xf>
    <xf numFmtId="9" fontId="5" fillId="7" borderId="41" xfId="2" applyFont="1" applyFill="1" applyBorder="1" applyAlignment="1">
      <alignment horizontal="center" vertical="center"/>
    </xf>
    <xf numFmtId="0" fontId="6" fillId="0" borderId="0" xfId="0" applyFont="1" applyBorder="1" applyAlignment="1">
      <alignment vertical="center"/>
    </xf>
    <xf numFmtId="165" fontId="0" fillId="7" borderId="0" xfId="1" applyNumberFormat="1" applyFont="1" applyFill="1" applyBorder="1" applyAlignment="1">
      <alignment horizontal="center" vertical="center"/>
    </xf>
    <xf numFmtId="9" fontId="5" fillId="8" borderId="0" xfId="1" applyFont="1" applyFill="1" applyBorder="1" applyAlignment="1">
      <alignment horizontal="center" vertical="center"/>
    </xf>
    <xf numFmtId="9" fontId="3" fillId="7" borderId="0" xfId="1" applyFont="1" applyFill="1" applyBorder="1" applyAlignment="1">
      <alignment horizontal="center" vertical="center"/>
    </xf>
    <xf numFmtId="0" fontId="0" fillId="0" borderId="63" xfId="0" applyFill="1" applyBorder="1" applyAlignment="1">
      <alignment horizontal="center" vertical="center"/>
    </xf>
    <xf numFmtId="165" fontId="0" fillId="5" borderId="21" xfId="2" applyNumberFormat="1" applyFont="1" applyFill="1" applyBorder="1" applyAlignment="1">
      <alignment horizontal="center" vertical="center"/>
    </xf>
    <xf numFmtId="165" fontId="0" fillId="5" borderId="26" xfId="2" applyNumberFormat="1" applyFont="1" applyFill="1" applyBorder="1" applyAlignment="1">
      <alignment horizontal="center" vertical="center"/>
    </xf>
    <xf numFmtId="167" fontId="5" fillId="7" borderId="64" xfId="3" applyNumberFormat="1" applyFont="1" applyFill="1" applyBorder="1" applyAlignment="1">
      <alignment horizontal="center" vertical="center"/>
    </xf>
    <xf numFmtId="165" fontId="0" fillId="5" borderId="51" xfId="2" applyNumberFormat="1" applyFont="1" applyFill="1" applyBorder="1" applyAlignment="1">
      <alignment horizontal="center" vertical="center"/>
    </xf>
    <xf numFmtId="167" fontId="5" fillId="7" borderId="65" xfId="3" applyNumberFormat="1" applyFont="1" applyFill="1" applyBorder="1" applyAlignment="1">
      <alignment horizontal="center" vertical="center"/>
    </xf>
    <xf numFmtId="165" fontId="5" fillId="5" borderId="41" xfId="2" applyNumberFormat="1" applyFont="1" applyFill="1" applyBorder="1" applyAlignment="1">
      <alignment horizontal="center" vertical="center"/>
    </xf>
    <xf numFmtId="165" fontId="5" fillId="5" borderId="35" xfId="2" applyNumberFormat="1" applyFont="1" applyFill="1" applyBorder="1" applyAlignment="1">
      <alignment horizontal="center" vertical="center"/>
    </xf>
    <xf numFmtId="167" fontId="5" fillId="7" borderId="50" xfId="3" applyNumberFormat="1" applyFont="1" applyFill="1" applyBorder="1" applyAlignment="1">
      <alignment horizontal="center" vertical="center"/>
    </xf>
    <xf numFmtId="167" fontId="5" fillId="7" borderId="66" xfId="3" applyNumberFormat="1" applyFont="1" applyFill="1" applyBorder="1" applyAlignment="1">
      <alignment horizontal="center" vertical="center"/>
    </xf>
    <xf numFmtId="0" fontId="4" fillId="0" borderId="53" xfId="0" applyFont="1" applyBorder="1" applyAlignment="1">
      <alignment vertical="top" wrapText="1"/>
    </xf>
    <xf numFmtId="0" fontId="19" fillId="7" borderId="42" xfId="0" applyFont="1" applyFill="1" applyBorder="1" applyAlignment="1">
      <alignment vertical="top" wrapText="1"/>
    </xf>
    <xf numFmtId="0" fontId="6" fillId="0" borderId="0" xfId="0" applyFont="1" applyFill="1" applyBorder="1" applyAlignment="1">
      <alignment vertical="center"/>
    </xf>
    <xf numFmtId="0" fontId="19" fillId="0" borderId="0" xfId="0" applyFont="1" applyFill="1" applyBorder="1" applyAlignment="1">
      <alignment vertical="top" wrapText="1"/>
    </xf>
    <xf numFmtId="165" fontId="3" fillId="0" borderId="0" xfId="2" quotePrefix="1" applyNumberFormat="1" applyFont="1" applyFill="1" applyBorder="1" applyAlignment="1">
      <alignment horizontal="center" vertical="center"/>
    </xf>
    <xf numFmtId="165" fontId="0" fillId="0" borderId="0" xfId="1" applyNumberFormat="1" applyFont="1" applyFill="1" applyBorder="1" applyAlignment="1">
      <alignment horizontal="center" vertical="center"/>
    </xf>
    <xf numFmtId="9" fontId="5" fillId="0" borderId="0" xfId="1" applyFont="1" applyFill="1" applyBorder="1" applyAlignment="1">
      <alignment horizontal="center" vertical="center"/>
    </xf>
    <xf numFmtId="0" fontId="14" fillId="0" borderId="63" xfId="0" applyFont="1" applyBorder="1" applyAlignment="1">
      <alignment vertical="top" wrapText="1"/>
    </xf>
    <xf numFmtId="0" fontId="4" fillId="7" borderId="37" xfId="0" applyFont="1" applyFill="1" applyBorder="1" applyAlignment="1">
      <alignment vertical="top" wrapText="1"/>
    </xf>
    <xf numFmtId="0" fontId="5" fillId="6" borderId="1" xfId="0" applyFont="1" applyFill="1" applyBorder="1" applyAlignment="1">
      <alignment horizontal="center" vertical="center"/>
    </xf>
    <xf numFmtId="0" fontId="5" fillId="6" borderId="1" xfId="0" applyFont="1" applyFill="1" applyBorder="1" applyAlignment="1">
      <alignment horizontal="left" vertical="center"/>
    </xf>
    <xf numFmtId="0" fontId="24" fillId="6" borderId="1" xfId="0" applyFont="1" applyFill="1" applyBorder="1" applyAlignment="1">
      <alignment horizontal="center" vertical="center"/>
    </xf>
    <xf numFmtId="166" fontId="5" fillId="6" borderId="28" xfId="3" applyNumberFormat="1" applyFont="1" applyFill="1" applyBorder="1" applyAlignment="1">
      <alignment horizontal="center" vertical="center"/>
    </xf>
    <xf numFmtId="0" fontId="5" fillId="6" borderId="21" xfId="0" applyFont="1" applyFill="1" applyBorder="1" applyAlignment="1">
      <alignment horizontal="center" vertical="center"/>
    </xf>
    <xf numFmtId="0" fontId="5" fillId="6" borderId="29" xfId="0" applyFont="1" applyFill="1" applyBorder="1" applyAlignment="1">
      <alignment horizontal="center" vertical="center"/>
    </xf>
    <xf numFmtId="166" fontId="5" fillId="6" borderId="30" xfId="3" applyNumberFormat="1" applyFont="1" applyFill="1" applyBorder="1" applyAlignment="1">
      <alignment horizontal="center" vertical="center"/>
    </xf>
    <xf numFmtId="0" fontId="5" fillId="6" borderId="31" xfId="0" applyFont="1" applyFill="1" applyBorder="1" applyAlignment="1">
      <alignment horizontal="center" vertical="center"/>
    </xf>
    <xf numFmtId="166" fontId="24" fillId="6" borderId="30" xfId="3" applyNumberFormat="1" applyFont="1" applyFill="1" applyBorder="1" applyAlignment="1">
      <alignment horizontal="center" vertical="center"/>
    </xf>
    <xf numFmtId="167" fontId="5" fillId="6" borderId="32" xfId="3" applyNumberFormat="1" applyFont="1" applyFill="1" applyBorder="1" applyAlignment="1">
      <alignment vertical="center"/>
    </xf>
    <xf numFmtId="167" fontId="5" fillId="6" borderId="26" xfId="3" applyNumberFormat="1" applyFont="1" applyFill="1" applyBorder="1" applyAlignment="1">
      <alignment vertical="center"/>
    </xf>
    <xf numFmtId="167" fontId="5" fillId="6" borderId="33" xfId="3" applyNumberFormat="1" applyFont="1" applyFill="1" applyBorder="1" applyAlignment="1">
      <alignment vertical="center"/>
    </xf>
    <xf numFmtId="0" fontId="7" fillId="0" borderId="67" xfId="0" applyFont="1" applyFill="1" applyBorder="1" applyAlignment="1">
      <alignment vertical="top" wrapText="1"/>
    </xf>
    <xf numFmtId="0" fontId="4" fillId="0" borderId="67" xfId="0" applyFont="1" applyBorder="1" applyAlignment="1">
      <alignment vertical="top" wrapText="1"/>
    </xf>
    <xf numFmtId="0" fontId="4" fillId="0" borderId="68" xfId="0" applyFont="1" applyBorder="1" applyAlignment="1">
      <alignment vertical="top" wrapText="1"/>
    </xf>
    <xf numFmtId="0" fontId="4" fillId="0" borderId="69" xfId="0" applyFont="1" applyBorder="1" applyAlignment="1">
      <alignment vertical="top" wrapText="1"/>
    </xf>
    <xf numFmtId="0" fontId="4" fillId="7" borderId="68" xfId="0" applyFont="1" applyFill="1" applyBorder="1" applyAlignment="1">
      <alignment vertical="top" wrapText="1"/>
    </xf>
    <xf numFmtId="0" fontId="19" fillId="7" borderId="46" xfId="0" applyFont="1" applyFill="1" applyBorder="1" applyAlignment="1">
      <alignment vertical="top" wrapText="1"/>
    </xf>
    <xf numFmtId="0" fontId="6" fillId="0" borderId="34" xfId="0" applyFont="1" applyBorder="1" applyAlignment="1">
      <alignment vertical="center"/>
    </xf>
    <xf numFmtId="0" fontId="0" fillId="0" borderId="39" xfId="0" applyBorder="1"/>
    <xf numFmtId="0" fontId="6" fillId="0" borderId="70" xfId="0" applyFont="1" applyBorder="1" applyAlignment="1">
      <alignment horizontal="center" vertical="center" wrapText="1"/>
    </xf>
    <xf numFmtId="0" fontId="0" fillId="0" borderId="36" xfId="0" applyBorder="1"/>
    <xf numFmtId="0" fontId="7" fillId="0" borderId="69" xfId="0" applyFont="1" applyFill="1" applyBorder="1" applyAlignment="1">
      <alignment vertical="top" wrapText="1"/>
    </xf>
    <xf numFmtId="0" fontId="7" fillId="7" borderId="42" xfId="0" applyFont="1" applyFill="1" applyBorder="1" applyAlignment="1">
      <alignment vertical="top" wrapText="1"/>
    </xf>
    <xf numFmtId="9" fontId="5" fillId="7" borderId="35" xfId="2" applyFont="1" applyFill="1" applyBorder="1" applyAlignment="1">
      <alignment horizontal="center" vertical="center"/>
    </xf>
    <xf numFmtId="0" fontId="21" fillId="0" borderId="49" xfId="0" applyFont="1" applyFill="1" applyBorder="1" applyAlignment="1">
      <alignment vertical="center"/>
    </xf>
    <xf numFmtId="0" fontId="5" fillId="0" borderId="47" xfId="0" applyFont="1" applyFill="1" applyBorder="1" applyAlignment="1">
      <alignment vertical="center"/>
    </xf>
    <xf numFmtId="0" fontId="5" fillId="0" borderId="45" xfId="0" applyFont="1" applyFill="1" applyBorder="1" applyAlignment="1">
      <alignment vertical="center"/>
    </xf>
    <xf numFmtId="0" fontId="9" fillId="0" borderId="44" xfId="0" applyFont="1" applyBorder="1" applyAlignment="1">
      <alignment vertical="center"/>
    </xf>
    <xf numFmtId="9" fontId="5" fillId="7" borderId="42" xfId="1" applyFont="1" applyFill="1" applyBorder="1" applyAlignment="1">
      <alignment horizontal="center" vertical="center"/>
    </xf>
    <xf numFmtId="1" fontId="5" fillId="7" borderId="42" xfId="1" applyNumberFormat="1" applyFont="1" applyFill="1" applyBorder="1" applyAlignment="1">
      <alignment horizontal="center" vertical="center"/>
    </xf>
    <xf numFmtId="0" fontId="21" fillId="0" borderId="37" xfId="0" applyFont="1" applyFill="1" applyBorder="1" applyAlignment="1">
      <alignment vertical="center"/>
    </xf>
    <xf numFmtId="0" fontId="9" fillId="0" borderId="71" xfId="0" applyFont="1" applyBorder="1" applyAlignment="1">
      <alignment vertical="center"/>
    </xf>
    <xf numFmtId="165" fontId="0" fillId="5" borderId="29" xfId="2" applyNumberFormat="1" applyFont="1" applyFill="1" applyBorder="1" applyAlignment="1">
      <alignment horizontal="center" vertical="center"/>
    </xf>
    <xf numFmtId="165" fontId="0" fillId="5" borderId="31" xfId="2" applyNumberFormat="1" applyFont="1" applyFill="1" applyBorder="1" applyAlignment="1">
      <alignment horizontal="center" vertical="center"/>
    </xf>
    <xf numFmtId="165" fontId="0" fillId="5" borderId="33" xfId="2" applyNumberFormat="1" applyFont="1" applyFill="1" applyBorder="1" applyAlignment="1">
      <alignment horizontal="center" vertical="center"/>
    </xf>
    <xf numFmtId="167" fontId="5" fillId="4" borderId="63" xfId="3" applyNumberFormat="1" applyFont="1" applyFill="1" applyBorder="1" applyAlignment="1">
      <alignment horizontal="center" vertical="center"/>
    </xf>
    <xf numFmtId="1" fontId="5" fillId="7" borderId="29" xfId="1" applyNumberFormat="1" applyFont="1" applyFill="1" applyBorder="1" applyAlignment="1">
      <alignment horizontal="center" vertical="center"/>
    </xf>
    <xf numFmtId="1" fontId="5" fillId="7" borderId="31" xfId="1" applyNumberFormat="1" applyFont="1" applyFill="1" applyBorder="1" applyAlignment="1">
      <alignment horizontal="center" vertical="center"/>
    </xf>
    <xf numFmtId="165" fontId="3" fillId="5" borderId="1" xfId="2" quotePrefix="1" applyNumberFormat="1" applyFont="1" applyFill="1" applyBorder="1" applyAlignment="1">
      <alignment horizontal="center" vertical="center"/>
    </xf>
    <xf numFmtId="1" fontId="5" fillId="7" borderId="52" xfId="1" applyNumberFormat="1" applyFont="1" applyFill="1" applyBorder="1" applyAlignment="1">
      <alignment horizontal="center" vertical="center"/>
    </xf>
    <xf numFmtId="0" fontId="21" fillId="0" borderId="0" xfId="0" applyFont="1" applyFill="1" applyBorder="1" applyAlignment="1">
      <alignment vertical="center"/>
    </xf>
    <xf numFmtId="1" fontId="5" fillId="7" borderId="21" xfId="1" applyNumberFormat="1" applyFont="1" applyFill="1" applyBorder="1" applyAlignment="1">
      <alignment horizontal="center" vertical="center"/>
    </xf>
    <xf numFmtId="1" fontId="5" fillId="7" borderId="1" xfId="1" applyNumberFormat="1" applyFont="1" applyFill="1" applyBorder="1" applyAlignment="1">
      <alignment horizontal="center" vertical="center"/>
    </xf>
    <xf numFmtId="1" fontId="5" fillId="7" borderId="49" xfId="1" applyNumberFormat="1" applyFont="1" applyFill="1" applyBorder="1" applyAlignment="1">
      <alignment horizontal="center" vertical="center"/>
    </xf>
    <xf numFmtId="1" fontId="5" fillId="7" borderId="35" xfId="1" applyNumberFormat="1" applyFont="1" applyFill="1" applyBorder="1" applyAlignment="1">
      <alignment horizontal="center" vertical="center"/>
    </xf>
    <xf numFmtId="167" fontId="5" fillId="0" borderId="41" xfId="3" applyNumberFormat="1" applyFont="1" applyFill="1" applyBorder="1" applyAlignment="1">
      <alignment horizontal="center" vertical="center"/>
    </xf>
    <xf numFmtId="167" fontId="5" fillId="0" borderId="35" xfId="3" applyNumberFormat="1" applyFont="1" applyFill="1" applyBorder="1" applyAlignment="1">
      <alignment horizontal="center" vertical="center"/>
    </xf>
    <xf numFmtId="167" fontId="5" fillId="0" borderId="42" xfId="3" applyNumberFormat="1" applyFont="1" applyFill="1" applyBorder="1" applyAlignment="1">
      <alignment horizontal="center" vertical="center"/>
    </xf>
    <xf numFmtId="0" fontId="0" fillId="0" borderId="21" xfId="1" applyNumberFormat="1" applyFont="1" applyFill="1" applyBorder="1" applyAlignment="1">
      <alignment horizontal="center" vertical="center"/>
    </xf>
    <xf numFmtId="0" fontId="0" fillId="0" borderId="30" xfId="1" applyNumberFormat="1" applyFont="1" applyBorder="1" applyAlignment="1">
      <alignment horizontal="center" vertical="center"/>
    </xf>
    <xf numFmtId="164" fontId="0" fillId="0" borderId="30" xfId="2" applyNumberFormat="1" applyFont="1" applyFill="1" applyBorder="1" applyAlignment="1">
      <alignment horizontal="center" vertical="center"/>
    </xf>
    <xf numFmtId="0" fontId="0" fillId="5" borderId="30" xfId="1" applyNumberFormat="1" applyFont="1" applyFill="1" applyBorder="1" applyAlignment="1">
      <alignment horizontal="center" vertical="center"/>
    </xf>
    <xf numFmtId="0" fontId="0" fillId="5" borderId="31" xfId="1" applyNumberFormat="1" applyFont="1" applyFill="1" applyBorder="1" applyAlignment="1">
      <alignment horizontal="center" vertical="center"/>
    </xf>
    <xf numFmtId="0" fontId="0" fillId="0" borderId="32" xfId="1" applyNumberFormat="1" applyFont="1" applyFill="1" applyBorder="1" applyAlignment="1">
      <alignment horizontal="center" vertical="center"/>
    </xf>
    <xf numFmtId="0" fontId="0" fillId="0" borderId="26" xfId="1" applyNumberFormat="1" applyFont="1" applyFill="1" applyBorder="1" applyAlignment="1">
      <alignment horizontal="center" vertical="center"/>
    </xf>
    <xf numFmtId="0" fontId="0" fillId="0" borderId="33" xfId="1" applyNumberFormat="1" applyFont="1" applyFill="1" applyBorder="1" applyAlignment="1">
      <alignment horizontal="center" vertical="center"/>
    </xf>
    <xf numFmtId="0" fontId="7" fillId="6" borderId="41" xfId="0" applyFont="1" applyFill="1" applyBorder="1" applyAlignment="1">
      <alignment vertical="top" wrapText="1"/>
    </xf>
    <xf numFmtId="0" fontId="7" fillId="6" borderId="35" xfId="0" applyFont="1" applyFill="1" applyBorder="1" applyAlignment="1">
      <alignment vertical="top" wrapText="1"/>
    </xf>
    <xf numFmtId="0" fontId="7" fillId="6" borderId="42" xfId="0" applyFont="1" applyFill="1" applyBorder="1" applyAlignment="1">
      <alignment vertical="top" wrapText="1"/>
    </xf>
    <xf numFmtId="167" fontId="5" fillId="6" borderId="71" xfId="3" applyNumberFormat="1" applyFont="1" applyFill="1" applyBorder="1" applyAlignment="1">
      <alignment vertical="center"/>
    </xf>
    <xf numFmtId="0" fontId="5" fillId="6" borderId="21" xfId="0" applyFont="1" applyFill="1" applyBorder="1" applyAlignment="1">
      <alignment horizontal="left" vertical="center"/>
    </xf>
    <xf numFmtId="166" fontId="5" fillId="6" borderId="32" xfId="3" applyNumberFormat="1" applyFont="1" applyFill="1" applyBorder="1" applyAlignment="1">
      <alignment horizontal="center" vertical="center"/>
    </xf>
    <xf numFmtId="0" fontId="5" fillId="6" borderId="26" xfId="0" applyFont="1" applyFill="1" applyBorder="1" applyAlignment="1">
      <alignment horizontal="center" vertical="center"/>
    </xf>
    <xf numFmtId="0" fontId="5" fillId="6" borderId="26" xfId="0" applyFont="1" applyFill="1" applyBorder="1" applyAlignment="1">
      <alignment horizontal="left" vertical="center"/>
    </xf>
    <xf numFmtId="0" fontId="5" fillId="6" borderId="33" xfId="0" applyFont="1" applyFill="1" applyBorder="1" applyAlignment="1">
      <alignment horizontal="center" vertical="center"/>
    </xf>
    <xf numFmtId="167" fontId="5" fillId="6" borderId="41" xfId="3" applyNumberFormat="1" applyFont="1" applyFill="1" applyBorder="1" applyAlignment="1">
      <alignment vertical="center"/>
    </xf>
    <xf numFmtId="167" fontId="5" fillId="6" borderId="35" xfId="3" applyNumberFormat="1" applyFont="1" applyFill="1" applyBorder="1" applyAlignment="1">
      <alignment vertical="center"/>
    </xf>
    <xf numFmtId="167" fontId="5" fillId="6" borderId="42" xfId="3" applyNumberFormat="1" applyFont="1" applyFill="1" applyBorder="1" applyAlignment="1">
      <alignment vertical="center"/>
    </xf>
    <xf numFmtId="165" fontId="5" fillId="7" borderId="42" xfId="1" applyNumberFormat="1" applyFont="1" applyFill="1" applyBorder="1" applyAlignment="1">
      <alignment horizontal="center" vertical="center"/>
    </xf>
    <xf numFmtId="165" fontId="5" fillId="7" borderId="41" xfId="2" applyNumberFormat="1" applyFont="1" applyFill="1" applyBorder="1" applyAlignment="1">
      <alignment horizontal="center" vertical="center"/>
    </xf>
    <xf numFmtId="165" fontId="5" fillId="7" borderId="35" xfId="2" applyNumberFormat="1" applyFont="1" applyFill="1" applyBorder="1" applyAlignment="1">
      <alignment horizontal="center" vertical="center"/>
    </xf>
    <xf numFmtId="165" fontId="3" fillId="5" borderId="29" xfId="2" applyNumberFormat="1" applyFont="1" applyFill="1" applyBorder="1" applyAlignment="1">
      <alignment horizontal="center" vertical="center"/>
    </xf>
    <xf numFmtId="165" fontId="3" fillId="5" borderId="31" xfId="2" applyNumberFormat="1" applyFont="1" applyFill="1" applyBorder="1" applyAlignment="1">
      <alignment horizontal="center" vertical="center"/>
    </xf>
    <xf numFmtId="165" fontId="3" fillId="5" borderId="33" xfId="2" applyNumberFormat="1" applyFont="1" applyFill="1" applyBorder="1" applyAlignment="1">
      <alignment horizontal="center" vertical="center"/>
    </xf>
    <xf numFmtId="0" fontId="3" fillId="0" borderId="72" xfId="0" applyFont="1" applyBorder="1"/>
    <xf numFmtId="0" fontId="5" fillId="0" borderId="73" xfId="0" applyFont="1" applyBorder="1"/>
    <xf numFmtId="0" fontId="3" fillId="0" borderId="74" xfId="0" applyFont="1" applyFill="1" applyBorder="1" applyAlignment="1">
      <alignment horizontal="center"/>
    </xf>
    <xf numFmtId="168" fontId="3" fillId="0" borderId="75" xfId="0" applyNumberFormat="1" applyFont="1" applyFill="1" applyBorder="1" applyAlignment="1">
      <alignment horizontal="center"/>
    </xf>
    <xf numFmtId="0" fontId="3" fillId="0" borderId="75" xfId="0" applyFont="1" applyFill="1" applyBorder="1" applyAlignment="1">
      <alignment horizontal="center"/>
    </xf>
    <xf numFmtId="165" fontId="5" fillId="7" borderId="29" xfId="1" applyNumberFormat="1" applyFont="1" applyFill="1" applyBorder="1" applyAlignment="1">
      <alignment horizontal="center" vertical="center"/>
    </xf>
    <xf numFmtId="0" fontId="20" fillId="5" borderId="19" xfId="0" quotePrefix="1" applyNumberFormat="1" applyFont="1" applyFill="1" applyBorder="1" applyAlignment="1">
      <alignment horizontal="center" vertical="center"/>
    </xf>
    <xf numFmtId="0" fontId="3" fillId="0" borderId="0" xfId="0" applyFont="1" applyFill="1" applyBorder="1"/>
    <xf numFmtId="165" fontId="0" fillId="5" borderId="30" xfId="1" applyNumberFormat="1" applyFont="1" applyFill="1" applyBorder="1" applyAlignment="1">
      <alignment horizontal="center" vertical="center"/>
    </xf>
    <xf numFmtId="165" fontId="0" fillId="5" borderId="1" xfId="1" applyNumberFormat="1" applyFont="1" applyFill="1" applyBorder="1" applyAlignment="1">
      <alignment horizontal="center" vertical="center"/>
    </xf>
    <xf numFmtId="165" fontId="5" fillId="7" borderId="31" xfId="1" applyNumberFormat="1" applyFont="1" applyFill="1" applyBorder="1" applyAlignment="1">
      <alignment horizontal="center" vertical="center"/>
    </xf>
    <xf numFmtId="165" fontId="0" fillId="5" borderId="32" xfId="1" applyNumberFormat="1" applyFont="1" applyFill="1" applyBorder="1" applyAlignment="1">
      <alignment horizontal="center" vertical="center"/>
    </xf>
    <xf numFmtId="165" fontId="0" fillId="5" borderId="26" xfId="1" applyNumberFormat="1" applyFont="1" applyFill="1" applyBorder="1" applyAlignment="1">
      <alignment horizontal="center" vertical="center"/>
    </xf>
    <xf numFmtId="165" fontId="5" fillId="7" borderId="33" xfId="1" applyNumberFormat="1" applyFont="1" applyFill="1" applyBorder="1" applyAlignment="1">
      <alignment horizontal="center" vertical="center"/>
    </xf>
    <xf numFmtId="165" fontId="0" fillId="5" borderId="28" xfId="1" applyNumberFormat="1" applyFont="1" applyFill="1" applyBorder="1" applyAlignment="1">
      <alignment horizontal="center" vertical="center"/>
    </xf>
    <xf numFmtId="165" fontId="0" fillId="5" borderId="21" xfId="1" applyNumberFormat="1" applyFont="1" applyFill="1" applyBorder="1" applyAlignment="1">
      <alignment horizontal="center" vertical="center"/>
    </xf>
    <xf numFmtId="165" fontId="5" fillId="5" borderId="41" xfId="1" applyNumberFormat="1" applyFont="1" applyFill="1" applyBorder="1" applyAlignment="1">
      <alignment horizontal="center" vertical="center"/>
    </xf>
    <xf numFmtId="165" fontId="5" fillId="5" borderId="35" xfId="1" applyNumberFormat="1" applyFont="1" applyFill="1" applyBorder="1" applyAlignment="1">
      <alignment horizontal="center" vertical="center"/>
    </xf>
    <xf numFmtId="0" fontId="20" fillId="5" borderId="0" xfId="0" quotePrefix="1" applyNumberFormat="1" applyFont="1" applyFill="1" applyBorder="1" applyAlignment="1">
      <alignment horizontal="center" vertical="center"/>
    </xf>
    <xf numFmtId="0" fontId="33" fillId="0" borderId="41" xfId="0" applyFont="1" applyBorder="1" applyAlignment="1">
      <alignment vertical="top" wrapText="1"/>
    </xf>
    <xf numFmtId="0" fontId="33" fillId="0" borderId="35" xfId="0" applyFont="1" applyBorder="1" applyAlignment="1">
      <alignment vertical="top" wrapText="1"/>
    </xf>
    <xf numFmtId="0" fontId="33" fillId="0" borderId="50" xfId="0" applyFont="1" applyBorder="1" applyAlignment="1">
      <alignment vertical="top" wrapText="1"/>
    </xf>
    <xf numFmtId="0" fontId="33" fillId="3" borderId="37" xfId="0" applyFont="1" applyFill="1" applyBorder="1" applyAlignment="1">
      <alignment vertical="top" wrapText="1"/>
    </xf>
    <xf numFmtId="0" fontId="33" fillId="0" borderId="42" xfId="0" applyFont="1" applyBorder="1" applyAlignment="1">
      <alignment vertical="top" wrapText="1"/>
    </xf>
    <xf numFmtId="0" fontId="33" fillId="4" borderId="41" xfId="0" applyFont="1" applyFill="1" applyBorder="1" applyAlignment="1">
      <alignment vertical="top" wrapText="1"/>
    </xf>
    <xf numFmtId="0" fontId="33" fillId="0" borderId="36" xfId="0" applyFont="1" applyBorder="1" applyAlignment="1">
      <alignment vertical="top" wrapText="1"/>
    </xf>
    <xf numFmtId="0" fontId="34" fillId="4" borderId="41" xfId="0" applyFont="1" applyFill="1" applyBorder="1" applyAlignment="1">
      <alignment vertical="top" wrapText="1"/>
    </xf>
    <xf numFmtId="0" fontId="33" fillId="4" borderId="35" xfId="0" applyFont="1" applyFill="1" applyBorder="1" applyAlignment="1">
      <alignment vertical="top" wrapText="1"/>
    </xf>
    <xf numFmtId="0" fontId="34" fillId="4" borderId="42" xfId="0" applyFont="1" applyFill="1" applyBorder="1" applyAlignment="1">
      <alignment vertical="top" wrapText="1"/>
    </xf>
    <xf numFmtId="0" fontId="41" fillId="0" borderId="45" xfId="0" applyFont="1" applyFill="1" applyBorder="1" applyAlignment="1">
      <alignment vertical="top" wrapText="1"/>
    </xf>
    <xf numFmtId="0" fontId="6" fillId="0" borderId="0" xfId="0" applyFont="1" applyBorder="1" applyAlignment="1">
      <alignment horizontal="center" vertical="top" wrapText="1"/>
    </xf>
    <xf numFmtId="0" fontId="33" fillId="3" borderId="0" xfId="0" applyFont="1" applyFill="1" applyBorder="1" applyAlignment="1">
      <alignment vertical="top" wrapText="1"/>
    </xf>
    <xf numFmtId="0" fontId="22" fillId="4" borderId="0" xfId="0" applyNumberFormat="1" applyFont="1" applyFill="1" applyBorder="1" applyAlignment="1">
      <alignment horizontal="center" vertical="center"/>
    </xf>
    <xf numFmtId="0" fontId="41" fillId="0" borderId="45" xfId="0" applyFont="1" applyFill="1" applyBorder="1" applyAlignment="1">
      <alignment vertical="top"/>
    </xf>
    <xf numFmtId="165" fontId="5" fillId="7" borderId="37" xfId="1" applyNumberFormat="1" applyFont="1" applyFill="1" applyBorder="1" applyAlignment="1">
      <alignment horizontal="center" vertical="center"/>
    </xf>
    <xf numFmtId="0" fontId="33" fillId="0" borderId="37" xfId="0" applyFont="1" applyFill="1" applyBorder="1" applyAlignment="1">
      <alignment vertical="top" wrapText="1"/>
    </xf>
    <xf numFmtId="0" fontId="5" fillId="2" borderId="23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24" xfId="0" applyFont="1" applyFill="1" applyBorder="1" applyAlignment="1">
      <alignment horizontal="center" vertical="center"/>
    </xf>
    <xf numFmtId="0" fontId="24" fillId="2" borderId="23" xfId="0" applyFont="1" applyFill="1" applyBorder="1" applyAlignment="1">
      <alignment horizontal="center" vertical="center"/>
    </xf>
    <xf numFmtId="0" fontId="24" fillId="2" borderId="1" xfId="0" applyFont="1" applyFill="1" applyBorder="1" applyAlignment="1">
      <alignment horizontal="center" vertical="center"/>
    </xf>
    <xf numFmtId="0" fontId="24" fillId="2" borderId="24" xfId="0" applyFont="1" applyFill="1" applyBorder="1" applyAlignment="1">
      <alignment horizontal="center" vertical="center"/>
    </xf>
    <xf numFmtId="0" fontId="5" fillId="2" borderId="20" xfId="0" applyFont="1" applyFill="1" applyBorder="1" applyAlignment="1">
      <alignment horizontal="center" vertical="center"/>
    </xf>
    <xf numFmtId="0" fontId="24" fillId="2" borderId="21" xfId="0" applyFont="1" applyFill="1" applyBorder="1" applyAlignment="1">
      <alignment horizontal="center" vertical="center"/>
    </xf>
    <xf numFmtId="0" fontId="24" fillId="2" borderId="22" xfId="0" applyFont="1" applyFill="1" applyBorder="1" applyAlignment="1">
      <alignment horizontal="center" vertical="center"/>
    </xf>
    <xf numFmtId="0" fontId="0" fillId="2" borderId="0" xfId="0" applyFill="1" applyBorder="1" applyAlignment="1">
      <alignment horizontal="center" vertical="center"/>
    </xf>
    <xf numFmtId="0" fontId="0" fillId="2" borderId="28" xfId="0" applyFill="1" applyBorder="1" applyAlignment="1">
      <alignment horizontal="center" vertical="center"/>
    </xf>
    <xf numFmtId="0" fontId="0" fillId="2" borderId="21" xfId="0" applyFill="1" applyBorder="1" applyAlignment="1">
      <alignment horizontal="center" vertical="center"/>
    </xf>
    <xf numFmtId="0" fontId="0" fillId="2" borderId="29" xfId="0" applyFill="1" applyBorder="1" applyAlignment="1">
      <alignment horizontal="center" vertical="center"/>
    </xf>
    <xf numFmtId="0" fontId="0" fillId="2" borderId="47" xfId="0" applyNumberFormat="1" applyFill="1" applyBorder="1" applyAlignment="1">
      <alignment horizontal="center" vertical="center"/>
    </xf>
    <xf numFmtId="0" fontId="3" fillId="2" borderId="22" xfId="0" applyFont="1" applyFill="1" applyBorder="1" applyAlignment="1">
      <alignment horizontal="center" vertical="center"/>
    </xf>
    <xf numFmtId="0" fontId="0" fillId="2" borderId="0" xfId="0" applyFill="1"/>
    <xf numFmtId="0" fontId="0" fillId="2" borderId="28" xfId="1" applyNumberFormat="1" applyFont="1" applyFill="1" applyBorder="1" applyAlignment="1">
      <alignment horizontal="center" vertical="center"/>
    </xf>
    <xf numFmtId="0" fontId="0" fillId="2" borderId="21" xfId="1" applyNumberFormat="1" applyFont="1" applyFill="1" applyBorder="1" applyAlignment="1">
      <alignment horizontal="center" vertical="center"/>
    </xf>
    <xf numFmtId="0" fontId="0" fillId="2" borderId="29" xfId="1" applyNumberFormat="1" applyFont="1" applyFill="1" applyBorder="1" applyAlignment="1">
      <alignment horizontal="center" vertical="center"/>
    </xf>
    <xf numFmtId="0" fontId="0" fillId="2" borderId="0" xfId="0" applyNumberFormat="1" applyFill="1" applyAlignment="1">
      <alignment horizontal="center" vertical="center"/>
    </xf>
    <xf numFmtId="0" fontId="0" fillId="2" borderId="0" xfId="1" applyNumberFormat="1" applyFont="1" applyFill="1" applyBorder="1" applyAlignment="1">
      <alignment horizontal="center" vertical="center"/>
    </xf>
    <xf numFmtId="0" fontId="3" fillId="2" borderId="28" xfId="1" applyNumberFormat="1" applyFont="1" applyFill="1" applyBorder="1" applyAlignment="1">
      <alignment horizontal="center" vertical="center"/>
    </xf>
    <xf numFmtId="0" fontId="3" fillId="2" borderId="21" xfId="1" applyNumberFormat="1" applyFont="1" applyFill="1" applyBorder="1" applyAlignment="1">
      <alignment horizontal="center" vertical="center"/>
    </xf>
    <xf numFmtId="0" fontId="3" fillId="2" borderId="29" xfId="1" applyNumberFormat="1" applyFont="1" applyFill="1" applyBorder="1" applyAlignment="1">
      <alignment horizontal="center" vertical="center"/>
    </xf>
    <xf numFmtId="0" fontId="0" fillId="2" borderId="30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2" borderId="31" xfId="0" applyFill="1" applyBorder="1" applyAlignment="1">
      <alignment horizontal="center" vertical="center"/>
    </xf>
    <xf numFmtId="0" fontId="0" fillId="2" borderId="45" xfId="0" applyNumberFormat="1" applyFill="1" applyBorder="1" applyAlignment="1">
      <alignment horizontal="center" vertical="center"/>
    </xf>
    <xf numFmtId="0" fontId="3" fillId="2" borderId="31" xfId="0" applyFont="1" applyFill="1" applyBorder="1" applyAlignment="1">
      <alignment horizontal="center" vertical="center"/>
    </xf>
    <xf numFmtId="0" fontId="0" fillId="2" borderId="30" xfId="1" applyNumberFormat="1" applyFont="1" applyFill="1" applyBorder="1" applyAlignment="1">
      <alignment horizontal="center" vertical="center"/>
    </xf>
    <xf numFmtId="0" fontId="0" fillId="2" borderId="1" xfId="1" applyNumberFormat="1" applyFont="1" applyFill="1" applyBorder="1" applyAlignment="1">
      <alignment horizontal="center" vertical="center"/>
    </xf>
    <xf numFmtId="0" fontId="0" fillId="2" borderId="31" xfId="1" applyNumberFormat="1" applyFont="1" applyFill="1" applyBorder="1" applyAlignment="1">
      <alignment horizontal="center" vertical="center"/>
    </xf>
    <xf numFmtId="0" fontId="3" fillId="2" borderId="30" xfId="1" applyNumberFormat="1" applyFont="1" applyFill="1" applyBorder="1" applyAlignment="1">
      <alignment horizontal="center" vertical="center"/>
    </xf>
    <xf numFmtId="0" fontId="3" fillId="2" borderId="1" xfId="1" applyNumberFormat="1" applyFont="1" applyFill="1" applyBorder="1" applyAlignment="1">
      <alignment horizontal="center" vertical="center"/>
    </xf>
    <xf numFmtId="0" fontId="3" fillId="2" borderId="31" xfId="1" applyNumberFormat="1" applyFont="1" applyFill="1" applyBorder="1" applyAlignment="1">
      <alignment horizontal="center" vertical="center"/>
    </xf>
    <xf numFmtId="0" fontId="5" fillId="2" borderId="45" xfId="0" applyFont="1" applyFill="1" applyBorder="1" applyAlignment="1">
      <alignment vertical="center"/>
    </xf>
    <xf numFmtId="0" fontId="5" fillId="2" borderId="47" xfId="0" applyFont="1" applyFill="1" applyBorder="1" applyAlignment="1">
      <alignment vertical="center"/>
    </xf>
    <xf numFmtId="0" fontId="24" fillId="2" borderId="45" xfId="0" applyFont="1" applyFill="1" applyBorder="1" applyAlignment="1">
      <alignment vertical="center"/>
    </xf>
    <xf numFmtId="0" fontId="0" fillId="2" borderId="30" xfId="2" applyNumberFormat="1" applyFont="1" applyFill="1" applyBorder="1" applyAlignment="1">
      <alignment horizontal="center" vertical="center"/>
    </xf>
    <xf numFmtId="0" fontId="0" fillId="2" borderId="1" xfId="2" applyNumberFormat="1" applyFont="1" applyFill="1" applyBorder="1" applyAlignment="1">
      <alignment horizontal="center" vertical="center"/>
    </xf>
    <xf numFmtId="0" fontId="0" fillId="2" borderId="31" xfId="2" applyNumberFormat="1" applyFont="1" applyFill="1" applyBorder="1" applyAlignment="1">
      <alignment horizontal="center" vertical="center"/>
    </xf>
    <xf numFmtId="0" fontId="42" fillId="2" borderId="45" xfId="0" applyNumberFormat="1" applyFont="1" applyFill="1" applyBorder="1" applyAlignment="1">
      <alignment horizontal="center" vertical="center"/>
    </xf>
    <xf numFmtId="0" fontId="0" fillId="2" borderId="0" xfId="2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45" xfId="0" applyNumberFormat="1" applyFont="1" applyFill="1" applyBorder="1" applyAlignment="1">
      <alignment horizontal="center" vertical="center"/>
    </xf>
    <xf numFmtId="0" fontId="3" fillId="2" borderId="30" xfId="1" quotePrefix="1" applyNumberFormat="1" applyFont="1" applyFill="1" applyBorder="1" applyAlignment="1">
      <alignment horizontal="center" vertical="center"/>
    </xf>
    <xf numFmtId="0" fontId="41" fillId="0" borderId="45" xfId="0" applyFont="1" applyBorder="1" applyAlignment="1">
      <alignment vertical="top" wrapText="1"/>
    </xf>
    <xf numFmtId="0" fontId="5" fillId="2" borderId="21" xfId="0" applyFont="1" applyFill="1" applyBorder="1" applyAlignment="1">
      <alignment horizontal="center" vertical="center"/>
    </xf>
    <xf numFmtId="0" fontId="5" fillId="2" borderId="22" xfId="0" applyFont="1" applyFill="1" applyBorder="1" applyAlignment="1">
      <alignment horizontal="center" vertical="center"/>
    </xf>
    <xf numFmtId="0" fontId="3" fillId="2" borderId="21" xfId="0" applyFont="1" applyFill="1" applyBorder="1" applyAlignment="1">
      <alignment horizontal="center" vertical="center"/>
    </xf>
    <xf numFmtId="0" fontId="3" fillId="2" borderId="47" xfId="0" applyNumberFormat="1" applyFont="1" applyFill="1" applyBorder="1" applyAlignment="1">
      <alignment horizontal="center" vertical="center"/>
    </xf>
    <xf numFmtId="0" fontId="3" fillId="2" borderId="29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3" fillId="2" borderId="31" xfId="1" quotePrefix="1" applyNumberFormat="1" applyFont="1" applyFill="1" applyBorder="1" applyAlignment="1">
      <alignment horizontal="center" vertical="center"/>
    </xf>
    <xf numFmtId="0" fontId="0" fillId="2" borderId="45" xfId="0" applyFill="1" applyBorder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0" fillId="2" borderId="0" xfId="1" applyNumberFormat="1" applyFont="1" applyFill="1" applyAlignment="1">
      <alignment horizontal="center" vertical="center"/>
    </xf>
    <xf numFmtId="0" fontId="24" fillId="2" borderId="48" xfId="0" applyFont="1" applyFill="1" applyBorder="1" applyAlignment="1">
      <alignment vertical="center"/>
    </xf>
    <xf numFmtId="0" fontId="5" fillId="2" borderId="44" xfId="0" applyFont="1" applyFill="1" applyBorder="1" applyAlignment="1">
      <alignment vertical="center"/>
    </xf>
    <xf numFmtId="0" fontId="5" fillId="2" borderId="25" xfId="0" applyFont="1" applyFill="1" applyBorder="1" applyAlignment="1">
      <alignment horizontal="center" vertical="center"/>
    </xf>
    <xf numFmtId="0" fontId="5" fillId="2" borderId="26" xfId="0" applyFont="1" applyFill="1" applyBorder="1" applyAlignment="1">
      <alignment horizontal="center" vertical="center"/>
    </xf>
    <xf numFmtId="0" fontId="5" fillId="2" borderId="27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3" fillId="2" borderId="32" xfId="0" applyFont="1" applyFill="1" applyBorder="1" applyAlignment="1">
      <alignment horizontal="center" vertical="center"/>
    </xf>
    <xf numFmtId="0" fontId="3" fillId="2" borderId="26" xfId="0" applyFont="1" applyFill="1" applyBorder="1" applyAlignment="1">
      <alignment horizontal="center" vertical="center"/>
    </xf>
    <xf numFmtId="0" fontId="3" fillId="2" borderId="33" xfId="0" applyFont="1" applyFill="1" applyBorder="1" applyAlignment="1">
      <alignment horizontal="center" vertical="center"/>
    </xf>
    <xf numFmtId="0" fontId="3" fillId="2" borderId="44" xfId="0" applyNumberFormat="1" applyFont="1" applyFill="1" applyBorder="1" applyAlignment="1">
      <alignment horizontal="center" vertical="center"/>
    </xf>
    <xf numFmtId="0" fontId="3" fillId="2" borderId="0" xfId="0" applyFont="1" applyFill="1"/>
    <xf numFmtId="0" fontId="3" fillId="2" borderId="51" xfId="1" applyNumberFormat="1" applyFont="1" applyFill="1" applyBorder="1" applyAlignment="1">
      <alignment horizontal="center" vertical="center"/>
    </xf>
    <xf numFmtId="0" fontId="3" fillId="2" borderId="49" xfId="1" applyNumberFormat="1" applyFont="1" applyFill="1" applyBorder="1" applyAlignment="1">
      <alignment horizontal="center" vertical="center"/>
    </xf>
    <xf numFmtId="0" fontId="3" fillId="2" borderId="52" xfId="1" applyNumberFormat="1" applyFont="1" applyFill="1" applyBorder="1" applyAlignment="1">
      <alignment horizontal="center" vertical="center"/>
    </xf>
    <xf numFmtId="0" fontId="3" fillId="2" borderId="48" xfId="0" applyNumberFormat="1" applyFont="1" applyFill="1" applyBorder="1" applyAlignment="1">
      <alignment horizontal="center" vertical="center"/>
    </xf>
    <xf numFmtId="0" fontId="3" fillId="2" borderId="0" xfId="0" applyNumberFormat="1" applyFont="1" applyFill="1" applyAlignment="1">
      <alignment horizontal="center" vertical="center"/>
    </xf>
    <xf numFmtId="0" fontId="3" fillId="2" borderId="0" xfId="1" applyNumberFormat="1" applyFont="1" applyFill="1" applyBorder="1" applyAlignment="1">
      <alignment horizontal="center" vertical="center"/>
    </xf>
    <xf numFmtId="0" fontId="41" fillId="0" borderId="45" xfId="0" applyFont="1" applyBorder="1" applyAlignment="1">
      <alignment vertical="top"/>
    </xf>
    <xf numFmtId="0" fontId="41" fillId="0" borderId="47" xfId="0" applyFont="1" applyFill="1" applyBorder="1" applyAlignment="1">
      <alignment vertical="top" wrapText="1"/>
    </xf>
    <xf numFmtId="0" fontId="24" fillId="2" borderId="44" xfId="0" applyFont="1" applyFill="1" applyBorder="1" applyAlignment="1">
      <alignment vertical="center"/>
    </xf>
    <xf numFmtId="0" fontId="0" fillId="2" borderId="32" xfId="0" applyFill="1" applyBorder="1" applyAlignment="1">
      <alignment horizontal="center" vertical="center"/>
    </xf>
    <xf numFmtId="0" fontId="0" fillId="2" borderId="26" xfId="0" applyFill="1" applyBorder="1" applyAlignment="1">
      <alignment horizontal="center" vertical="center"/>
    </xf>
    <xf numFmtId="0" fontId="0" fillId="2" borderId="33" xfId="0" applyFill="1" applyBorder="1" applyAlignment="1">
      <alignment horizontal="center" vertical="center"/>
    </xf>
    <xf numFmtId="0" fontId="0" fillId="2" borderId="44" xfId="0" applyNumberFormat="1" applyFill="1" applyBorder="1" applyAlignment="1">
      <alignment horizontal="center" vertical="center"/>
    </xf>
    <xf numFmtId="0" fontId="0" fillId="2" borderId="32" xfId="1" applyNumberFormat="1" applyFont="1" applyFill="1" applyBorder="1" applyAlignment="1">
      <alignment horizontal="center" vertical="center"/>
    </xf>
    <xf numFmtId="0" fontId="0" fillId="2" borderId="26" xfId="1" applyNumberFormat="1" applyFont="1" applyFill="1" applyBorder="1" applyAlignment="1">
      <alignment horizontal="center" vertical="center"/>
    </xf>
    <xf numFmtId="0" fontId="0" fillId="2" borderId="33" xfId="1" applyNumberFormat="1" applyFont="1" applyFill="1" applyBorder="1" applyAlignment="1">
      <alignment horizontal="center" vertical="center"/>
    </xf>
    <xf numFmtId="0" fontId="3" fillId="2" borderId="32" xfId="1" applyNumberFormat="1" applyFont="1" applyFill="1" applyBorder="1" applyAlignment="1">
      <alignment horizontal="center" vertical="center"/>
    </xf>
    <xf numFmtId="0" fontId="3" fillId="2" borderId="26" xfId="1" applyNumberFormat="1" applyFont="1" applyFill="1" applyBorder="1" applyAlignment="1">
      <alignment horizontal="center" vertical="center"/>
    </xf>
    <xf numFmtId="0" fontId="3" fillId="2" borderId="33" xfId="1" applyNumberFormat="1" applyFont="1" applyFill="1" applyBorder="1" applyAlignment="1">
      <alignment horizontal="center" vertical="center"/>
    </xf>
    <xf numFmtId="0" fontId="42" fillId="0" borderId="45" xfId="0" applyFont="1" applyBorder="1" applyAlignment="1">
      <alignment vertical="top" wrapText="1"/>
    </xf>
    <xf numFmtId="0" fontId="12" fillId="0" borderId="0" xfId="0" applyFont="1" applyFill="1"/>
    <xf numFmtId="0" fontId="3" fillId="11" borderId="0" xfId="0" applyFont="1" applyFill="1" applyAlignment="1">
      <alignment horizontal="center"/>
    </xf>
    <xf numFmtId="0" fontId="3" fillId="10" borderId="0" xfId="0" applyFont="1" applyFill="1" applyAlignment="1">
      <alignment horizontal="center"/>
    </xf>
    <xf numFmtId="0" fontId="0" fillId="10" borderId="0" xfId="0" applyFill="1" applyAlignment="1">
      <alignment horizontal="center"/>
    </xf>
    <xf numFmtId="0" fontId="3" fillId="6" borderId="0" xfId="0" applyFont="1" applyFill="1" applyAlignment="1">
      <alignment horizontal="center"/>
    </xf>
    <xf numFmtId="0" fontId="0" fillId="6" borderId="0" xfId="0" applyFill="1" applyAlignment="1">
      <alignment horizontal="center"/>
    </xf>
    <xf numFmtId="0" fontId="6" fillId="0" borderId="34" xfId="0" applyFont="1" applyBorder="1" applyAlignment="1">
      <alignment horizontal="center" vertical="top" wrapText="1"/>
    </xf>
    <xf numFmtId="0" fontId="6" fillId="0" borderId="39" xfId="0" applyFont="1" applyBorder="1" applyAlignment="1">
      <alignment horizontal="center" vertical="top" wrapText="1"/>
    </xf>
    <xf numFmtId="0" fontId="6" fillId="0" borderId="36" xfId="0" applyFont="1" applyBorder="1" applyAlignment="1">
      <alignment horizontal="center" vertical="top" wrapText="1"/>
    </xf>
    <xf numFmtId="0" fontId="6" fillId="0" borderId="40" xfId="0" applyFont="1" applyBorder="1" applyAlignment="1">
      <alignment horizontal="center" vertical="center" wrapText="1"/>
    </xf>
    <xf numFmtId="0" fontId="6" fillId="0" borderId="38" xfId="0" applyFont="1" applyBorder="1" applyAlignment="1">
      <alignment horizontal="center" vertical="center" wrapText="1"/>
    </xf>
    <xf numFmtId="0" fontId="6" fillId="0" borderId="43" xfId="0" applyFont="1" applyBorder="1" applyAlignment="1">
      <alignment horizontal="center" vertical="center" wrapText="1"/>
    </xf>
    <xf numFmtId="0" fontId="6" fillId="0" borderId="34" xfId="0" applyFont="1" applyBorder="1" applyAlignment="1">
      <alignment horizontal="center" vertical="center" wrapText="1"/>
    </xf>
    <xf numFmtId="0" fontId="6" fillId="0" borderId="39" xfId="0" applyFont="1" applyBorder="1" applyAlignment="1">
      <alignment horizontal="center" vertical="center" wrapText="1"/>
    </xf>
    <xf numFmtId="0" fontId="6" fillId="0" borderId="36" xfId="0" applyFont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 wrapText="1"/>
    </xf>
    <xf numFmtId="0" fontId="5" fillId="0" borderId="39" xfId="0" applyFont="1" applyBorder="1" applyAlignment="1">
      <alignment horizontal="center" vertical="center" wrapText="1"/>
    </xf>
    <xf numFmtId="0" fontId="5" fillId="0" borderId="36" xfId="0" applyFont="1" applyBorder="1" applyAlignment="1">
      <alignment horizontal="center" vertical="center" wrapText="1"/>
    </xf>
  </cellXfs>
  <cellStyles count="4">
    <cellStyle name="Comma" xfId="3" builtinId="3"/>
    <cellStyle name="Normal" xfId="0" builtinId="0"/>
    <cellStyle name="Percent" xfId="1" builtinId="5"/>
    <cellStyle name="Percent 2" xfId="2"/>
  </cellStyles>
  <dxfs count="190">
    <dxf>
      <fill>
        <patternFill>
          <bgColor rgb="FF92D050"/>
        </patternFill>
      </fill>
    </dxf>
    <dxf>
      <fill>
        <patternFill patternType="solid">
          <bgColor theme="0"/>
        </patternFill>
      </fill>
    </dxf>
    <dxf>
      <fill>
        <patternFill>
          <bgColor rgb="FFFF5050"/>
        </patternFill>
      </fill>
    </dxf>
    <dxf>
      <font>
        <color rgb="FF00B050"/>
      </font>
      <fill>
        <patternFill>
          <bgColor theme="0"/>
        </patternFill>
      </fill>
    </dxf>
    <dxf>
      <fill>
        <patternFill patternType="solid">
          <bgColor theme="0"/>
        </patternFill>
      </fill>
    </dxf>
    <dxf>
      <fill>
        <patternFill>
          <bgColor rgb="FFFF5050"/>
        </patternFill>
      </fill>
    </dxf>
    <dxf>
      <font>
        <color rgb="FF00B050"/>
      </font>
      <fill>
        <patternFill>
          <bgColor theme="0"/>
        </patternFill>
      </fill>
    </dxf>
    <dxf>
      <fill>
        <patternFill patternType="solid">
          <bgColor theme="0"/>
        </patternFill>
      </fill>
    </dxf>
    <dxf>
      <fill>
        <patternFill>
          <bgColor rgb="FFFF5050"/>
        </patternFill>
      </fill>
    </dxf>
    <dxf>
      <font>
        <color rgb="FF00B050"/>
      </font>
      <fill>
        <patternFill>
          <bgColor theme="0"/>
        </patternFill>
      </fill>
    </dxf>
    <dxf>
      <fill>
        <patternFill patternType="solid">
          <bgColor theme="0"/>
        </patternFill>
      </fill>
    </dxf>
    <dxf>
      <fill>
        <patternFill>
          <bgColor rgb="FFFF5050"/>
        </patternFill>
      </fill>
    </dxf>
    <dxf>
      <font>
        <color rgb="FF00B050"/>
      </font>
      <fill>
        <patternFill>
          <bgColor theme="0"/>
        </patternFill>
      </fill>
    </dxf>
    <dxf>
      <fill>
        <patternFill patternType="solid">
          <bgColor theme="0"/>
        </patternFill>
      </fill>
    </dxf>
    <dxf>
      <fill>
        <patternFill>
          <bgColor rgb="FFFF5050"/>
        </patternFill>
      </fill>
    </dxf>
    <dxf>
      <font>
        <color rgb="FF00B050"/>
      </font>
      <fill>
        <patternFill>
          <bgColor theme="0"/>
        </patternFill>
      </fill>
    </dxf>
    <dxf>
      <fill>
        <patternFill patternType="solid">
          <bgColor theme="0"/>
        </patternFill>
      </fill>
    </dxf>
    <dxf>
      <fill>
        <patternFill>
          <bgColor rgb="FFFF5050"/>
        </patternFill>
      </fill>
    </dxf>
    <dxf>
      <font>
        <color rgb="FF00B050"/>
      </font>
      <fill>
        <patternFill>
          <bgColor theme="0"/>
        </patternFill>
      </fill>
    </dxf>
    <dxf>
      <fill>
        <patternFill patternType="solid">
          <bgColor theme="0"/>
        </patternFill>
      </fill>
    </dxf>
    <dxf>
      <fill>
        <patternFill>
          <bgColor rgb="FFFF5050"/>
        </patternFill>
      </fill>
    </dxf>
    <dxf>
      <font>
        <color rgb="FF00B050"/>
      </font>
      <fill>
        <patternFill>
          <bgColor theme="0"/>
        </patternFill>
      </fill>
    </dxf>
    <dxf>
      <fill>
        <patternFill patternType="solid">
          <bgColor theme="0"/>
        </patternFill>
      </fill>
    </dxf>
    <dxf>
      <fill>
        <patternFill>
          <bgColor rgb="FFFF5050"/>
        </patternFill>
      </fill>
    </dxf>
    <dxf>
      <font>
        <color rgb="FF00B050"/>
      </font>
      <fill>
        <patternFill>
          <bgColor theme="0"/>
        </patternFill>
      </fill>
    </dxf>
    <dxf>
      <fill>
        <patternFill patternType="solid">
          <bgColor theme="0"/>
        </patternFill>
      </fill>
    </dxf>
    <dxf>
      <fill>
        <patternFill>
          <bgColor rgb="FFFF5050"/>
        </patternFill>
      </fill>
    </dxf>
    <dxf>
      <font>
        <color rgb="FF00B050"/>
      </font>
      <fill>
        <patternFill>
          <bgColor theme="0"/>
        </patternFill>
      </fill>
    </dxf>
    <dxf>
      <fill>
        <patternFill patternType="solid">
          <bgColor theme="0"/>
        </patternFill>
      </fill>
    </dxf>
    <dxf>
      <fill>
        <patternFill>
          <bgColor rgb="FFFF5050"/>
        </patternFill>
      </fill>
    </dxf>
    <dxf>
      <font>
        <color rgb="FF00B050"/>
      </font>
      <fill>
        <patternFill>
          <bgColor theme="0"/>
        </patternFill>
      </fill>
    </dxf>
    <dxf>
      <fill>
        <patternFill patternType="solid">
          <bgColor theme="0"/>
        </patternFill>
      </fill>
    </dxf>
    <dxf>
      <fill>
        <patternFill>
          <bgColor rgb="FFFF5050"/>
        </patternFill>
      </fill>
    </dxf>
    <dxf>
      <font>
        <color rgb="FF00B050"/>
      </font>
      <fill>
        <patternFill>
          <bgColor theme="0"/>
        </patternFill>
      </fill>
    </dxf>
    <dxf>
      <fill>
        <patternFill patternType="solid">
          <bgColor theme="0"/>
        </patternFill>
      </fill>
    </dxf>
    <dxf>
      <fill>
        <patternFill>
          <bgColor rgb="FFFF5050"/>
        </patternFill>
      </fill>
    </dxf>
    <dxf>
      <font>
        <color rgb="FF00B050"/>
      </font>
      <fill>
        <patternFill>
          <bgColor theme="0"/>
        </patternFill>
      </fill>
    </dxf>
    <dxf>
      <fill>
        <patternFill patternType="solid">
          <bgColor theme="0"/>
        </patternFill>
      </fill>
    </dxf>
    <dxf>
      <fill>
        <patternFill>
          <bgColor rgb="FFFF5050"/>
        </patternFill>
      </fill>
    </dxf>
    <dxf>
      <font>
        <color rgb="FF00B050"/>
      </font>
      <fill>
        <patternFill>
          <bgColor theme="0"/>
        </patternFill>
      </fill>
    </dxf>
    <dxf>
      <fill>
        <patternFill patternType="solid">
          <bgColor theme="0"/>
        </patternFill>
      </fill>
    </dxf>
    <dxf>
      <fill>
        <patternFill>
          <bgColor rgb="FFFF5050"/>
        </patternFill>
      </fill>
    </dxf>
    <dxf>
      <font>
        <color rgb="FF00B050"/>
      </font>
      <fill>
        <patternFill>
          <bgColor theme="0"/>
        </patternFill>
      </fill>
    </dxf>
    <dxf>
      <fill>
        <patternFill>
          <bgColor rgb="FFFF5050"/>
        </patternFill>
      </fill>
    </dxf>
    <dxf>
      <font>
        <color rgb="FF00B050"/>
      </font>
      <fill>
        <patternFill>
          <bgColor theme="0"/>
        </patternFill>
      </fill>
    </dxf>
    <dxf>
      <fill>
        <patternFill patternType="solid">
          <bgColor theme="0"/>
        </patternFill>
      </fill>
    </dxf>
    <dxf>
      <fill>
        <patternFill>
          <bgColor rgb="FFFF5050"/>
        </patternFill>
      </fill>
    </dxf>
    <dxf>
      <font>
        <color rgb="FF00B050"/>
      </font>
      <fill>
        <patternFill>
          <bgColor theme="0"/>
        </patternFill>
      </fill>
    </dxf>
    <dxf>
      <fill>
        <patternFill patternType="solid">
          <bgColor theme="0"/>
        </patternFill>
      </fill>
    </dxf>
    <dxf>
      <fill>
        <patternFill>
          <bgColor theme="0"/>
        </patternFill>
      </fill>
    </dxf>
    <dxf>
      <font>
        <color rgb="FF00CC00"/>
      </font>
      <fill>
        <patternFill patternType="none">
          <bgColor auto="1"/>
        </patternFill>
      </fill>
    </dxf>
    <dxf>
      <fill>
        <patternFill>
          <bgColor rgb="FFFF5050"/>
        </patternFill>
      </fill>
    </dxf>
    <dxf>
      <fill>
        <patternFill>
          <bgColor theme="0"/>
        </patternFill>
      </fill>
    </dxf>
    <dxf>
      <font>
        <color rgb="FF00CC00"/>
      </font>
      <fill>
        <patternFill patternType="none">
          <bgColor auto="1"/>
        </patternFill>
      </fill>
    </dxf>
    <dxf>
      <fill>
        <patternFill>
          <bgColor rgb="FFFF5050"/>
        </patternFill>
      </fill>
    </dxf>
    <dxf>
      <fill>
        <patternFill>
          <bgColor theme="0"/>
        </patternFill>
      </fill>
    </dxf>
    <dxf>
      <font>
        <color rgb="FF00CC00"/>
      </font>
      <fill>
        <patternFill patternType="none">
          <bgColor auto="1"/>
        </patternFill>
      </fill>
    </dxf>
    <dxf>
      <fill>
        <patternFill>
          <bgColor rgb="FFFF5050"/>
        </patternFill>
      </fill>
    </dxf>
    <dxf>
      <fill>
        <patternFill>
          <bgColor theme="0"/>
        </patternFill>
      </fill>
    </dxf>
    <dxf>
      <font>
        <color rgb="FF00CC00"/>
      </font>
      <fill>
        <patternFill patternType="none">
          <bgColor auto="1"/>
        </patternFill>
      </fill>
    </dxf>
    <dxf>
      <fill>
        <patternFill>
          <bgColor rgb="FFFF5050"/>
        </patternFill>
      </fill>
    </dxf>
    <dxf>
      <fill>
        <patternFill>
          <bgColor theme="0"/>
        </patternFill>
      </fill>
    </dxf>
    <dxf>
      <font>
        <color rgb="FF00CC00"/>
      </font>
      <fill>
        <patternFill patternType="none">
          <bgColor auto="1"/>
        </patternFill>
      </fill>
    </dxf>
    <dxf>
      <fill>
        <patternFill>
          <bgColor rgb="FFFF5050"/>
        </patternFill>
      </fill>
    </dxf>
    <dxf>
      <fill>
        <patternFill patternType="solid">
          <bgColor theme="0"/>
        </patternFill>
      </fill>
    </dxf>
    <dxf>
      <fill>
        <patternFill>
          <bgColor rgb="FFFF5050"/>
        </patternFill>
      </fill>
    </dxf>
    <dxf>
      <font>
        <color rgb="FF00B050"/>
      </font>
      <fill>
        <patternFill>
          <bgColor theme="0"/>
        </patternFill>
      </fill>
    </dxf>
    <dxf>
      <fill>
        <patternFill patternType="solid">
          <bgColor theme="0"/>
        </patternFill>
      </fill>
    </dxf>
    <dxf>
      <fill>
        <patternFill>
          <bgColor rgb="FFFF5050"/>
        </patternFill>
      </fill>
    </dxf>
    <dxf>
      <font>
        <color rgb="FF00B050"/>
      </font>
      <fill>
        <patternFill>
          <bgColor theme="0"/>
        </patternFill>
      </fill>
    </dxf>
    <dxf>
      <fill>
        <patternFill patternType="solid">
          <bgColor theme="0"/>
        </patternFill>
      </fill>
    </dxf>
    <dxf>
      <fill>
        <patternFill>
          <bgColor rgb="FFFF5050"/>
        </patternFill>
      </fill>
    </dxf>
    <dxf>
      <font>
        <color rgb="FF00B050"/>
      </font>
      <fill>
        <patternFill>
          <bgColor theme="0"/>
        </patternFill>
      </fill>
    </dxf>
    <dxf>
      <fill>
        <patternFill patternType="solid">
          <bgColor theme="0"/>
        </patternFill>
      </fill>
    </dxf>
    <dxf>
      <fill>
        <patternFill>
          <bgColor rgb="FFFF5050"/>
        </patternFill>
      </fill>
    </dxf>
    <dxf>
      <font>
        <color rgb="FF00B050"/>
      </font>
      <fill>
        <patternFill>
          <bgColor theme="0"/>
        </patternFill>
      </fill>
    </dxf>
    <dxf>
      <fill>
        <patternFill patternType="solid">
          <bgColor theme="0"/>
        </patternFill>
      </fill>
    </dxf>
    <dxf>
      <fill>
        <patternFill>
          <bgColor rgb="FFFF5050"/>
        </patternFill>
      </fill>
    </dxf>
    <dxf>
      <font>
        <color rgb="FF00B050"/>
      </font>
      <fill>
        <patternFill>
          <bgColor theme="0"/>
        </patternFill>
      </fill>
    </dxf>
    <dxf>
      <fill>
        <patternFill>
          <bgColor theme="0"/>
        </patternFill>
      </fill>
    </dxf>
    <dxf>
      <font>
        <color rgb="FF00CC00"/>
      </font>
      <fill>
        <patternFill patternType="none">
          <bgColor auto="1"/>
        </patternFill>
      </fill>
    </dxf>
    <dxf>
      <fill>
        <patternFill>
          <bgColor rgb="FFFF5050"/>
        </patternFill>
      </fill>
    </dxf>
    <dxf>
      <fill>
        <patternFill>
          <bgColor theme="0"/>
        </patternFill>
      </fill>
    </dxf>
    <dxf>
      <font>
        <color rgb="FF00CC00"/>
      </font>
      <fill>
        <patternFill patternType="none">
          <bgColor auto="1"/>
        </patternFill>
      </fill>
    </dxf>
    <dxf>
      <fill>
        <patternFill>
          <bgColor rgb="FFFF5050"/>
        </patternFill>
      </fill>
    </dxf>
    <dxf>
      <fill>
        <patternFill>
          <bgColor theme="0"/>
        </patternFill>
      </fill>
    </dxf>
    <dxf>
      <font>
        <color rgb="FF00CC00"/>
      </font>
      <fill>
        <patternFill patternType="none">
          <bgColor auto="1"/>
        </patternFill>
      </fill>
    </dxf>
    <dxf>
      <fill>
        <patternFill>
          <bgColor rgb="FFFF5050"/>
        </patternFill>
      </fill>
    </dxf>
    <dxf>
      <fill>
        <patternFill>
          <bgColor theme="0"/>
        </patternFill>
      </fill>
    </dxf>
    <dxf>
      <font>
        <color rgb="FF00CC00"/>
      </font>
      <fill>
        <patternFill patternType="none">
          <bgColor auto="1"/>
        </patternFill>
      </fill>
    </dxf>
    <dxf>
      <fill>
        <patternFill>
          <bgColor rgb="FFFF5050"/>
        </patternFill>
      </fill>
    </dxf>
    <dxf>
      <fill>
        <patternFill>
          <bgColor theme="0"/>
        </patternFill>
      </fill>
    </dxf>
    <dxf>
      <font>
        <color rgb="FF00CC00"/>
      </font>
      <fill>
        <patternFill patternType="none">
          <bgColor auto="1"/>
        </patternFill>
      </fill>
    </dxf>
    <dxf>
      <fill>
        <patternFill>
          <bgColor rgb="FFFF5050"/>
        </patternFill>
      </fill>
    </dxf>
    <dxf>
      <fill>
        <patternFill>
          <bgColor theme="0"/>
        </patternFill>
      </fill>
    </dxf>
    <dxf>
      <font>
        <color rgb="FF00CC00"/>
      </font>
      <fill>
        <patternFill patternType="none">
          <bgColor auto="1"/>
        </patternFill>
      </fill>
    </dxf>
    <dxf>
      <fill>
        <patternFill>
          <bgColor rgb="FFFF5050"/>
        </patternFill>
      </fill>
    </dxf>
    <dxf>
      <fill>
        <patternFill>
          <bgColor theme="0"/>
        </patternFill>
      </fill>
    </dxf>
    <dxf>
      <font>
        <color rgb="FF00CC00"/>
      </font>
      <fill>
        <patternFill patternType="none">
          <bgColor auto="1"/>
        </patternFill>
      </fill>
    </dxf>
    <dxf>
      <fill>
        <patternFill>
          <bgColor rgb="FFFF5050"/>
        </patternFill>
      </fill>
    </dxf>
    <dxf>
      <fill>
        <patternFill patternType="solid">
          <bgColor theme="0"/>
        </patternFill>
      </fill>
    </dxf>
    <dxf>
      <fill>
        <patternFill>
          <bgColor rgb="FFFF5050"/>
        </patternFill>
      </fill>
    </dxf>
    <dxf>
      <font>
        <color rgb="FF00B050"/>
      </font>
      <fill>
        <patternFill>
          <bgColor theme="0"/>
        </patternFill>
      </fill>
    </dxf>
    <dxf>
      <fill>
        <patternFill patternType="solid">
          <bgColor theme="0"/>
        </patternFill>
      </fill>
    </dxf>
    <dxf>
      <fill>
        <patternFill>
          <bgColor rgb="FFFF5050"/>
        </patternFill>
      </fill>
    </dxf>
    <dxf>
      <font>
        <color rgb="FF00B050"/>
      </font>
      <fill>
        <patternFill>
          <bgColor theme="0"/>
        </patternFill>
      </fill>
    </dxf>
    <dxf>
      <fill>
        <patternFill patternType="solid">
          <bgColor theme="0"/>
        </patternFill>
      </fill>
    </dxf>
    <dxf>
      <fill>
        <patternFill>
          <bgColor rgb="FFFF5050"/>
        </patternFill>
      </fill>
    </dxf>
    <dxf>
      <font>
        <color rgb="FF00B050"/>
      </font>
      <fill>
        <patternFill>
          <bgColor theme="0"/>
        </patternFill>
      </fill>
    </dxf>
    <dxf>
      <fill>
        <patternFill>
          <bgColor theme="0"/>
        </patternFill>
      </fill>
    </dxf>
    <dxf>
      <font>
        <color rgb="FF00CC00"/>
      </font>
      <fill>
        <patternFill patternType="none">
          <bgColor auto="1"/>
        </patternFill>
      </fill>
    </dxf>
    <dxf>
      <fill>
        <patternFill>
          <bgColor rgb="FFFF5050"/>
        </patternFill>
      </fill>
    </dxf>
    <dxf>
      <fill>
        <patternFill patternType="solid">
          <bgColor theme="0"/>
        </patternFill>
      </fill>
    </dxf>
    <dxf>
      <fill>
        <patternFill>
          <bgColor rgb="FFFF5050"/>
        </patternFill>
      </fill>
    </dxf>
    <dxf>
      <font>
        <color rgb="FF00B050"/>
      </font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 patternType="solid">
          <bgColor theme="0"/>
        </patternFill>
      </fill>
    </dxf>
    <dxf>
      <fill>
        <patternFill>
          <bgColor theme="0"/>
        </patternFill>
      </fill>
    </dxf>
    <dxf>
      <fill>
        <patternFill patternType="solid">
          <bgColor theme="0"/>
        </patternFill>
      </fill>
    </dxf>
    <dxf>
      <font>
        <color rgb="FF00CC00"/>
      </font>
      <fill>
        <patternFill patternType="none">
          <bgColor auto="1"/>
        </patternFill>
      </fill>
    </dxf>
    <dxf>
      <fill>
        <patternFill>
          <bgColor rgb="FFFF5050"/>
        </patternFill>
      </fill>
    </dxf>
    <dxf>
      <fill>
        <patternFill>
          <bgColor rgb="FFFF5050"/>
        </patternFill>
      </fill>
    </dxf>
    <dxf>
      <font>
        <color rgb="FF00B050"/>
      </font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 patternType="solid">
          <bgColor theme="0"/>
        </patternFill>
      </fill>
    </dxf>
    <dxf>
      <fill>
        <patternFill>
          <bgColor theme="0"/>
        </patternFill>
      </fill>
    </dxf>
    <dxf>
      <fill>
        <patternFill patternType="solid">
          <bgColor theme="0"/>
        </patternFill>
      </fill>
    </dxf>
    <dxf>
      <font>
        <color rgb="FF00CC00"/>
      </font>
      <fill>
        <patternFill patternType="none">
          <bgColor auto="1"/>
        </patternFill>
      </fill>
    </dxf>
    <dxf>
      <fill>
        <patternFill>
          <bgColor rgb="FFFF5050"/>
        </patternFill>
      </fill>
    </dxf>
    <dxf>
      <fill>
        <patternFill>
          <bgColor rgb="FFFF5050"/>
        </patternFill>
      </fill>
    </dxf>
    <dxf>
      <font>
        <color rgb="FF00B050"/>
      </font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 patternType="solid">
          <bgColor theme="0"/>
        </patternFill>
      </fill>
    </dxf>
    <dxf>
      <fill>
        <patternFill>
          <bgColor theme="0"/>
        </patternFill>
      </fill>
    </dxf>
    <dxf>
      <fill>
        <patternFill patternType="solid">
          <bgColor theme="0"/>
        </patternFill>
      </fill>
    </dxf>
    <dxf>
      <font>
        <color rgb="FF00CC00"/>
      </font>
      <fill>
        <patternFill patternType="none">
          <bgColor auto="1"/>
        </patternFill>
      </fill>
    </dxf>
    <dxf>
      <fill>
        <patternFill>
          <bgColor rgb="FFFF5050"/>
        </patternFill>
      </fill>
    </dxf>
    <dxf>
      <fill>
        <patternFill>
          <bgColor rgb="FFFF5050"/>
        </patternFill>
      </fill>
    </dxf>
    <dxf>
      <font>
        <color rgb="FF00B050"/>
      </font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 patternType="solid">
          <bgColor theme="0"/>
        </patternFill>
      </fill>
    </dxf>
    <dxf>
      <fill>
        <patternFill>
          <bgColor theme="0"/>
        </patternFill>
      </fill>
    </dxf>
    <dxf>
      <fill>
        <patternFill patternType="solid">
          <bgColor theme="0"/>
        </patternFill>
      </fill>
    </dxf>
    <dxf>
      <font>
        <color rgb="FF00CC00"/>
      </font>
      <fill>
        <patternFill patternType="none">
          <bgColor auto="1"/>
        </patternFill>
      </fill>
    </dxf>
    <dxf>
      <fill>
        <patternFill>
          <bgColor rgb="FFFF5050"/>
        </patternFill>
      </fill>
    </dxf>
    <dxf>
      <fill>
        <patternFill>
          <bgColor rgb="FFFF5050"/>
        </patternFill>
      </fill>
    </dxf>
    <dxf>
      <font>
        <color rgb="FF00B050"/>
      </font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 patternType="solid">
          <bgColor theme="0"/>
        </patternFill>
      </fill>
    </dxf>
    <dxf>
      <fill>
        <patternFill>
          <bgColor theme="0"/>
        </patternFill>
      </fill>
    </dxf>
    <dxf>
      <fill>
        <patternFill patternType="solid">
          <bgColor theme="0"/>
        </patternFill>
      </fill>
    </dxf>
    <dxf>
      <font>
        <color rgb="FF00CC00"/>
      </font>
      <fill>
        <patternFill patternType="none">
          <bgColor auto="1"/>
        </patternFill>
      </fill>
    </dxf>
    <dxf>
      <fill>
        <patternFill>
          <bgColor rgb="FFFF5050"/>
        </patternFill>
      </fill>
    </dxf>
    <dxf>
      <fill>
        <patternFill>
          <bgColor rgb="FFFF5050"/>
        </patternFill>
      </fill>
    </dxf>
    <dxf>
      <font>
        <color rgb="FF00B050"/>
      </font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 patternType="solid">
          <bgColor theme="0"/>
        </patternFill>
      </fill>
    </dxf>
    <dxf>
      <fill>
        <patternFill>
          <bgColor theme="0"/>
        </patternFill>
      </fill>
    </dxf>
    <dxf>
      <fill>
        <patternFill patternType="solid">
          <bgColor theme="0"/>
        </patternFill>
      </fill>
    </dxf>
    <dxf>
      <font>
        <color rgb="FF00CC00"/>
      </font>
      <fill>
        <patternFill patternType="none">
          <bgColor auto="1"/>
        </patternFill>
      </fill>
    </dxf>
    <dxf>
      <fill>
        <patternFill>
          <bgColor rgb="FFFF5050"/>
        </patternFill>
      </fill>
    </dxf>
    <dxf>
      <fill>
        <patternFill>
          <bgColor rgb="FFFF5050"/>
        </patternFill>
      </fill>
    </dxf>
    <dxf>
      <font>
        <color rgb="FF00B050"/>
      </font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 patternType="solid">
          <bgColor theme="0"/>
        </patternFill>
      </fill>
    </dxf>
    <dxf>
      <fill>
        <patternFill>
          <bgColor theme="0"/>
        </patternFill>
      </fill>
    </dxf>
    <dxf>
      <fill>
        <patternFill patternType="solid">
          <bgColor theme="0"/>
        </patternFill>
      </fill>
    </dxf>
    <dxf>
      <font>
        <color rgb="FF00CC00"/>
      </font>
      <fill>
        <patternFill patternType="none">
          <bgColor auto="1"/>
        </patternFill>
      </fill>
    </dxf>
    <dxf>
      <fill>
        <patternFill>
          <bgColor rgb="FFFF5050"/>
        </patternFill>
      </fill>
    </dxf>
    <dxf>
      <fill>
        <patternFill>
          <bgColor rgb="FFFF5050"/>
        </patternFill>
      </fill>
    </dxf>
    <dxf>
      <font>
        <color rgb="FF00B050"/>
      </font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 patternType="solid">
          <bgColor theme="0"/>
        </patternFill>
      </fill>
    </dxf>
    <dxf>
      <fill>
        <patternFill>
          <bgColor theme="0"/>
        </patternFill>
      </fill>
    </dxf>
    <dxf>
      <fill>
        <patternFill patternType="solid">
          <bgColor theme="0"/>
        </patternFill>
      </fill>
    </dxf>
    <dxf>
      <font>
        <color rgb="FF00CC00"/>
      </font>
      <fill>
        <patternFill patternType="none">
          <bgColor auto="1"/>
        </patternFill>
      </fill>
    </dxf>
    <dxf>
      <fill>
        <patternFill>
          <bgColor rgb="FFFF5050"/>
        </patternFill>
      </fill>
    </dxf>
    <dxf>
      <fill>
        <patternFill>
          <bgColor rgb="FFFF5050"/>
        </patternFill>
      </fill>
    </dxf>
    <dxf>
      <font>
        <color rgb="FF00B050"/>
      </font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 patternType="solid">
          <bgColor theme="0"/>
        </patternFill>
      </fill>
    </dxf>
    <dxf>
      <fill>
        <patternFill>
          <bgColor theme="0"/>
        </patternFill>
      </fill>
    </dxf>
    <dxf>
      <fill>
        <patternFill patternType="solid">
          <bgColor theme="0"/>
        </patternFill>
      </fill>
    </dxf>
    <dxf>
      <fill>
        <patternFill>
          <bgColor theme="0"/>
        </patternFill>
      </fill>
    </dxf>
    <dxf>
      <fill>
        <patternFill patternType="solid">
          <bgColor theme="0"/>
        </patternFill>
      </fill>
    </dxf>
    <dxf>
      <font>
        <color rgb="FF00CC00"/>
      </font>
      <fill>
        <patternFill patternType="none">
          <bgColor auto="1"/>
        </patternFill>
      </fill>
    </dxf>
    <dxf>
      <fill>
        <patternFill>
          <bgColor rgb="FFFF5050"/>
        </patternFill>
      </fill>
    </dxf>
    <dxf>
      <fill>
        <patternFill>
          <bgColor rgb="FFFF5050"/>
        </patternFill>
      </fill>
    </dxf>
    <dxf>
      <font>
        <color rgb="FF00B050"/>
      </font>
      <fill>
        <patternFill>
          <bgColor theme="0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</dxfs>
  <tableStyles count="0" defaultTableStyle="TableStyleMedium9"/>
  <colors>
    <mruColors>
      <color rgb="FFFF5050"/>
      <color rgb="FF00CC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BM46"/>
  <sheetViews>
    <sheetView tabSelected="1" topLeftCell="AL13" workbookViewId="0">
      <selection activeCell="AX30" sqref="AX30"/>
    </sheetView>
  </sheetViews>
  <sheetFormatPr defaultRowHeight="14.4" x14ac:dyDescent="0.3"/>
  <cols>
    <col min="1" max="1" width="45" customWidth="1"/>
    <col min="2" max="2" width="1.3984375" customWidth="1"/>
    <col min="3" max="3" width="14.09765625" customWidth="1"/>
    <col min="4" max="5" width="12.59765625" style="33" customWidth="1"/>
    <col min="6" max="6" width="1.3984375" customWidth="1"/>
    <col min="7" max="7" width="11.296875" style="33" customWidth="1"/>
    <col min="8" max="8" width="11" style="33" customWidth="1"/>
    <col min="9" max="10" width="12.59765625" style="33" customWidth="1"/>
    <col min="11" max="12" width="11.09765625" customWidth="1"/>
    <col min="13" max="13" width="12.59765625" customWidth="1"/>
    <col min="14" max="14" width="11.8984375" customWidth="1"/>
    <col min="15" max="15" width="13.8984375" style="33" customWidth="1"/>
    <col min="16" max="16" width="9.8984375" customWidth="1"/>
    <col min="17" max="17" width="1.3984375" customWidth="1"/>
    <col min="18" max="19" width="11.69921875" customWidth="1"/>
    <col min="20" max="20" width="11.69921875" style="33" customWidth="1"/>
    <col min="21" max="21" width="13.59765625" customWidth="1"/>
    <col min="22" max="22" width="1.3984375" customWidth="1"/>
    <col min="23" max="25" width="11.69921875" customWidth="1"/>
    <col min="26" max="26" width="12.296875" style="33" customWidth="1"/>
    <col min="27" max="29" width="11.69921875" customWidth="1"/>
    <col min="30" max="30" width="12.296875" style="33" customWidth="1"/>
    <col min="31" max="32" width="11.69921875" customWidth="1"/>
    <col min="33" max="33" width="11.69921875" style="33" customWidth="1"/>
    <col min="34" max="34" width="12.296875" customWidth="1"/>
    <col min="35" max="35" width="1.3984375" customWidth="1"/>
    <col min="36" max="38" width="17.69921875" customWidth="1"/>
    <col min="39" max="39" width="1.3984375" customWidth="1"/>
    <col min="40" max="40" width="16.59765625" customWidth="1"/>
    <col min="41" max="41" width="16.69921875" customWidth="1"/>
    <col min="42" max="42" width="16.69921875" style="33" customWidth="1"/>
    <col min="43" max="43" width="16.296875" customWidth="1"/>
    <col min="44" max="44" width="1.3984375" customWidth="1"/>
    <col min="45" max="45" width="17.69921875" customWidth="1"/>
    <col min="46" max="46" width="17.69921875" style="33" customWidth="1"/>
    <col min="47" max="47" width="20" customWidth="1"/>
    <col min="48" max="48" width="20" style="33" customWidth="1"/>
    <col min="49" max="49" width="1.3984375" customWidth="1"/>
    <col min="50" max="50" width="64" customWidth="1"/>
    <col min="51" max="51" width="1.3984375" customWidth="1"/>
  </cols>
  <sheetData>
    <row r="1" spans="1:65" s="33" customFormat="1" ht="15" customHeight="1" x14ac:dyDescent="0.3">
      <c r="A1" s="130" t="s">
        <v>231</v>
      </c>
      <c r="G1" s="390" t="s">
        <v>115</v>
      </c>
      <c r="H1" s="390"/>
      <c r="I1" s="390"/>
      <c r="J1" s="390"/>
      <c r="K1" s="390"/>
      <c r="L1" s="390"/>
      <c r="M1" s="390"/>
      <c r="N1" s="390"/>
      <c r="O1" s="390"/>
    </row>
    <row r="2" spans="1:65" ht="15" customHeight="1" thickBot="1" x14ac:dyDescent="0.35">
      <c r="C2" s="3"/>
      <c r="D2" s="27"/>
      <c r="E2" s="27"/>
      <c r="G2" s="393" t="s">
        <v>113</v>
      </c>
      <c r="H2" s="394"/>
      <c r="I2" s="394"/>
      <c r="J2" s="394"/>
      <c r="K2" s="391" t="s">
        <v>114</v>
      </c>
      <c r="L2" s="392"/>
      <c r="M2" s="392"/>
      <c r="N2" s="392"/>
      <c r="O2" s="89"/>
    </row>
    <row r="3" spans="1:65" ht="35.299999999999997" customHeight="1" thickBot="1" x14ac:dyDescent="0.35">
      <c r="C3" s="398" t="s">
        <v>24</v>
      </c>
      <c r="D3" s="399"/>
      <c r="E3" s="399"/>
      <c r="F3" s="399"/>
      <c r="G3" s="399"/>
      <c r="H3" s="399"/>
      <c r="I3" s="399"/>
      <c r="J3" s="399"/>
      <c r="K3" s="399"/>
      <c r="L3" s="399"/>
      <c r="M3" s="399"/>
      <c r="N3" s="399"/>
      <c r="O3" s="399"/>
      <c r="P3" s="400"/>
      <c r="R3" s="401" t="s">
        <v>0</v>
      </c>
      <c r="S3" s="402"/>
      <c r="T3" s="402"/>
      <c r="U3" s="403"/>
      <c r="W3" s="401" t="s">
        <v>1</v>
      </c>
      <c r="X3" s="402"/>
      <c r="Y3" s="402"/>
      <c r="Z3" s="402"/>
      <c r="AA3" s="402"/>
      <c r="AB3" s="402"/>
      <c r="AC3" s="402"/>
      <c r="AD3" s="402"/>
      <c r="AE3" s="402"/>
      <c r="AF3" s="402"/>
      <c r="AG3" s="402"/>
      <c r="AH3" s="403"/>
      <c r="AI3" s="6"/>
      <c r="AJ3" s="404" t="s">
        <v>26</v>
      </c>
      <c r="AK3" s="405"/>
      <c r="AL3" s="406"/>
      <c r="AN3" s="395" t="s">
        <v>25</v>
      </c>
      <c r="AO3" s="396"/>
      <c r="AP3" s="396"/>
      <c r="AQ3" s="397"/>
      <c r="AS3" s="395" t="s">
        <v>2</v>
      </c>
      <c r="AT3" s="396"/>
      <c r="AU3" s="397"/>
      <c r="AV3" s="295" t="s">
        <v>225</v>
      </c>
    </row>
    <row r="4" spans="1:65" ht="55.45" customHeight="1" thickBot="1" x14ac:dyDescent="0.35">
      <c r="A4" s="106" t="s">
        <v>233</v>
      </c>
      <c r="C4" s="291" t="s">
        <v>215</v>
      </c>
      <c r="D4" s="292" t="s">
        <v>216</v>
      </c>
      <c r="E4" s="293" t="s">
        <v>172</v>
      </c>
      <c r="F4" s="108"/>
      <c r="G4" s="284" t="s">
        <v>205</v>
      </c>
      <c r="H4" s="285" t="s">
        <v>206</v>
      </c>
      <c r="I4" s="285" t="s">
        <v>207</v>
      </c>
      <c r="J4" s="285" t="s">
        <v>208</v>
      </c>
      <c r="K4" s="285" t="s">
        <v>209</v>
      </c>
      <c r="L4" s="285" t="s">
        <v>210</v>
      </c>
      <c r="M4" s="285" t="s">
        <v>211</v>
      </c>
      <c r="N4" s="288" t="s">
        <v>212</v>
      </c>
      <c r="O4" s="289" t="s">
        <v>213</v>
      </c>
      <c r="P4" s="290" t="s">
        <v>214</v>
      </c>
      <c r="Q4" s="2"/>
      <c r="R4" s="284" t="s">
        <v>217</v>
      </c>
      <c r="S4" s="285" t="s">
        <v>218</v>
      </c>
      <c r="T4" s="286" t="s">
        <v>219</v>
      </c>
      <c r="U4" s="287" t="s">
        <v>220</v>
      </c>
      <c r="V4" s="5"/>
      <c r="W4" s="284" t="s">
        <v>187</v>
      </c>
      <c r="X4" s="285" t="s">
        <v>188</v>
      </c>
      <c r="Y4" s="286" t="s">
        <v>189</v>
      </c>
      <c r="Z4" s="287" t="s">
        <v>190</v>
      </c>
      <c r="AA4" s="284" t="s">
        <v>191</v>
      </c>
      <c r="AB4" s="285" t="s">
        <v>192</v>
      </c>
      <c r="AC4" s="286" t="s">
        <v>193</v>
      </c>
      <c r="AD4" s="300" t="s">
        <v>228</v>
      </c>
      <c r="AE4" s="284" t="s">
        <v>194</v>
      </c>
      <c r="AF4" s="285" t="s">
        <v>195</v>
      </c>
      <c r="AG4" s="286" t="s">
        <v>196</v>
      </c>
      <c r="AH4" s="287" t="s">
        <v>197</v>
      </c>
      <c r="AI4" s="7"/>
      <c r="AJ4" s="109" t="s">
        <v>128</v>
      </c>
      <c r="AK4" s="110" t="s">
        <v>129</v>
      </c>
      <c r="AL4" s="111" t="s">
        <v>130</v>
      </c>
      <c r="AM4" s="1"/>
      <c r="AN4" s="284" t="s">
        <v>198</v>
      </c>
      <c r="AO4" s="285" t="s">
        <v>199</v>
      </c>
      <c r="AP4" s="286" t="s">
        <v>200</v>
      </c>
      <c r="AQ4" s="287" t="s">
        <v>201</v>
      </c>
      <c r="AR4" s="1"/>
      <c r="AS4" s="284" t="s">
        <v>202</v>
      </c>
      <c r="AT4" s="286" t="s">
        <v>203</v>
      </c>
      <c r="AU4" s="287" t="s">
        <v>204</v>
      </c>
      <c r="AV4" s="296" t="s">
        <v>224</v>
      </c>
      <c r="AX4" s="105" t="s">
        <v>143</v>
      </c>
    </row>
    <row r="5" spans="1:65" ht="5.2" customHeight="1" thickBot="1" x14ac:dyDescent="0.35">
      <c r="A5" s="25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112"/>
      <c r="AF5" s="112"/>
      <c r="AG5" s="112"/>
      <c r="AH5" s="112"/>
      <c r="AI5" s="2"/>
      <c r="AJ5" s="2"/>
      <c r="AK5" s="2"/>
      <c r="AL5" s="2"/>
      <c r="AM5" s="2"/>
      <c r="AN5" s="112"/>
      <c r="AO5" s="112"/>
      <c r="AP5" s="112"/>
      <c r="AQ5" s="2"/>
      <c r="AR5" s="2"/>
      <c r="AS5" s="2"/>
      <c r="AT5" s="2"/>
      <c r="AU5" s="2"/>
      <c r="AV5" s="2"/>
      <c r="AW5" s="2"/>
      <c r="AX5" s="2"/>
    </row>
    <row r="6" spans="1:65" ht="16.7" hidden="1" thickTop="1" thickBot="1" x14ac:dyDescent="0.45">
      <c r="A6" s="107" t="s">
        <v>35</v>
      </c>
      <c r="B6" s="15"/>
      <c r="C6" s="68" t="s">
        <v>34</v>
      </c>
      <c r="D6" s="90"/>
      <c r="E6" s="90"/>
      <c r="F6" s="93"/>
      <c r="G6" s="69"/>
      <c r="H6" s="69"/>
      <c r="I6" s="69"/>
      <c r="J6" s="69"/>
      <c r="K6" s="69" t="s">
        <v>34</v>
      </c>
      <c r="L6" s="69" t="s">
        <v>34</v>
      </c>
      <c r="M6" s="69" t="s">
        <v>34</v>
      </c>
      <c r="N6" s="69" t="s">
        <v>34</v>
      </c>
      <c r="O6" s="69"/>
      <c r="P6" s="70" t="s">
        <v>34</v>
      </c>
      <c r="Q6" s="21"/>
      <c r="R6" s="72">
        <v>50</v>
      </c>
      <c r="S6" s="73">
        <v>60</v>
      </c>
      <c r="T6" s="74">
        <v>10</v>
      </c>
      <c r="U6" s="71">
        <v>120</v>
      </c>
      <c r="V6" s="22"/>
      <c r="W6" s="71">
        <v>5</v>
      </c>
      <c r="X6" s="71">
        <v>15</v>
      </c>
      <c r="Y6" s="71">
        <v>30</v>
      </c>
      <c r="Z6" s="71">
        <v>120</v>
      </c>
      <c r="AA6" s="72">
        <v>20</v>
      </c>
      <c r="AB6" s="73">
        <v>20</v>
      </c>
      <c r="AC6" s="74">
        <v>20</v>
      </c>
      <c r="AD6" s="71">
        <v>120</v>
      </c>
      <c r="AE6" s="78">
        <v>2</v>
      </c>
      <c r="AF6" s="76">
        <v>3</v>
      </c>
      <c r="AG6" s="77">
        <v>5</v>
      </c>
      <c r="AH6" s="77">
        <v>5</v>
      </c>
      <c r="AI6" s="23"/>
      <c r="AJ6" s="79">
        <v>4</v>
      </c>
      <c r="AK6" s="73">
        <v>19</v>
      </c>
      <c r="AL6" s="74">
        <v>19</v>
      </c>
      <c r="AM6" s="22"/>
      <c r="AN6" s="75">
        <v>40</v>
      </c>
      <c r="AO6" s="76">
        <v>40</v>
      </c>
      <c r="AP6" s="77">
        <v>7</v>
      </c>
      <c r="AQ6" s="71">
        <v>120</v>
      </c>
      <c r="AR6" s="22"/>
      <c r="AS6" s="80">
        <v>10</v>
      </c>
      <c r="AT6" s="81">
        <v>23</v>
      </c>
      <c r="AU6" s="71">
        <v>120</v>
      </c>
      <c r="AV6" s="297"/>
      <c r="AW6" s="3"/>
      <c r="AX6" s="82"/>
      <c r="AY6" s="3"/>
      <c r="AZ6" s="19" t="str">
        <f>IF(Errors!X5 = 3,"No errors","Please check your entry for errors or missing entries. Check the tab below called 'Errors' for some guidance")</f>
        <v>Please check your entry for errors or missing entries. Check the tab below called 'Errors' for some guidance</v>
      </c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</row>
    <row r="7" spans="1:65" ht="16.600000000000001" customHeight="1" thickBot="1" x14ac:dyDescent="0.35">
      <c r="A7" s="221" t="s">
        <v>109</v>
      </c>
      <c r="C7" s="83"/>
      <c r="D7" s="83"/>
      <c r="E7" s="83"/>
      <c r="F7" s="83"/>
      <c r="G7" s="83"/>
      <c r="H7" s="83"/>
      <c r="I7" s="83"/>
      <c r="J7" s="83"/>
      <c r="K7" s="83"/>
      <c r="L7" s="83"/>
      <c r="M7" s="83"/>
      <c r="N7" s="83"/>
      <c r="O7" s="83"/>
      <c r="P7" s="83"/>
      <c r="Q7" s="84"/>
      <c r="R7" s="88"/>
      <c r="S7" s="88"/>
      <c r="T7" s="88"/>
      <c r="U7" s="87"/>
      <c r="V7" s="87"/>
      <c r="W7" s="87"/>
      <c r="X7" s="87"/>
      <c r="Y7" s="87"/>
      <c r="Z7" s="85"/>
      <c r="AA7" s="88"/>
      <c r="AB7" s="88"/>
      <c r="AC7" s="88"/>
      <c r="AD7" s="87"/>
      <c r="AE7" s="88"/>
      <c r="AF7" s="88"/>
      <c r="AG7" s="88"/>
      <c r="AH7" s="88"/>
      <c r="AI7" s="88"/>
      <c r="AJ7" s="88"/>
      <c r="AK7" s="88"/>
      <c r="AL7" s="88"/>
      <c r="AM7" s="87"/>
      <c r="AN7" s="86"/>
      <c r="AO7" s="86"/>
      <c r="AP7" s="86"/>
      <c r="AQ7" s="85"/>
      <c r="AR7" s="87"/>
      <c r="AS7" s="271" t="s">
        <v>177</v>
      </c>
      <c r="AT7" s="271" t="s">
        <v>178</v>
      </c>
      <c r="AU7" s="271" t="s">
        <v>179</v>
      </c>
      <c r="AV7" s="283" t="s">
        <v>226</v>
      </c>
      <c r="AW7" s="83"/>
      <c r="AX7" s="131"/>
      <c r="AY7" s="3"/>
      <c r="AZ7" s="19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</row>
    <row r="8" spans="1:65" x14ac:dyDescent="0.3">
      <c r="A8" s="337" t="s">
        <v>4</v>
      </c>
      <c r="B8" s="3"/>
      <c r="C8" s="307">
        <v>1265</v>
      </c>
      <c r="D8" s="308">
        <v>642</v>
      </c>
      <c r="E8" s="309">
        <f>SUM(C8:D8)</f>
        <v>1907</v>
      </c>
      <c r="F8" s="310">
        <f>SUM(C8:E8)</f>
        <v>3814</v>
      </c>
      <c r="G8" s="311">
        <v>209</v>
      </c>
      <c r="H8" s="312">
        <v>31</v>
      </c>
      <c r="I8" s="312">
        <v>1</v>
      </c>
      <c r="J8" s="312">
        <v>5</v>
      </c>
      <c r="K8" s="312">
        <v>375</v>
      </c>
      <c r="L8" s="312">
        <v>68</v>
      </c>
      <c r="M8" s="312">
        <v>9</v>
      </c>
      <c r="N8" s="313">
        <v>190</v>
      </c>
      <c r="O8" s="314">
        <f t="shared" ref="O8:O21" si="0">SUM(G8:N8)</f>
        <v>888</v>
      </c>
      <c r="P8" s="315">
        <v>472</v>
      </c>
      <c r="Q8" s="316"/>
      <c r="R8" s="317">
        <v>822</v>
      </c>
      <c r="S8" s="318">
        <v>153</v>
      </c>
      <c r="T8" s="319">
        <v>276</v>
      </c>
      <c r="U8" s="314">
        <f t="shared" ref="U8:U21" si="1">SUM(R8:T8)</f>
        <v>1251</v>
      </c>
      <c r="V8" s="320"/>
      <c r="W8" s="317">
        <v>164</v>
      </c>
      <c r="X8" s="318">
        <v>549</v>
      </c>
      <c r="Y8" s="319">
        <v>109</v>
      </c>
      <c r="Z8" s="314">
        <f t="shared" ref="Z8:Z21" si="2">SUM(W8:Y8)</f>
        <v>822</v>
      </c>
      <c r="AA8" s="317">
        <v>35</v>
      </c>
      <c r="AB8" s="318">
        <v>79</v>
      </c>
      <c r="AC8" s="319">
        <v>39</v>
      </c>
      <c r="AD8" s="314">
        <f t="shared" ref="AD8:AD21" si="3">SUM(AA8:AC8)</f>
        <v>153</v>
      </c>
      <c r="AE8" s="317">
        <v>59</v>
      </c>
      <c r="AF8" s="318">
        <v>115</v>
      </c>
      <c r="AG8" s="319">
        <v>102</v>
      </c>
      <c r="AH8" s="314">
        <f t="shared" ref="AH8:AH20" si="4">SUM(AE8:AG8)</f>
        <v>276</v>
      </c>
      <c r="AI8" s="321"/>
      <c r="AJ8" s="322" t="s">
        <v>52</v>
      </c>
      <c r="AK8" s="323" t="s">
        <v>52</v>
      </c>
      <c r="AL8" s="324" t="s">
        <v>52</v>
      </c>
      <c r="AM8" s="320"/>
      <c r="AN8" s="317">
        <v>639</v>
      </c>
      <c r="AO8" s="323">
        <v>128</v>
      </c>
      <c r="AP8" s="319">
        <v>25</v>
      </c>
      <c r="AQ8" s="314">
        <f t="shared" ref="AQ8:AQ21" si="5">SUM(AN8:AP8)</f>
        <v>792</v>
      </c>
      <c r="AR8" s="320"/>
      <c r="AS8" s="317">
        <v>183</v>
      </c>
      <c r="AT8" s="319">
        <v>58</v>
      </c>
      <c r="AU8" s="314">
        <f t="shared" ref="AU8:AU17" si="6">SUM(AS8:AT8)</f>
        <v>241</v>
      </c>
      <c r="AV8" s="314">
        <f t="shared" ref="AV8:AV22" si="7">+U8-AQ8-AU8</f>
        <v>218</v>
      </c>
      <c r="AW8" s="316">
        <f>AQ8+AU8</f>
        <v>1033</v>
      </c>
      <c r="AX8" s="376"/>
      <c r="AZ8" s="19" t="str">
        <f>IF(Errors!X8 = 11,"No errors","Please check your entry for errors or missing entries. Check the tab below called 'Errors' for some guidance")</f>
        <v>No errors</v>
      </c>
    </row>
    <row r="9" spans="1:65" x14ac:dyDescent="0.3">
      <c r="A9" s="336" t="s">
        <v>5</v>
      </c>
      <c r="B9" s="3"/>
      <c r="C9" s="301">
        <v>356</v>
      </c>
      <c r="D9" s="302">
        <v>189</v>
      </c>
      <c r="E9" s="303">
        <f>SUM(C9:D9)</f>
        <v>545</v>
      </c>
      <c r="F9" s="310">
        <f>SUM(C9:E9)</f>
        <v>1090</v>
      </c>
      <c r="G9" s="325">
        <v>0</v>
      </c>
      <c r="H9" s="326">
        <v>0</v>
      </c>
      <c r="I9" s="326">
        <v>0</v>
      </c>
      <c r="J9" s="326">
        <v>0</v>
      </c>
      <c r="K9" s="326">
        <v>122</v>
      </c>
      <c r="L9" s="326">
        <v>7</v>
      </c>
      <c r="M9" s="326">
        <v>60</v>
      </c>
      <c r="N9" s="327">
        <v>0</v>
      </c>
      <c r="O9" s="328">
        <f t="shared" si="0"/>
        <v>189</v>
      </c>
      <c r="P9" s="329">
        <v>0</v>
      </c>
      <c r="Q9" s="316"/>
      <c r="R9" s="330">
        <v>88</v>
      </c>
      <c r="S9" s="331">
        <v>251</v>
      </c>
      <c r="T9" s="332">
        <v>3</v>
      </c>
      <c r="U9" s="328">
        <f t="shared" si="1"/>
        <v>342</v>
      </c>
      <c r="V9" s="320"/>
      <c r="W9" s="330">
        <v>50</v>
      </c>
      <c r="X9" s="331">
        <v>24</v>
      </c>
      <c r="Y9" s="332">
        <v>14</v>
      </c>
      <c r="Z9" s="328">
        <f t="shared" si="2"/>
        <v>88</v>
      </c>
      <c r="AA9" s="330">
        <v>46</v>
      </c>
      <c r="AB9" s="331">
        <v>119</v>
      </c>
      <c r="AC9" s="332">
        <v>86</v>
      </c>
      <c r="AD9" s="328">
        <f t="shared" si="3"/>
        <v>251</v>
      </c>
      <c r="AE9" s="330">
        <v>1</v>
      </c>
      <c r="AF9" s="331">
        <v>2</v>
      </c>
      <c r="AG9" s="332">
        <v>0</v>
      </c>
      <c r="AH9" s="328">
        <f t="shared" si="4"/>
        <v>3</v>
      </c>
      <c r="AI9" s="321"/>
      <c r="AJ9" s="333" t="s">
        <v>52</v>
      </c>
      <c r="AK9" s="334" t="s">
        <v>52</v>
      </c>
      <c r="AL9" s="335" t="s">
        <v>52</v>
      </c>
      <c r="AM9" s="320"/>
      <c r="AN9" s="330">
        <v>77</v>
      </c>
      <c r="AO9" s="331">
        <v>107</v>
      </c>
      <c r="AP9" s="332">
        <v>2</v>
      </c>
      <c r="AQ9" s="328">
        <f t="shared" si="5"/>
        <v>186</v>
      </c>
      <c r="AR9" s="320"/>
      <c r="AS9" s="330">
        <v>0</v>
      </c>
      <c r="AT9" s="332">
        <v>3</v>
      </c>
      <c r="AU9" s="328">
        <f t="shared" si="6"/>
        <v>3</v>
      </c>
      <c r="AV9" s="328">
        <f t="shared" si="7"/>
        <v>153</v>
      </c>
      <c r="AW9" s="27"/>
      <c r="AX9" s="294"/>
      <c r="AZ9" s="19" t="str">
        <f>IF(Errors!X9 = 11,"No errors","Please check your entry for errors or missing entries. Check the tab below called 'Errors' for some guidance")</f>
        <v>No errors</v>
      </c>
    </row>
    <row r="10" spans="1:65" x14ac:dyDescent="0.3">
      <c r="A10" s="336" t="s">
        <v>6</v>
      </c>
      <c r="B10" s="316"/>
      <c r="C10" s="301">
        <v>500</v>
      </c>
      <c r="D10" s="302">
        <v>81</v>
      </c>
      <c r="E10" s="303">
        <f t="shared" ref="E10:E18" si="8">SUM(C10:D10)</f>
        <v>581</v>
      </c>
      <c r="F10" s="310"/>
      <c r="G10" s="325">
        <v>0</v>
      </c>
      <c r="H10" s="326">
        <v>0</v>
      </c>
      <c r="I10" s="326">
        <v>0</v>
      </c>
      <c r="J10" s="326">
        <v>0</v>
      </c>
      <c r="K10" s="326">
        <v>36</v>
      </c>
      <c r="L10" s="326">
        <v>8</v>
      </c>
      <c r="M10" s="326">
        <v>0</v>
      </c>
      <c r="N10" s="327">
        <v>37</v>
      </c>
      <c r="O10" s="328">
        <f t="shared" si="0"/>
        <v>81</v>
      </c>
      <c r="P10" s="329">
        <v>27</v>
      </c>
      <c r="Q10" s="316"/>
      <c r="R10" s="330">
        <v>99</v>
      </c>
      <c r="S10" s="331">
        <v>372</v>
      </c>
      <c r="T10" s="332">
        <v>32</v>
      </c>
      <c r="U10" s="328">
        <f t="shared" si="1"/>
        <v>503</v>
      </c>
      <c r="V10" s="320"/>
      <c r="W10" s="330">
        <v>43</v>
      </c>
      <c r="X10" s="331">
        <v>35</v>
      </c>
      <c r="Y10" s="332">
        <v>21</v>
      </c>
      <c r="Z10" s="328">
        <f t="shared" si="2"/>
        <v>99</v>
      </c>
      <c r="AA10" s="330">
        <v>100</v>
      </c>
      <c r="AB10" s="331">
        <v>125</v>
      </c>
      <c r="AC10" s="332">
        <v>147</v>
      </c>
      <c r="AD10" s="328">
        <f t="shared" si="3"/>
        <v>372</v>
      </c>
      <c r="AE10" s="330">
        <v>10</v>
      </c>
      <c r="AF10" s="331">
        <v>18</v>
      </c>
      <c r="AG10" s="332">
        <v>4</v>
      </c>
      <c r="AH10" s="328">
        <f t="shared" si="4"/>
        <v>32</v>
      </c>
      <c r="AI10" s="321">
        <f>SUM(W10:Z10)</f>
        <v>198</v>
      </c>
      <c r="AJ10" s="333" t="s">
        <v>52</v>
      </c>
      <c r="AK10" s="334" t="s">
        <v>52</v>
      </c>
      <c r="AL10" s="335" t="s">
        <v>52</v>
      </c>
      <c r="AM10" s="320"/>
      <c r="AN10" s="330">
        <v>60</v>
      </c>
      <c r="AO10" s="331">
        <v>185</v>
      </c>
      <c r="AP10" s="332">
        <v>17</v>
      </c>
      <c r="AQ10" s="328">
        <f t="shared" si="5"/>
        <v>262</v>
      </c>
      <c r="AR10" s="320"/>
      <c r="AS10" s="330">
        <v>11</v>
      </c>
      <c r="AT10" s="332">
        <v>103</v>
      </c>
      <c r="AU10" s="328">
        <f t="shared" si="6"/>
        <v>114</v>
      </c>
      <c r="AV10" s="328">
        <f t="shared" si="7"/>
        <v>127</v>
      </c>
      <c r="AW10" s="27">
        <f t="shared" ref="AW10:AW21" si="9">AQ10+AU10</f>
        <v>376</v>
      </c>
      <c r="AX10" s="133"/>
      <c r="AZ10" s="19" t="str">
        <f>IF(Errors!X10 = 11,"No errors","Please check your entry for errors or missing entries. Check the tab below called 'Errors' for some guidance")</f>
        <v>No errors</v>
      </c>
    </row>
    <row r="11" spans="1:65" x14ac:dyDescent="0.3">
      <c r="A11" s="338" t="s">
        <v>7</v>
      </c>
      <c r="B11" s="316"/>
      <c r="C11" s="301">
        <v>1302</v>
      </c>
      <c r="D11" s="302">
        <v>495</v>
      </c>
      <c r="E11" s="303">
        <f t="shared" si="8"/>
        <v>1797</v>
      </c>
      <c r="F11" s="310"/>
      <c r="G11" s="325">
        <v>23</v>
      </c>
      <c r="H11" s="326">
        <v>5</v>
      </c>
      <c r="I11" s="326">
        <v>0</v>
      </c>
      <c r="J11" s="326">
        <v>0</v>
      </c>
      <c r="K11" s="326">
        <v>262</v>
      </c>
      <c r="L11" s="326">
        <v>7</v>
      </c>
      <c r="M11" s="326">
        <v>2</v>
      </c>
      <c r="N11" s="327">
        <v>196</v>
      </c>
      <c r="O11" s="328">
        <f t="shared" si="0"/>
        <v>495</v>
      </c>
      <c r="P11" s="327">
        <v>0</v>
      </c>
      <c r="Q11" s="316"/>
      <c r="R11" s="330">
        <v>783</v>
      </c>
      <c r="S11" s="331">
        <v>295</v>
      </c>
      <c r="T11" s="332">
        <v>120</v>
      </c>
      <c r="U11" s="328">
        <f t="shared" si="1"/>
        <v>1198</v>
      </c>
      <c r="V11" s="320"/>
      <c r="W11" s="330">
        <v>283</v>
      </c>
      <c r="X11" s="331">
        <v>351</v>
      </c>
      <c r="Y11" s="332">
        <v>149</v>
      </c>
      <c r="Z11" s="328">
        <f t="shared" si="2"/>
        <v>783</v>
      </c>
      <c r="AA11" s="330">
        <v>62</v>
      </c>
      <c r="AB11" s="331">
        <v>110</v>
      </c>
      <c r="AC11" s="332">
        <v>123</v>
      </c>
      <c r="AD11" s="328">
        <f t="shared" si="3"/>
        <v>295</v>
      </c>
      <c r="AE11" s="330">
        <v>32</v>
      </c>
      <c r="AF11" s="331">
        <v>49</v>
      </c>
      <c r="AG11" s="332">
        <v>39</v>
      </c>
      <c r="AH11" s="328">
        <f t="shared" si="4"/>
        <v>120</v>
      </c>
      <c r="AI11" s="321"/>
      <c r="AJ11" s="333" t="s">
        <v>52</v>
      </c>
      <c r="AK11" s="334" t="s">
        <v>52</v>
      </c>
      <c r="AL11" s="335" t="s">
        <v>52</v>
      </c>
      <c r="AM11" s="320"/>
      <c r="AN11" s="330">
        <v>560</v>
      </c>
      <c r="AO11" s="331">
        <v>131</v>
      </c>
      <c r="AP11" s="332">
        <v>17</v>
      </c>
      <c r="AQ11" s="328">
        <f t="shared" si="5"/>
        <v>708</v>
      </c>
      <c r="AR11" s="320"/>
      <c r="AS11" s="330">
        <v>77</v>
      </c>
      <c r="AT11" s="332">
        <v>45</v>
      </c>
      <c r="AU11" s="328">
        <f t="shared" si="6"/>
        <v>122</v>
      </c>
      <c r="AV11" s="328">
        <f t="shared" si="7"/>
        <v>368</v>
      </c>
      <c r="AW11" s="27">
        <f t="shared" si="9"/>
        <v>830</v>
      </c>
      <c r="AX11" s="134"/>
      <c r="AZ11" s="19" t="str">
        <f>IF(Errors!X11 = 11,"No errors","Please check your entry for errors or missing entries. Check the tab below called 'Errors' for some guidance")</f>
        <v>No errors</v>
      </c>
    </row>
    <row r="12" spans="1:65" x14ac:dyDescent="0.3">
      <c r="A12" s="336" t="s">
        <v>8</v>
      </c>
      <c r="B12" s="316"/>
      <c r="C12" s="301">
        <v>1815</v>
      </c>
      <c r="D12" s="302">
        <v>242</v>
      </c>
      <c r="E12" s="303">
        <f t="shared" si="8"/>
        <v>2057</v>
      </c>
      <c r="F12" s="310"/>
      <c r="G12" s="325">
        <v>37</v>
      </c>
      <c r="H12" s="326">
        <v>0</v>
      </c>
      <c r="I12" s="326">
        <v>0</v>
      </c>
      <c r="J12" s="326">
        <v>0</v>
      </c>
      <c r="K12" s="326">
        <v>53</v>
      </c>
      <c r="L12" s="326">
        <v>3</v>
      </c>
      <c r="M12" s="326">
        <v>1</v>
      </c>
      <c r="N12" s="327">
        <v>185</v>
      </c>
      <c r="O12" s="328">
        <f t="shared" si="0"/>
        <v>279</v>
      </c>
      <c r="P12" s="329">
        <v>822</v>
      </c>
      <c r="Q12" s="316"/>
      <c r="R12" s="339">
        <v>951</v>
      </c>
      <c r="S12" s="340">
        <v>728</v>
      </c>
      <c r="T12" s="341">
        <v>85</v>
      </c>
      <c r="U12" s="328">
        <f t="shared" si="1"/>
        <v>1764</v>
      </c>
      <c r="V12" s="320">
        <f>SUM(R12:U12)</f>
        <v>3528</v>
      </c>
      <c r="W12" s="339">
        <v>144</v>
      </c>
      <c r="X12" s="340">
        <v>733</v>
      </c>
      <c r="Y12" s="341">
        <v>74</v>
      </c>
      <c r="Z12" s="342">
        <f t="shared" si="2"/>
        <v>951</v>
      </c>
      <c r="AA12" s="339">
        <v>187</v>
      </c>
      <c r="AB12" s="340">
        <v>413</v>
      </c>
      <c r="AC12" s="341">
        <v>128</v>
      </c>
      <c r="AD12" s="342">
        <f t="shared" si="3"/>
        <v>728</v>
      </c>
      <c r="AE12" s="339">
        <v>20</v>
      </c>
      <c r="AF12" s="340">
        <v>61</v>
      </c>
      <c r="AG12" s="341">
        <v>4</v>
      </c>
      <c r="AH12" s="342">
        <f t="shared" si="4"/>
        <v>85</v>
      </c>
      <c r="AI12" s="343"/>
      <c r="AJ12" s="333" t="s">
        <v>52</v>
      </c>
      <c r="AK12" s="334" t="s">
        <v>52</v>
      </c>
      <c r="AL12" s="335" t="s">
        <v>52</v>
      </c>
      <c r="AM12" s="320"/>
      <c r="AN12" s="339">
        <v>800</v>
      </c>
      <c r="AO12" s="340">
        <v>521</v>
      </c>
      <c r="AP12" s="341">
        <v>85</v>
      </c>
      <c r="AQ12" s="328">
        <f t="shared" si="5"/>
        <v>1406</v>
      </c>
      <c r="AR12" s="320"/>
      <c r="AS12" s="339">
        <v>76</v>
      </c>
      <c r="AT12" s="341">
        <v>219</v>
      </c>
      <c r="AU12" s="328">
        <f t="shared" si="6"/>
        <v>295</v>
      </c>
      <c r="AV12" s="328">
        <f t="shared" si="7"/>
        <v>63</v>
      </c>
      <c r="AW12" s="27">
        <f t="shared" si="9"/>
        <v>1701</v>
      </c>
      <c r="AX12" s="133"/>
      <c r="AZ12" s="19" t="str">
        <f>IF(Errors!X12 = 11,"No errors","Please check your entry for errors or missing entries. Check the tab below called 'Errors' for some guidance")</f>
        <v>No errors</v>
      </c>
    </row>
    <row r="13" spans="1:65" x14ac:dyDescent="0.3">
      <c r="A13" s="336" t="s">
        <v>9</v>
      </c>
      <c r="B13" s="316"/>
      <c r="C13" s="301">
        <v>1989</v>
      </c>
      <c r="D13" s="302">
        <v>929</v>
      </c>
      <c r="E13" s="303">
        <f t="shared" si="8"/>
        <v>2918</v>
      </c>
      <c r="F13" s="310"/>
      <c r="G13" s="325">
        <v>37</v>
      </c>
      <c r="H13" s="326">
        <v>8</v>
      </c>
      <c r="I13" s="326">
        <v>0</v>
      </c>
      <c r="J13" s="326">
        <v>0</v>
      </c>
      <c r="K13" s="326">
        <v>721</v>
      </c>
      <c r="L13" s="344">
        <v>54</v>
      </c>
      <c r="M13" s="326">
        <v>14</v>
      </c>
      <c r="N13" s="327">
        <v>95</v>
      </c>
      <c r="O13" s="328">
        <f t="shared" si="0"/>
        <v>929</v>
      </c>
      <c r="P13" s="327">
        <v>360</v>
      </c>
      <c r="Q13" s="316"/>
      <c r="R13" s="330">
        <v>654</v>
      </c>
      <c r="S13" s="331">
        <v>368</v>
      </c>
      <c r="T13" s="332">
        <v>847</v>
      </c>
      <c r="U13" s="328">
        <f t="shared" si="1"/>
        <v>1869</v>
      </c>
      <c r="V13" s="320"/>
      <c r="W13" s="330">
        <v>342</v>
      </c>
      <c r="X13" s="331">
        <v>231</v>
      </c>
      <c r="Y13" s="332">
        <v>81</v>
      </c>
      <c r="Z13" s="328">
        <f t="shared" si="2"/>
        <v>654</v>
      </c>
      <c r="AA13" s="330">
        <v>181</v>
      </c>
      <c r="AB13" s="331">
        <v>96</v>
      </c>
      <c r="AC13" s="332">
        <v>91</v>
      </c>
      <c r="AD13" s="328">
        <f t="shared" si="3"/>
        <v>368</v>
      </c>
      <c r="AE13" s="330">
        <v>443</v>
      </c>
      <c r="AF13" s="331">
        <v>248</v>
      </c>
      <c r="AG13" s="332">
        <v>156</v>
      </c>
      <c r="AH13" s="328">
        <f t="shared" si="4"/>
        <v>847</v>
      </c>
      <c r="AI13" s="321"/>
      <c r="AJ13" s="333" t="s">
        <v>52</v>
      </c>
      <c r="AK13" s="334" t="s">
        <v>52</v>
      </c>
      <c r="AL13" s="335" t="s">
        <v>52</v>
      </c>
      <c r="AM13" s="320"/>
      <c r="AN13" s="330">
        <v>338</v>
      </c>
      <c r="AO13" s="331">
        <v>99</v>
      </c>
      <c r="AP13" s="332">
        <v>264</v>
      </c>
      <c r="AQ13" s="328">
        <f t="shared" si="5"/>
        <v>701</v>
      </c>
      <c r="AR13" s="320"/>
      <c r="AS13" s="330">
        <v>70</v>
      </c>
      <c r="AT13" s="332">
        <v>39</v>
      </c>
      <c r="AU13" s="328">
        <f t="shared" si="6"/>
        <v>109</v>
      </c>
      <c r="AV13" s="328">
        <f>+U13-AQ13-AU13</f>
        <v>1059</v>
      </c>
      <c r="AW13" s="27">
        <f t="shared" si="9"/>
        <v>810</v>
      </c>
      <c r="AX13" s="298"/>
      <c r="AZ13" s="19" t="str">
        <f>IF(Errors!X13 = 11,"No errors","Please check your entry for errors or missing entries. Check the tab below called 'Errors' for some guidance")</f>
        <v>No errors</v>
      </c>
    </row>
    <row r="14" spans="1:65" x14ac:dyDescent="0.3">
      <c r="A14" s="336" t="s">
        <v>10</v>
      </c>
      <c r="B14" s="316"/>
      <c r="C14" s="304">
        <v>6118</v>
      </c>
      <c r="D14" s="305">
        <v>1756</v>
      </c>
      <c r="E14" s="306">
        <f t="shared" si="8"/>
        <v>7874</v>
      </c>
      <c r="F14" s="310"/>
      <c r="G14" s="325">
        <v>0</v>
      </c>
      <c r="H14" s="326">
        <v>0</v>
      </c>
      <c r="I14" s="326">
        <v>0</v>
      </c>
      <c r="J14" s="326">
        <v>0</v>
      </c>
      <c r="K14" s="326">
        <v>901</v>
      </c>
      <c r="L14" s="326">
        <v>87</v>
      </c>
      <c r="M14" s="326">
        <v>44</v>
      </c>
      <c r="N14" s="327">
        <v>724</v>
      </c>
      <c r="O14" s="328">
        <f t="shared" si="0"/>
        <v>1756</v>
      </c>
      <c r="P14" s="329">
        <v>1746</v>
      </c>
      <c r="Q14" s="316"/>
      <c r="R14" s="330">
        <v>3092</v>
      </c>
      <c r="S14" s="331">
        <v>1697</v>
      </c>
      <c r="T14" s="335">
        <v>660</v>
      </c>
      <c r="U14" s="328">
        <f t="shared" si="1"/>
        <v>5449</v>
      </c>
      <c r="V14" s="320"/>
      <c r="W14" s="330">
        <v>1291</v>
      </c>
      <c r="X14" s="331">
        <v>1501</v>
      </c>
      <c r="Y14" s="335">
        <v>300</v>
      </c>
      <c r="Z14" s="328">
        <f t="shared" si="2"/>
        <v>3092</v>
      </c>
      <c r="AA14" s="330">
        <v>413</v>
      </c>
      <c r="AB14" s="331">
        <v>738</v>
      </c>
      <c r="AC14" s="335">
        <v>546</v>
      </c>
      <c r="AD14" s="328">
        <f t="shared" si="3"/>
        <v>1697</v>
      </c>
      <c r="AE14" s="330">
        <v>144</v>
      </c>
      <c r="AF14" s="331">
        <v>387</v>
      </c>
      <c r="AG14" s="335">
        <v>129</v>
      </c>
      <c r="AH14" s="328">
        <f t="shared" si="4"/>
        <v>660</v>
      </c>
      <c r="AI14" s="321"/>
      <c r="AJ14" s="333" t="s">
        <v>52</v>
      </c>
      <c r="AK14" s="334" t="s">
        <v>52</v>
      </c>
      <c r="AL14" s="335" t="s">
        <v>52</v>
      </c>
      <c r="AM14" s="320"/>
      <c r="AN14" s="330">
        <v>2712</v>
      </c>
      <c r="AO14" s="331">
        <v>1098</v>
      </c>
      <c r="AP14" s="335">
        <v>387</v>
      </c>
      <c r="AQ14" s="328">
        <f t="shared" si="5"/>
        <v>4197</v>
      </c>
      <c r="AR14" s="320"/>
      <c r="AS14" s="330">
        <v>303</v>
      </c>
      <c r="AT14" s="335">
        <v>228</v>
      </c>
      <c r="AU14" s="328">
        <f t="shared" si="6"/>
        <v>531</v>
      </c>
      <c r="AV14" s="328">
        <f t="shared" si="7"/>
        <v>721</v>
      </c>
      <c r="AW14" s="27">
        <f t="shared" si="9"/>
        <v>4728</v>
      </c>
      <c r="AX14" s="294"/>
      <c r="AZ14" s="19" t="str">
        <f>IF(Errors!X14 = 11,"No errors","Please check your entry for errors or missing entries. Check the tab below called 'Errors' for some guidance")</f>
        <v>No errors</v>
      </c>
    </row>
    <row r="15" spans="1:65" x14ac:dyDescent="0.3">
      <c r="A15" s="336" t="s">
        <v>11</v>
      </c>
      <c r="B15" s="316"/>
      <c r="C15" s="301">
        <v>843</v>
      </c>
      <c r="D15" s="302">
        <v>0</v>
      </c>
      <c r="E15" s="303">
        <f t="shared" si="8"/>
        <v>843</v>
      </c>
      <c r="F15" s="310"/>
      <c r="G15" s="325">
        <v>24</v>
      </c>
      <c r="H15" s="326">
        <v>8</v>
      </c>
      <c r="I15" s="326">
        <v>0</v>
      </c>
      <c r="J15" s="326">
        <v>0</v>
      </c>
      <c r="K15" s="326">
        <v>0</v>
      </c>
      <c r="L15" s="326">
        <v>0</v>
      </c>
      <c r="M15" s="326">
        <v>0</v>
      </c>
      <c r="N15" s="327">
        <v>0</v>
      </c>
      <c r="O15" s="328">
        <f t="shared" si="0"/>
        <v>32</v>
      </c>
      <c r="P15" s="329">
        <v>42</v>
      </c>
      <c r="Q15" s="316"/>
      <c r="R15" s="333">
        <v>191</v>
      </c>
      <c r="S15" s="331">
        <v>609</v>
      </c>
      <c r="T15" s="332">
        <v>39</v>
      </c>
      <c r="U15" s="328">
        <f t="shared" si="1"/>
        <v>839</v>
      </c>
      <c r="V15" s="320"/>
      <c r="W15" s="333">
        <v>83</v>
      </c>
      <c r="X15" s="331">
        <v>43</v>
      </c>
      <c r="Y15" s="332">
        <v>65</v>
      </c>
      <c r="Z15" s="328">
        <f t="shared" si="2"/>
        <v>191</v>
      </c>
      <c r="AA15" s="333">
        <v>180</v>
      </c>
      <c r="AB15" s="331">
        <v>168</v>
      </c>
      <c r="AC15" s="332">
        <v>261</v>
      </c>
      <c r="AD15" s="328">
        <f t="shared" si="3"/>
        <v>609</v>
      </c>
      <c r="AE15" s="333">
        <v>11</v>
      </c>
      <c r="AF15" s="331">
        <v>19</v>
      </c>
      <c r="AG15" s="332">
        <v>9</v>
      </c>
      <c r="AH15" s="328">
        <f t="shared" si="4"/>
        <v>39</v>
      </c>
      <c r="AI15" s="321"/>
      <c r="AJ15" s="333" t="s">
        <v>52</v>
      </c>
      <c r="AK15" s="334" t="s">
        <v>52</v>
      </c>
      <c r="AL15" s="335" t="s">
        <v>52</v>
      </c>
      <c r="AM15" s="320"/>
      <c r="AN15" s="333">
        <v>157</v>
      </c>
      <c r="AO15" s="331">
        <v>162</v>
      </c>
      <c r="AP15" s="332">
        <v>25</v>
      </c>
      <c r="AQ15" s="328">
        <f t="shared" si="5"/>
        <v>344</v>
      </c>
      <c r="AR15" s="320"/>
      <c r="AS15" s="333">
        <v>9</v>
      </c>
      <c r="AT15" s="332">
        <v>0</v>
      </c>
      <c r="AU15" s="328">
        <f t="shared" si="6"/>
        <v>9</v>
      </c>
      <c r="AV15" s="328">
        <f t="shared" si="7"/>
        <v>486</v>
      </c>
      <c r="AW15" s="316">
        <f t="shared" si="9"/>
        <v>353</v>
      </c>
      <c r="AX15" s="298"/>
      <c r="AZ15" s="19" t="str">
        <f>IF(Errors!X15 = 11,"No errors","Please check your entry for errors or missing entries. Check the tab below called 'Errors' for some guidance")</f>
        <v>No errors</v>
      </c>
    </row>
    <row r="16" spans="1:65" x14ac:dyDescent="0.3">
      <c r="A16" s="336" t="s">
        <v>12</v>
      </c>
      <c r="B16" s="316"/>
      <c r="C16" s="301">
        <v>2592</v>
      </c>
      <c r="D16" s="302">
        <v>1403</v>
      </c>
      <c r="E16" s="303">
        <f t="shared" si="8"/>
        <v>3995</v>
      </c>
      <c r="F16" s="310"/>
      <c r="G16" s="325">
        <v>0</v>
      </c>
      <c r="H16" s="326">
        <v>0</v>
      </c>
      <c r="I16" s="326">
        <v>0</v>
      </c>
      <c r="J16" s="326">
        <v>0</v>
      </c>
      <c r="K16" s="326">
        <v>924</v>
      </c>
      <c r="L16" s="326">
        <v>73</v>
      </c>
      <c r="M16" s="326">
        <v>29</v>
      </c>
      <c r="N16" s="327">
        <v>377</v>
      </c>
      <c r="O16" s="328">
        <f t="shared" si="0"/>
        <v>1403</v>
      </c>
      <c r="P16" s="329">
        <v>483</v>
      </c>
      <c r="Q16" s="316"/>
      <c r="R16" s="330">
        <v>1415</v>
      </c>
      <c r="S16" s="331">
        <v>904</v>
      </c>
      <c r="T16" s="332">
        <v>91</v>
      </c>
      <c r="U16" s="328">
        <f t="shared" si="1"/>
        <v>2410</v>
      </c>
      <c r="V16" s="320"/>
      <c r="W16" s="330">
        <v>383</v>
      </c>
      <c r="X16" s="331">
        <v>787</v>
      </c>
      <c r="Y16" s="332">
        <v>245</v>
      </c>
      <c r="Z16" s="328">
        <f t="shared" si="2"/>
        <v>1415</v>
      </c>
      <c r="AA16" s="330">
        <v>178</v>
      </c>
      <c r="AB16" s="331">
        <v>363</v>
      </c>
      <c r="AC16" s="332">
        <v>363</v>
      </c>
      <c r="AD16" s="328">
        <f t="shared" si="3"/>
        <v>904</v>
      </c>
      <c r="AE16" s="330">
        <v>20</v>
      </c>
      <c r="AF16" s="331">
        <v>45</v>
      </c>
      <c r="AG16" s="332">
        <v>26</v>
      </c>
      <c r="AH16" s="328">
        <f t="shared" si="4"/>
        <v>91</v>
      </c>
      <c r="AI16" s="321"/>
      <c r="AJ16" s="333" t="s">
        <v>52</v>
      </c>
      <c r="AK16" s="334" t="s">
        <v>52</v>
      </c>
      <c r="AL16" s="335" t="s">
        <v>52</v>
      </c>
      <c r="AM16" s="320"/>
      <c r="AN16" s="330">
        <v>1142</v>
      </c>
      <c r="AO16" s="331">
        <v>564</v>
      </c>
      <c r="AP16" s="332">
        <v>79</v>
      </c>
      <c r="AQ16" s="328">
        <f t="shared" si="5"/>
        <v>1785</v>
      </c>
      <c r="AR16" s="320"/>
      <c r="AS16" s="330">
        <v>30</v>
      </c>
      <c r="AT16" s="332">
        <v>159</v>
      </c>
      <c r="AU16" s="328">
        <f t="shared" si="6"/>
        <v>189</v>
      </c>
      <c r="AV16" s="328">
        <f t="shared" si="7"/>
        <v>436</v>
      </c>
      <c r="AW16" s="27">
        <f t="shared" si="9"/>
        <v>1974</v>
      </c>
      <c r="AX16" s="133"/>
      <c r="AZ16" s="19" t="str">
        <f>IF(Errors!X16 = 11,"No errors","Please check your entry for errors or missing entries. Check the tab below called 'Errors' for some guidance")</f>
        <v>No errors</v>
      </c>
    </row>
    <row r="17" spans="1:65" x14ac:dyDescent="0.3">
      <c r="A17" s="336" t="s">
        <v>13</v>
      </c>
      <c r="B17" s="316"/>
      <c r="C17" s="301">
        <v>3152</v>
      </c>
      <c r="D17" s="302">
        <v>1629</v>
      </c>
      <c r="E17" s="303">
        <f>SUM(C17:D17)</f>
        <v>4781</v>
      </c>
      <c r="F17" s="310"/>
      <c r="G17" s="325">
        <v>40</v>
      </c>
      <c r="H17" s="326">
        <v>42</v>
      </c>
      <c r="I17" s="326">
        <v>35</v>
      </c>
      <c r="J17" s="326">
        <v>4</v>
      </c>
      <c r="K17" s="326">
        <v>986</v>
      </c>
      <c r="L17" s="326">
        <v>92</v>
      </c>
      <c r="M17" s="326">
        <v>12</v>
      </c>
      <c r="N17" s="327">
        <v>539</v>
      </c>
      <c r="O17" s="328">
        <f t="shared" si="0"/>
        <v>1750</v>
      </c>
      <c r="P17" s="329">
        <v>1292</v>
      </c>
      <c r="Q17" s="316"/>
      <c r="R17" s="333">
        <v>1270</v>
      </c>
      <c r="S17" s="331">
        <v>1715</v>
      </c>
      <c r="T17" s="332">
        <v>38</v>
      </c>
      <c r="U17" s="328">
        <f t="shared" si="1"/>
        <v>3023</v>
      </c>
      <c r="V17" s="320"/>
      <c r="W17" s="333">
        <v>116</v>
      </c>
      <c r="X17" s="331">
        <v>1041</v>
      </c>
      <c r="Y17" s="332">
        <v>113</v>
      </c>
      <c r="Z17" s="328">
        <f>SUM(W17:Y17)</f>
        <v>1270</v>
      </c>
      <c r="AA17" s="333">
        <v>770</v>
      </c>
      <c r="AB17" s="331">
        <v>449</v>
      </c>
      <c r="AC17" s="332">
        <v>496</v>
      </c>
      <c r="AD17" s="328">
        <f t="shared" si="3"/>
        <v>1715</v>
      </c>
      <c r="AE17" s="333">
        <v>14</v>
      </c>
      <c r="AF17" s="331">
        <v>17</v>
      </c>
      <c r="AG17" s="332">
        <v>7</v>
      </c>
      <c r="AH17" s="328">
        <f t="shared" si="4"/>
        <v>38</v>
      </c>
      <c r="AI17" s="321"/>
      <c r="AJ17" s="333" t="s">
        <v>52</v>
      </c>
      <c r="AK17" s="334" t="s">
        <v>52</v>
      </c>
      <c r="AL17" s="335" t="s">
        <v>52</v>
      </c>
      <c r="AM17" s="320"/>
      <c r="AN17" s="333">
        <v>987</v>
      </c>
      <c r="AO17" s="331">
        <v>771</v>
      </c>
      <c r="AP17" s="332">
        <v>19</v>
      </c>
      <c r="AQ17" s="328">
        <f t="shared" si="5"/>
        <v>1777</v>
      </c>
      <c r="AR17" s="320"/>
      <c r="AS17" s="333">
        <v>1</v>
      </c>
      <c r="AT17" s="332">
        <v>469</v>
      </c>
      <c r="AU17" s="328">
        <f t="shared" si="6"/>
        <v>470</v>
      </c>
      <c r="AV17" s="328">
        <f t="shared" si="7"/>
        <v>776</v>
      </c>
      <c r="AW17" s="27"/>
      <c r="AX17" s="347"/>
      <c r="AZ17" s="19" t="str">
        <f>IF(Errors!X17 = 11,"No errors","Please check your entry for errors or missing entries. Check the tab below called 'Errors' for some guidance")</f>
        <v>No errors</v>
      </c>
    </row>
    <row r="18" spans="1:65" x14ac:dyDescent="0.3">
      <c r="A18" s="336" t="s">
        <v>14</v>
      </c>
      <c r="B18" s="316"/>
      <c r="C18" s="304">
        <v>122</v>
      </c>
      <c r="D18" s="305">
        <v>19</v>
      </c>
      <c r="E18" s="306">
        <f t="shared" si="8"/>
        <v>141</v>
      </c>
      <c r="F18" s="310"/>
      <c r="G18" s="325">
        <v>7</v>
      </c>
      <c r="H18" s="326">
        <v>1</v>
      </c>
      <c r="I18" s="326">
        <v>0</v>
      </c>
      <c r="J18" s="326">
        <v>0</v>
      </c>
      <c r="K18" s="326">
        <v>13</v>
      </c>
      <c r="L18" s="326">
        <v>4</v>
      </c>
      <c r="M18" s="326">
        <v>1</v>
      </c>
      <c r="N18" s="327">
        <v>1</v>
      </c>
      <c r="O18" s="328">
        <f t="shared" si="0"/>
        <v>27</v>
      </c>
      <c r="P18" s="329">
        <v>0</v>
      </c>
      <c r="Q18" s="316"/>
      <c r="R18" s="333">
        <v>73</v>
      </c>
      <c r="S18" s="331">
        <v>46</v>
      </c>
      <c r="T18" s="332">
        <v>2</v>
      </c>
      <c r="U18" s="328">
        <f t="shared" si="1"/>
        <v>121</v>
      </c>
      <c r="V18" s="320"/>
      <c r="W18" s="333">
        <v>29</v>
      </c>
      <c r="X18" s="331">
        <v>24</v>
      </c>
      <c r="Y18" s="332">
        <v>20</v>
      </c>
      <c r="Z18" s="328">
        <f t="shared" si="2"/>
        <v>73</v>
      </c>
      <c r="AA18" s="333">
        <v>19</v>
      </c>
      <c r="AB18" s="331">
        <v>12</v>
      </c>
      <c r="AC18" s="332">
        <v>15</v>
      </c>
      <c r="AD18" s="328">
        <f t="shared" si="3"/>
        <v>46</v>
      </c>
      <c r="AE18" s="333">
        <v>1</v>
      </c>
      <c r="AF18" s="331">
        <v>0</v>
      </c>
      <c r="AG18" s="332">
        <v>1</v>
      </c>
      <c r="AH18" s="328">
        <f t="shared" si="4"/>
        <v>2</v>
      </c>
      <c r="AI18" s="321"/>
      <c r="AJ18" s="333" t="s">
        <v>52</v>
      </c>
      <c r="AK18" s="334" t="s">
        <v>52</v>
      </c>
      <c r="AL18" s="335" t="s">
        <v>52</v>
      </c>
      <c r="AM18" s="320"/>
      <c r="AN18" s="333">
        <v>65</v>
      </c>
      <c r="AO18" s="331">
        <v>1</v>
      </c>
      <c r="AP18" s="332">
        <v>18</v>
      </c>
      <c r="AQ18" s="328">
        <f t="shared" si="5"/>
        <v>84</v>
      </c>
      <c r="AR18" s="320"/>
      <c r="AS18" s="333">
        <v>0</v>
      </c>
      <c r="AT18" s="332">
        <v>0</v>
      </c>
      <c r="AU18" s="328">
        <v>0</v>
      </c>
      <c r="AV18" s="328">
        <f t="shared" si="7"/>
        <v>37</v>
      </c>
      <c r="AW18" s="27">
        <f t="shared" si="9"/>
        <v>84</v>
      </c>
      <c r="AX18" s="388" t="s">
        <v>230</v>
      </c>
      <c r="AZ18" s="19" t="str">
        <f>IF(Errors!X18 = 11,"No errors","Please check your entry for errors or missing entries. Check the tab below called 'Errors' for some guidance")</f>
        <v>No errors</v>
      </c>
    </row>
    <row r="19" spans="1:65" x14ac:dyDescent="0.3">
      <c r="A19" s="336" t="s">
        <v>15</v>
      </c>
      <c r="B19" s="316"/>
      <c r="C19" s="301">
        <v>52</v>
      </c>
      <c r="D19" s="302">
        <v>2</v>
      </c>
      <c r="E19" s="303">
        <v>54</v>
      </c>
      <c r="F19" s="310"/>
      <c r="G19" s="325">
        <v>16</v>
      </c>
      <c r="H19" s="326">
        <v>1</v>
      </c>
      <c r="I19" s="326">
        <v>0</v>
      </c>
      <c r="J19" s="326">
        <v>0</v>
      </c>
      <c r="K19" s="326">
        <v>2</v>
      </c>
      <c r="L19" s="326">
        <v>0</v>
      </c>
      <c r="M19" s="326">
        <v>0</v>
      </c>
      <c r="N19" s="327">
        <v>0</v>
      </c>
      <c r="O19" s="328">
        <f t="shared" si="0"/>
        <v>19</v>
      </c>
      <c r="P19" s="329">
        <v>0</v>
      </c>
      <c r="Q19" s="316"/>
      <c r="R19" s="333">
        <v>29</v>
      </c>
      <c r="S19" s="331">
        <v>21</v>
      </c>
      <c r="T19" s="332">
        <v>1</v>
      </c>
      <c r="U19" s="328">
        <f t="shared" si="1"/>
        <v>51</v>
      </c>
      <c r="V19" s="320"/>
      <c r="W19" s="333">
        <v>14</v>
      </c>
      <c r="X19" s="331">
        <v>4</v>
      </c>
      <c r="Y19" s="332">
        <v>11</v>
      </c>
      <c r="Z19" s="328">
        <f t="shared" si="2"/>
        <v>29</v>
      </c>
      <c r="AA19" s="333">
        <v>5</v>
      </c>
      <c r="AB19" s="331">
        <v>4</v>
      </c>
      <c r="AC19" s="332">
        <v>12</v>
      </c>
      <c r="AD19" s="328">
        <f t="shared" si="3"/>
        <v>21</v>
      </c>
      <c r="AE19" s="333">
        <v>0</v>
      </c>
      <c r="AF19" s="331">
        <v>0</v>
      </c>
      <c r="AG19" s="332">
        <v>1</v>
      </c>
      <c r="AH19" s="328">
        <f t="shared" si="4"/>
        <v>1</v>
      </c>
      <c r="AI19" s="321"/>
      <c r="AJ19" s="333" t="s">
        <v>52</v>
      </c>
      <c r="AK19" s="334" t="s">
        <v>52</v>
      </c>
      <c r="AL19" s="335" t="s">
        <v>52</v>
      </c>
      <c r="AM19" s="320"/>
      <c r="AN19" s="333">
        <v>27</v>
      </c>
      <c r="AO19" s="331">
        <v>4</v>
      </c>
      <c r="AP19" s="332">
        <v>1</v>
      </c>
      <c r="AQ19" s="328">
        <f t="shared" si="5"/>
        <v>32</v>
      </c>
      <c r="AR19" s="320"/>
      <c r="AS19" s="333">
        <v>2</v>
      </c>
      <c r="AT19" s="332">
        <v>17</v>
      </c>
      <c r="AU19" s="328">
        <f>SUM(AS19:AT19)</f>
        <v>19</v>
      </c>
      <c r="AV19" s="328">
        <f t="shared" si="7"/>
        <v>0</v>
      </c>
      <c r="AW19" s="27">
        <f t="shared" si="9"/>
        <v>51</v>
      </c>
      <c r="AX19" s="135"/>
      <c r="AZ19" s="19" t="str">
        <f>IF(Errors!X19 = 11,"No errors","Please check your entry for errors or missing entries. Check the tab below called 'Errors' for some guidance")</f>
        <v>No errors</v>
      </c>
    </row>
    <row r="20" spans="1:65" x14ac:dyDescent="0.3">
      <c r="A20" s="336" t="s">
        <v>16</v>
      </c>
      <c r="B20" s="316"/>
      <c r="C20" s="301">
        <v>2196</v>
      </c>
      <c r="D20" s="302">
        <v>551</v>
      </c>
      <c r="E20" s="303">
        <f>SUM(C20:D20)</f>
        <v>2747</v>
      </c>
      <c r="F20" s="310"/>
      <c r="G20" s="325">
        <v>41</v>
      </c>
      <c r="H20" s="326">
        <v>0</v>
      </c>
      <c r="I20" s="326">
        <v>0</v>
      </c>
      <c r="J20" s="326">
        <v>0</v>
      </c>
      <c r="K20" s="326">
        <v>275</v>
      </c>
      <c r="L20" s="326">
        <v>49</v>
      </c>
      <c r="M20" s="326">
        <v>61</v>
      </c>
      <c r="N20" s="327">
        <v>166</v>
      </c>
      <c r="O20" s="328">
        <f t="shared" si="0"/>
        <v>592</v>
      </c>
      <c r="P20" s="329">
        <v>580</v>
      </c>
      <c r="Q20" s="316"/>
      <c r="R20" s="333">
        <v>976</v>
      </c>
      <c r="S20" s="331">
        <v>735</v>
      </c>
      <c r="T20" s="332">
        <v>353</v>
      </c>
      <c r="U20" s="328">
        <f t="shared" si="1"/>
        <v>2064</v>
      </c>
      <c r="V20" s="320"/>
      <c r="W20" s="333">
        <v>315</v>
      </c>
      <c r="X20" s="331">
        <v>389</v>
      </c>
      <c r="Y20" s="332">
        <v>272</v>
      </c>
      <c r="Z20" s="328">
        <f t="shared" si="2"/>
        <v>976</v>
      </c>
      <c r="AA20" s="333">
        <v>185</v>
      </c>
      <c r="AB20" s="331">
        <v>172</v>
      </c>
      <c r="AC20" s="332">
        <v>378</v>
      </c>
      <c r="AD20" s="328">
        <f t="shared" si="3"/>
        <v>735</v>
      </c>
      <c r="AE20" s="333">
        <v>89</v>
      </c>
      <c r="AF20" s="331">
        <v>122</v>
      </c>
      <c r="AG20" s="332">
        <v>142</v>
      </c>
      <c r="AH20" s="328">
        <f t="shared" si="4"/>
        <v>353</v>
      </c>
      <c r="AI20" s="321"/>
      <c r="AJ20" s="333" t="s">
        <v>52</v>
      </c>
      <c r="AK20" s="334" t="s">
        <v>52</v>
      </c>
      <c r="AL20" s="335" t="s">
        <v>52</v>
      </c>
      <c r="AM20" s="320"/>
      <c r="AN20" s="333">
        <v>894</v>
      </c>
      <c r="AO20" s="331">
        <v>310</v>
      </c>
      <c r="AP20" s="332">
        <v>189</v>
      </c>
      <c r="AQ20" s="328">
        <f t="shared" si="5"/>
        <v>1393</v>
      </c>
      <c r="AR20" s="320"/>
      <c r="AS20" s="333">
        <v>75</v>
      </c>
      <c r="AT20" s="332">
        <v>61</v>
      </c>
      <c r="AU20" s="328">
        <f>SUM(AS20:AT20)</f>
        <v>136</v>
      </c>
      <c r="AV20" s="328">
        <f t="shared" si="7"/>
        <v>535</v>
      </c>
      <c r="AW20" s="27">
        <f t="shared" si="9"/>
        <v>1529</v>
      </c>
      <c r="AX20" s="294"/>
      <c r="AZ20" s="19" t="str">
        <f>IF(Errors!X20 = 11,"No errors","Please check your entry for errors or missing entries. Check the tab below called 'Errors' for some guidance")</f>
        <v>No errors</v>
      </c>
    </row>
    <row r="21" spans="1:65" ht="15" thickBot="1" x14ac:dyDescent="0.35">
      <c r="A21" s="377" t="s">
        <v>17</v>
      </c>
      <c r="B21" s="316"/>
      <c r="C21" s="360">
        <v>63</v>
      </c>
      <c r="D21" s="361">
        <v>13</v>
      </c>
      <c r="E21" s="362">
        <f>SUM(C21:D21)</f>
        <v>76</v>
      </c>
      <c r="F21" s="310"/>
      <c r="G21" s="378">
        <v>0</v>
      </c>
      <c r="H21" s="379">
        <v>0</v>
      </c>
      <c r="I21" s="379">
        <v>0</v>
      </c>
      <c r="J21" s="379">
        <v>0</v>
      </c>
      <c r="K21" s="379">
        <v>9</v>
      </c>
      <c r="L21" s="379">
        <v>2</v>
      </c>
      <c r="M21" s="379">
        <v>1</v>
      </c>
      <c r="N21" s="380">
        <v>1</v>
      </c>
      <c r="O21" s="381">
        <f t="shared" si="0"/>
        <v>13</v>
      </c>
      <c r="P21" s="380">
        <v>0</v>
      </c>
      <c r="Q21" s="316"/>
      <c r="R21" s="382">
        <v>16</v>
      </c>
      <c r="S21" s="383">
        <v>46</v>
      </c>
      <c r="T21" s="384">
        <v>1</v>
      </c>
      <c r="U21" s="381">
        <f t="shared" si="1"/>
        <v>63</v>
      </c>
      <c r="V21" s="320"/>
      <c r="W21" s="382">
        <v>7</v>
      </c>
      <c r="X21" s="383">
        <v>9</v>
      </c>
      <c r="Y21" s="384">
        <v>0</v>
      </c>
      <c r="Z21" s="381">
        <f t="shared" si="2"/>
        <v>16</v>
      </c>
      <c r="AA21" s="382">
        <v>12</v>
      </c>
      <c r="AB21" s="383">
        <v>21</v>
      </c>
      <c r="AC21" s="384">
        <v>13</v>
      </c>
      <c r="AD21" s="381">
        <f t="shared" si="3"/>
        <v>46</v>
      </c>
      <c r="AE21" s="382">
        <v>0</v>
      </c>
      <c r="AF21" s="383">
        <v>1</v>
      </c>
      <c r="AG21" s="384">
        <v>0</v>
      </c>
      <c r="AH21" s="381">
        <f>SUM(AE21:AG21)</f>
        <v>1</v>
      </c>
      <c r="AI21" s="321"/>
      <c r="AJ21" s="385" t="s">
        <v>52</v>
      </c>
      <c r="AK21" s="386" t="s">
        <v>52</v>
      </c>
      <c r="AL21" s="387" t="s">
        <v>52</v>
      </c>
      <c r="AM21" s="320"/>
      <c r="AN21" s="382">
        <v>14</v>
      </c>
      <c r="AO21" s="383">
        <v>25</v>
      </c>
      <c r="AP21" s="384">
        <v>0</v>
      </c>
      <c r="AQ21" s="381">
        <f t="shared" si="5"/>
        <v>39</v>
      </c>
      <c r="AR21" s="320"/>
      <c r="AS21" s="382">
        <v>1</v>
      </c>
      <c r="AT21" s="384">
        <v>10</v>
      </c>
      <c r="AU21" s="381">
        <f>SUM(AS21:AT21)</f>
        <v>11</v>
      </c>
      <c r="AV21" s="381">
        <f t="shared" si="7"/>
        <v>13</v>
      </c>
      <c r="AW21" s="27">
        <f t="shared" si="9"/>
        <v>50</v>
      </c>
      <c r="AX21" s="136"/>
      <c r="AZ21" s="19" t="str">
        <f>IF(Errors!X21 = 11,"No errors","Please check your entry for errors or missing entries. Check the tab below called 'Errors' for some guidance")</f>
        <v>No errors</v>
      </c>
    </row>
    <row r="22" spans="1:65" ht="15" thickBot="1" x14ac:dyDescent="0.35">
      <c r="A22" s="105" t="s">
        <v>175</v>
      </c>
      <c r="B22" s="10"/>
      <c r="C22" s="97">
        <f>IF(SUM(C8:C21)=0," ",SUM(C8:C21))</f>
        <v>22365</v>
      </c>
      <c r="D22" s="98">
        <f>IF(SUM(D8:D21)=0," ",SUM(D8:D21))</f>
        <v>7951</v>
      </c>
      <c r="E22" s="99">
        <f>SUM(C22:D22)</f>
        <v>30316</v>
      </c>
      <c r="F22" s="113"/>
      <c r="G22" s="97">
        <f t="shared" ref="G22:P22" si="10">IF(SUM(G8:G21)=0," ",SUM(G8:G21))</f>
        <v>434</v>
      </c>
      <c r="H22" s="98">
        <f t="shared" si="10"/>
        <v>96</v>
      </c>
      <c r="I22" s="98">
        <f t="shared" si="10"/>
        <v>36</v>
      </c>
      <c r="J22" s="98">
        <f t="shared" si="10"/>
        <v>9</v>
      </c>
      <c r="K22" s="98">
        <f t="shared" si="10"/>
        <v>4679</v>
      </c>
      <c r="L22" s="98">
        <f t="shared" si="10"/>
        <v>454</v>
      </c>
      <c r="M22" s="98">
        <f>SUM(M8:M21)</f>
        <v>234</v>
      </c>
      <c r="N22" s="115">
        <f t="shared" si="10"/>
        <v>2511</v>
      </c>
      <c r="O22" s="122">
        <f t="shared" si="10"/>
        <v>8453</v>
      </c>
      <c r="P22" s="121">
        <f t="shared" si="10"/>
        <v>5824</v>
      </c>
      <c r="Q22" s="3"/>
      <c r="R22" s="114">
        <f t="shared" ref="R22" si="11">IF(SUM(R8:R21)=0," ",SUM(R8:R21))</f>
        <v>10459</v>
      </c>
      <c r="S22" s="98">
        <f t="shared" ref="S22" si="12">IF(SUM(S8:S21)=0," ",SUM(S8:S21))</f>
        <v>7940</v>
      </c>
      <c r="T22" s="128">
        <f t="shared" ref="T22" si="13">IF(SUM(T8:T21)=0," ",SUM(T8:T21))</f>
        <v>2548</v>
      </c>
      <c r="U22" s="122">
        <f t="shared" ref="U22" si="14">IF(SUM(U8:U21)=0," ",SUM(U8:U21))</f>
        <v>20947</v>
      </c>
      <c r="V22" s="11"/>
      <c r="W22" s="114">
        <f t="shared" ref="W22" si="15">IF(SUM(W8:W21)=0," ",SUM(W8:W21))</f>
        <v>3264</v>
      </c>
      <c r="X22" s="98">
        <f t="shared" ref="X22" si="16">IF(SUM(X8:X21)=0," ",SUM(X8:X21))</f>
        <v>5721</v>
      </c>
      <c r="Y22" s="128">
        <f t="shared" ref="Y22" si="17">IF(SUM(Y8:Y21)=0," ",SUM(Y8:Y21))</f>
        <v>1474</v>
      </c>
      <c r="Z22" s="122">
        <f t="shared" ref="Z22" si="18">IF(SUM(Z8:Z21)=0," ",SUM(Z8:Z21))</f>
        <v>10459</v>
      </c>
      <c r="AA22" s="114">
        <f t="shared" ref="AA22" si="19">IF(SUM(AA8:AA21)=0," ",SUM(AA8:AA21))</f>
        <v>2373</v>
      </c>
      <c r="AB22" s="98">
        <f t="shared" ref="AB22" si="20">IF(SUM(AB8:AB21)=0," ",SUM(AB8:AB21))</f>
        <v>2869</v>
      </c>
      <c r="AC22" s="128">
        <f t="shared" ref="AC22" si="21">IF(SUM(AC8:AC21)=0," ",SUM(AC8:AC21))</f>
        <v>2698</v>
      </c>
      <c r="AD22" s="122">
        <f t="shared" ref="AD22" si="22">IF(SUM(AD8:AD21)=0," ",SUM(AD8:AD21))</f>
        <v>7940</v>
      </c>
      <c r="AE22" s="114">
        <f t="shared" ref="AE22" si="23">IF(SUM(AE8:AE21)=0," ",SUM(AE8:AE21))</f>
        <v>844</v>
      </c>
      <c r="AF22" s="98">
        <f t="shared" ref="AF22" si="24">IF(SUM(AF8:AF21)=0," ",SUM(AF8:AF21))</f>
        <v>1084</v>
      </c>
      <c r="AG22" s="128">
        <f t="shared" ref="AG22" si="25">IF(SUM(AG8:AG21)=0," ",SUM(AG8:AG21))</f>
        <v>620</v>
      </c>
      <c r="AH22" s="122">
        <f t="shared" ref="AH22" si="26">IF(SUM(AH8:AH21)=0," ",SUM(AH8:AH21))</f>
        <v>2548</v>
      </c>
      <c r="AI22" s="9"/>
      <c r="AJ22" s="114" t="s">
        <v>52</v>
      </c>
      <c r="AK22" s="98" t="s">
        <v>52</v>
      </c>
      <c r="AL22" s="115" t="s">
        <v>52</v>
      </c>
      <c r="AM22" s="11"/>
      <c r="AN22" s="114">
        <f t="shared" ref="AN22" si="27">IF(SUM(AN8:AN21)=0," ",SUM(AN8:AN21))</f>
        <v>8472</v>
      </c>
      <c r="AO22" s="98">
        <f t="shared" ref="AO22" si="28">IF(SUM(AO8:AO21)=0," ",SUM(AO8:AO21))</f>
        <v>4106</v>
      </c>
      <c r="AP22" s="128">
        <f t="shared" ref="AP22" si="29">IF(SUM(AP8:AP21)=0," ",SUM(AP8:AP21))</f>
        <v>1128</v>
      </c>
      <c r="AQ22" s="122">
        <f t="shared" ref="AQ22" si="30">IF(SUM(AQ8:AQ21)=0," ",SUM(AQ8:AQ21))</f>
        <v>13706</v>
      </c>
      <c r="AR22" s="11"/>
      <c r="AS22" s="114">
        <f>SUM(AS8:AS21)</f>
        <v>838</v>
      </c>
      <c r="AT22" s="98">
        <f>SUM(AT8:AT21)</f>
        <v>1411</v>
      </c>
      <c r="AU22" s="122">
        <f>SUM(AU8:AU21)</f>
        <v>2249</v>
      </c>
      <c r="AV22" s="122">
        <f t="shared" si="7"/>
        <v>4992</v>
      </c>
    </row>
    <row r="23" spans="1:65" hidden="1" x14ac:dyDescent="0.3">
      <c r="A23" s="20" t="s">
        <v>36</v>
      </c>
      <c r="B23" s="10"/>
      <c r="C23" s="18">
        <f>COUNTIF(C8:C21,"=-")</f>
        <v>0</v>
      </c>
      <c r="D23" s="18"/>
      <c r="E23" s="18">
        <f>SUM(E22)</f>
        <v>30316</v>
      </c>
      <c r="F23" s="94"/>
      <c r="G23" s="18"/>
      <c r="H23" s="18"/>
      <c r="I23" s="18"/>
      <c r="J23" s="18"/>
      <c r="K23" s="18">
        <f t="shared" ref="K23:P23" si="31">COUNTIF(K8:K21,"=-")</f>
        <v>0</v>
      </c>
      <c r="L23" s="18">
        <f t="shared" si="31"/>
        <v>0</v>
      </c>
      <c r="M23" s="18">
        <f t="shared" si="31"/>
        <v>0</v>
      </c>
      <c r="N23" s="18">
        <f t="shared" si="31"/>
        <v>0</v>
      </c>
      <c r="O23" s="18">
        <f>COUNTIF(O8:O21,"=-")</f>
        <v>0</v>
      </c>
      <c r="P23" s="18">
        <f t="shared" si="31"/>
        <v>0</v>
      </c>
      <c r="Q23" s="3"/>
      <c r="R23" s="18">
        <f>COUNTIF(R8:R21,"=-")</f>
        <v>0</v>
      </c>
      <c r="S23" s="18">
        <f>COUNTIF(S8:S21,"=-")</f>
        <v>0</v>
      </c>
      <c r="T23" s="18">
        <f>COUNTIF(T8:T21,"=-")</f>
        <v>0</v>
      </c>
      <c r="U23" s="18">
        <f>COUNTIF(U8:U21,"=-")</f>
        <v>0</v>
      </c>
      <c r="V23" s="11"/>
      <c r="W23" s="18">
        <f t="shared" ref="W23:AF23" si="32">COUNTIF(W8:W21,"=-")</f>
        <v>0</v>
      </c>
      <c r="X23" s="18">
        <f t="shared" si="32"/>
        <v>0</v>
      </c>
      <c r="Y23" s="18">
        <f t="shared" si="32"/>
        <v>0</v>
      </c>
      <c r="Z23" s="18">
        <f>COUNTIF(Z8:Z21,"=-")</f>
        <v>0</v>
      </c>
      <c r="AA23" s="18">
        <f t="shared" si="32"/>
        <v>0</v>
      </c>
      <c r="AB23" s="18">
        <f t="shared" si="32"/>
        <v>0</v>
      </c>
      <c r="AC23" s="18">
        <f t="shared" si="32"/>
        <v>0</v>
      </c>
      <c r="AD23" s="18">
        <f>COUNTIF(AD8:AD21,"=-")</f>
        <v>0</v>
      </c>
      <c r="AE23" s="18">
        <f t="shared" si="32"/>
        <v>0</v>
      </c>
      <c r="AF23" s="18">
        <f t="shared" si="32"/>
        <v>0</v>
      </c>
      <c r="AG23" s="18">
        <f t="shared" ref="AG23" si="33">COUNTIF(AG8:AG21,"=-")</f>
        <v>0</v>
      </c>
      <c r="AH23" s="18">
        <f>COUNTIF(AH8:AH21,"=-")</f>
        <v>0</v>
      </c>
      <c r="AI23" s="9"/>
      <c r="AJ23" s="18">
        <f>COUNTIF(AJ8:AJ21,"=-")</f>
        <v>0</v>
      </c>
      <c r="AK23" s="18">
        <f>COUNTIF(AK8:AK21,"=-")</f>
        <v>0</v>
      </c>
      <c r="AL23" s="18">
        <f>COUNTIF(AL8:AL21,"=-")</f>
        <v>0</v>
      </c>
      <c r="AM23" s="11"/>
      <c r="AN23" s="18">
        <f>COUNTIF(AN8:AN21,"=-")</f>
        <v>0</v>
      </c>
      <c r="AO23" s="18">
        <f>COUNTIF(AO8:AO21,"=-")</f>
        <v>0</v>
      </c>
      <c r="AP23" s="18">
        <f>COUNTIF(AP8:AP21,"=-")</f>
        <v>0</v>
      </c>
      <c r="AQ23" s="18">
        <f>COUNTIF(AQ8:AQ21,"=-")</f>
        <v>0</v>
      </c>
      <c r="AR23" s="18"/>
      <c r="AS23" s="18">
        <f>COUNTIF(AS8:AS21,"=-")</f>
        <v>0</v>
      </c>
      <c r="AT23" s="18">
        <f>COUNTIF(AT8:AT21,"=-")</f>
        <v>0</v>
      </c>
      <c r="AU23" s="18">
        <f>COUNTIF(AU8:AU21,"=-")</f>
        <v>0</v>
      </c>
      <c r="AV23" s="18"/>
    </row>
    <row r="24" spans="1:65" ht="15" thickBot="1" x14ac:dyDescent="0.35">
      <c r="F24" s="2"/>
      <c r="Q24" s="3"/>
      <c r="T24"/>
      <c r="W24" s="33"/>
      <c r="X24" s="33"/>
      <c r="Y24" s="33"/>
      <c r="AH24" s="33"/>
      <c r="AI24" s="9"/>
      <c r="AQ24" s="33"/>
      <c r="AS24" s="33"/>
      <c r="AU24" s="33"/>
    </row>
    <row r="25" spans="1:65" s="33" customFormat="1" ht="15" thickBot="1" x14ac:dyDescent="0.35">
      <c r="A25" s="221" t="s">
        <v>110</v>
      </c>
      <c r="C25" s="83"/>
      <c r="D25" s="83"/>
      <c r="E25" s="83"/>
      <c r="F25" s="83"/>
      <c r="G25" s="83"/>
      <c r="H25" s="83"/>
      <c r="I25" s="83"/>
      <c r="J25" s="83"/>
      <c r="K25" s="83"/>
      <c r="L25" s="83"/>
      <c r="M25" s="83"/>
      <c r="N25" s="83"/>
      <c r="O25" s="87"/>
      <c r="P25" s="83"/>
      <c r="Q25" s="84"/>
      <c r="R25" s="88"/>
      <c r="S25" s="88"/>
      <c r="T25" s="88"/>
      <c r="U25" s="87"/>
      <c r="V25" s="87"/>
      <c r="W25" s="86"/>
      <c r="X25" s="86"/>
      <c r="Y25" s="86"/>
      <c r="Z25" s="85"/>
      <c r="AA25" s="86"/>
      <c r="AB25" s="86"/>
      <c r="AC25" s="86"/>
      <c r="AD25" s="85"/>
      <c r="AE25" s="86"/>
      <c r="AF25" s="86"/>
      <c r="AG25" s="86"/>
      <c r="AH25" s="85"/>
      <c r="AI25" s="88"/>
      <c r="AJ25" s="88"/>
      <c r="AK25" s="88"/>
      <c r="AL25" s="88"/>
      <c r="AM25" s="87"/>
      <c r="AN25" s="86"/>
      <c r="AO25" s="86"/>
      <c r="AP25" s="86"/>
      <c r="AQ25" s="85"/>
      <c r="AR25" s="87"/>
      <c r="AS25" s="86"/>
      <c r="AT25" s="86"/>
      <c r="AU25" s="85"/>
      <c r="AV25" s="87"/>
      <c r="AW25" s="83"/>
      <c r="AX25" s="131"/>
    </row>
    <row r="26" spans="1:65" s="33" customFormat="1" x14ac:dyDescent="0.3">
      <c r="A26" s="337" t="s">
        <v>234</v>
      </c>
      <c r="B26" s="316"/>
      <c r="C26" s="307">
        <v>116</v>
      </c>
      <c r="D26" s="348" t="s">
        <v>52</v>
      </c>
      <c r="E26" s="349">
        <f>SUM(C26:D26)</f>
        <v>116</v>
      </c>
      <c r="F26" s="310"/>
      <c r="G26" s="311" t="s">
        <v>52</v>
      </c>
      <c r="H26" s="350" t="s">
        <v>52</v>
      </c>
      <c r="I26" s="350" t="s">
        <v>52</v>
      </c>
      <c r="J26" s="350" t="s">
        <v>52</v>
      </c>
      <c r="K26" s="350" t="s">
        <v>52</v>
      </c>
      <c r="L26" s="312" t="s">
        <v>52</v>
      </c>
      <c r="M26" s="350" t="s">
        <v>52</v>
      </c>
      <c r="N26" s="313" t="s">
        <v>52</v>
      </c>
      <c r="O26" s="351" t="s">
        <v>52</v>
      </c>
      <c r="P26" s="352">
        <v>0</v>
      </c>
      <c r="Q26" s="316"/>
      <c r="R26" s="322">
        <v>69</v>
      </c>
      <c r="S26" s="323">
        <v>41</v>
      </c>
      <c r="T26" s="324">
        <v>6</v>
      </c>
      <c r="U26" s="314">
        <f>SUM(R26:T26)</f>
        <v>116</v>
      </c>
      <c r="V26" s="320"/>
      <c r="W26" s="322">
        <v>31</v>
      </c>
      <c r="X26" s="323">
        <v>26</v>
      </c>
      <c r="Y26" s="324">
        <v>12</v>
      </c>
      <c r="Z26" s="314">
        <f>SUM(W26:Y26)</f>
        <v>69</v>
      </c>
      <c r="AA26" s="322">
        <v>8</v>
      </c>
      <c r="AB26" s="323">
        <v>25</v>
      </c>
      <c r="AC26" s="324">
        <v>8</v>
      </c>
      <c r="AD26" s="314">
        <f>SUM(AA26:AC26)</f>
        <v>41</v>
      </c>
      <c r="AE26" s="322">
        <v>2</v>
      </c>
      <c r="AF26" s="323">
        <v>1</v>
      </c>
      <c r="AG26" s="324">
        <v>3</v>
      </c>
      <c r="AH26" s="314">
        <f>SUM(AE26:AG26)</f>
        <v>6</v>
      </c>
      <c r="AI26" s="321"/>
      <c r="AJ26" s="322" t="s">
        <v>52</v>
      </c>
      <c r="AK26" s="323" t="s">
        <v>52</v>
      </c>
      <c r="AL26" s="324" t="s">
        <v>52</v>
      </c>
      <c r="AM26" s="320"/>
      <c r="AN26" s="322">
        <v>49</v>
      </c>
      <c r="AO26" s="323">
        <v>15</v>
      </c>
      <c r="AP26" s="324">
        <v>3</v>
      </c>
      <c r="AQ26" s="314">
        <f>SUM(AN26:AP26)</f>
        <v>67</v>
      </c>
      <c r="AR26" s="320"/>
      <c r="AS26" s="322">
        <v>20</v>
      </c>
      <c r="AT26" s="324">
        <v>29</v>
      </c>
      <c r="AU26" s="314">
        <f>SUM(AS26:AT26)</f>
        <v>49</v>
      </c>
      <c r="AV26" s="328">
        <f t="shared" ref="AV26:AV36" si="34">+U26-AQ26-AU26</f>
        <v>0</v>
      </c>
      <c r="AW26" s="27"/>
      <c r="AX26" s="132"/>
      <c r="AY26" s="27"/>
      <c r="AZ26" s="19" t="str">
        <f>IF(Errors!X26 = 11,"No errors","Please check your entry for errors or missing entries. Check the tab below called 'Errors' for some guidance")</f>
        <v>No errors</v>
      </c>
      <c r="BA26" s="27"/>
      <c r="BB26" s="27"/>
      <c r="BC26" s="27"/>
      <c r="BD26" s="27"/>
      <c r="BE26" s="27"/>
      <c r="BF26" s="27"/>
      <c r="BG26" s="27"/>
      <c r="BH26" s="27"/>
      <c r="BI26" s="27"/>
      <c r="BJ26" s="27"/>
      <c r="BK26" s="27"/>
      <c r="BL26" s="27"/>
      <c r="BM26" s="27"/>
    </row>
    <row r="27" spans="1:65" s="33" customFormat="1" x14ac:dyDescent="0.3">
      <c r="A27" s="336" t="s">
        <v>23</v>
      </c>
      <c r="B27" s="316"/>
      <c r="C27" s="301">
        <v>9</v>
      </c>
      <c r="D27" s="302" t="s">
        <v>52</v>
      </c>
      <c r="E27" s="303">
        <v>9</v>
      </c>
      <c r="F27" s="310"/>
      <c r="G27" s="325" t="s">
        <v>52</v>
      </c>
      <c r="H27" s="326" t="s">
        <v>52</v>
      </c>
      <c r="I27" s="326" t="s">
        <v>52</v>
      </c>
      <c r="J27" s="326" t="s">
        <v>52</v>
      </c>
      <c r="K27" s="326" t="s">
        <v>52</v>
      </c>
      <c r="L27" s="326" t="s">
        <v>52</v>
      </c>
      <c r="M27" s="326" t="s">
        <v>52</v>
      </c>
      <c r="N27" s="327" t="s">
        <v>52</v>
      </c>
      <c r="O27" s="345" t="s">
        <v>52</v>
      </c>
      <c r="P27" s="329">
        <v>0</v>
      </c>
      <c r="Q27" s="316"/>
      <c r="R27" s="346">
        <v>2</v>
      </c>
      <c r="S27" s="334">
        <v>6</v>
      </c>
      <c r="T27" s="335">
        <v>1</v>
      </c>
      <c r="U27" s="328">
        <f>SUM(R27:T27)</f>
        <v>9</v>
      </c>
      <c r="V27" s="320"/>
      <c r="W27" s="346">
        <v>1</v>
      </c>
      <c r="X27" s="334">
        <v>1</v>
      </c>
      <c r="Y27" s="335">
        <v>0</v>
      </c>
      <c r="Z27" s="328">
        <f>SUM(W27:Y27)</f>
        <v>2</v>
      </c>
      <c r="AA27" s="346">
        <v>0</v>
      </c>
      <c r="AB27" s="334">
        <v>3</v>
      </c>
      <c r="AC27" s="335">
        <v>3</v>
      </c>
      <c r="AD27" s="328">
        <f>SUM(AA27:AC27)</f>
        <v>6</v>
      </c>
      <c r="AE27" s="346">
        <v>0</v>
      </c>
      <c r="AF27" s="334">
        <v>1</v>
      </c>
      <c r="AG27" s="335">
        <v>0</v>
      </c>
      <c r="AH27" s="328">
        <f>SUM(AE27:AG27)</f>
        <v>1</v>
      </c>
      <c r="AI27" s="321">
        <f>SUM(AE27:AH27)</f>
        <v>2</v>
      </c>
      <c r="AJ27" s="346" t="s">
        <v>52</v>
      </c>
      <c r="AK27" s="334" t="s">
        <v>52</v>
      </c>
      <c r="AL27" s="335" t="s">
        <v>52</v>
      </c>
      <c r="AM27" s="320"/>
      <c r="AN27" s="346">
        <v>2</v>
      </c>
      <c r="AO27" s="334">
        <v>4</v>
      </c>
      <c r="AP27" s="335">
        <v>1</v>
      </c>
      <c r="AQ27" s="328">
        <f>SUM(AN27:AP27)</f>
        <v>7</v>
      </c>
      <c r="AR27" s="320"/>
      <c r="AS27" s="346">
        <v>0</v>
      </c>
      <c r="AT27" s="335">
        <v>2</v>
      </c>
      <c r="AU27" s="328">
        <f>SUM(AS27:AT27)</f>
        <v>2</v>
      </c>
      <c r="AV27" s="328">
        <f t="shared" si="34"/>
        <v>0</v>
      </c>
      <c r="AW27" s="27"/>
      <c r="AX27" s="133"/>
      <c r="AZ27" s="19" t="str">
        <f>IF(Errors!X27 = 11,"No errors","Please check your entry for errors or missing entries. Check the tab below called 'Errors' for some guidance")</f>
        <v>No errors</v>
      </c>
    </row>
    <row r="28" spans="1:65" s="33" customFormat="1" x14ac:dyDescent="0.3">
      <c r="A28" s="336" t="s">
        <v>18</v>
      </c>
      <c r="B28" s="316"/>
      <c r="C28" s="301">
        <v>3</v>
      </c>
      <c r="D28" s="353" t="s">
        <v>52</v>
      </c>
      <c r="E28" s="303">
        <v>3</v>
      </c>
      <c r="F28" s="310"/>
      <c r="G28" s="325" t="s">
        <v>52</v>
      </c>
      <c r="H28" s="326" t="s">
        <v>52</v>
      </c>
      <c r="I28" s="326" t="s">
        <v>52</v>
      </c>
      <c r="J28" s="326" t="s">
        <v>52</v>
      </c>
      <c r="K28" s="326" t="s">
        <v>52</v>
      </c>
      <c r="L28" s="326" t="s">
        <v>52</v>
      </c>
      <c r="M28" s="326" t="s">
        <v>52</v>
      </c>
      <c r="N28" s="327" t="s">
        <v>52</v>
      </c>
      <c r="O28" s="345" t="s">
        <v>52</v>
      </c>
      <c r="P28" s="329">
        <v>0</v>
      </c>
      <c r="Q28" s="316"/>
      <c r="R28" s="330">
        <v>1</v>
      </c>
      <c r="S28" s="331">
        <v>2</v>
      </c>
      <c r="T28" s="354">
        <f>T280</f>
        <v>0</v>
      </c>
      <c r="U28" s="355">
        <f>SUM(R28:T28)</f>
        <v>3</v>
      </c>
      <c r="V28" s="356"/>
      <c r="W28" s="330">
        <v>1</v>
      </c>
      <c r="X28" s="331">
        <v>0</v>
      </c>
      <c r="Y28" s="354">
        <v>0</v>
      </c>
      <c r="Z28" s="355">
        <f>SUM(W28:Y28)</f>
        <v>1</v>
      </c>
      <c r="AA28" s="330">
        <v>2</v>
      </c>
      <c r="AB28" s="331">
        <v>0</v>
      </c>
      <c r="AC28" s="354">
        <v>0</v>
      </c>
      <c r="AD28" s="355">
        <f>SUM(AA28:AC28)</f>
        <v>2</v>
      </c>
      <c r="AE28" s="330">
        <v>0</v>
      </c>
      <c r="AF28" s="331">
        <v>0</v>
      </c>
      <c r="AG28" s="354">
        <v>0</v>
      </c>
      <c r="AH28" s="355">
        <f>SUM(AE28:AG28)</f>
        <v>0</v>
      </c>
      <c r="AI28" s="357">
        <f>SUM(W28:Z28)</f>
        <v>2</v>
      </c>
      <c r="AJ28" s="330" t="s">
        <v>52</v>
      </c>
      <c r="AK28" s="331" t="s">
        <v>52</v>
      </c>
      <c r="AL28" s="354" t="s">
        <v>52</v>
      </c>
      <c r="AM28" s="356"/>
      <c r="AN28" s="330">
        <v>1</v>
      </c>
      <c r="AO28" s="331">
        <v>2</v>
      </c>
      <c r="AP28" s="354">
        <v>0</v>
      </c>
      <c r="AQ28" s="355">
        <f>SUM(AN28:AP28)</f>
        <v>3</v>
      </c>
      <c r="AR28" s="356"/>
      <c r="AS28" s="330">
        <v>0</v>
      </c>
      <c r="AT28" s="354">
        <v>0</v>
      </c>
      <c r="AU28" s="355">
        <v>0</v>
      </c>
      <c r="AV28" s="328">
        <f t="shared" si="34"/>
        <v>0</v>
      </c>
      <c r="AW28" s="27"/>
      <c r="AX28" s="294"/>
      <c r="AZ28" s="19" t="str">
        <f>IF(Errors!X28 = 11,"No errors","Please check your entry for errors or missing entries. Check the tab below called 'Errors' for some guidance")</f>
        <v>No errors</v>
      </c>
    </row>
    <row r="29" spans="1:65" s="33" customFormat="1" x14ac:dyDescent="0.3">
      <c r="A29" s="336" t="s">
        <v>19</v>
      </c>
      <c r="B29" s="316"/>
      <c r="C29" s="301">
        <v>0</v>
      </c>
      <c r="D29" s="302">
        <v>0</v>
      </c>
      <c r="E29" s="303">
        <v>0</v>
      </c>
      <c r="F29" s="310"/>
      <c r="G29" s="325" t="s">
        <v>52</v>
      </c>
      <c r="H29" s="326" t="s">
        <v>52</v>
      </c>
      <c r="I29" s="326" t="s">
        <v>52</v>
      </c>
      <c r="J29" s="326" t="s">
        <v>52</v>
      </c>
      <c r="K29" s="326" t="s">
        <v>52</v>
      </c>
      <c r="L29" s="326" t="s">
        <v>52</v>
      </c>
      <c r="M29" s="326" t="s">
        <v>52</v>
      </c>
      <c r="N29" s="327" t="s">
        <v>52</v>
      </c>
      <c r="O29" s="345" t="s">
        <v>52</v>
      </c>
      <c r="P29" s="329">
        <v>0</v>
      </c>
      <c r="Q29" s="316"/>
      <c r="R29" s="330">
        <v>0</v>
      </c>
      <c r="S29" s="331">
        <v>0</v>
      </c>
      <c r="T29" s="332">
        <v>0</v>
      </c>
      <c r="U29" s="328">
        <v>0</v>
      </c>
      <c r="V29" s="320"/>
      <c r="W29" s="330">
        <v>0</v>
      </c>
      <c r="X29" s="331">
        <v>0</v>
      </c>
      <c r="Y29" s="332">
        <v>0</v>
      </c>
      <c r="Z29" s="328">
        <v>0</v>
      </c>
      <c r="AA29" s="330">
        <v>0</v>
      </c>
      <c r="AB29" s="331">
        <v>0</v>
      </c>
      <c r="AC29" s="332">
        <v>0</v>
      </c>
      <c r="AD29" s="328">
        <v>0</v>
      </c>
      <c r="AE29" s="330">
        <v>0</v>
      </c>
      <c r="AF29" s="331">
        <v>0</v>
      </c>
      <c r="AG29" s="332">
        <v>0</v>
      </c>
      <c r="AH29" s="328">
        <v>0</v>
      </c>
      <c r="AI29" s="321"/>
      <c r="AJ29" s="330" t="s">
        <v>52</v>
      </c>
      <c r="AK29" s="331" t="s">
        <v>52</v>
      </c>
      <c r="AL29" s="332" t="s">
        <v>52</v>
      </c>
      <c r="AM29" s="320"/>
      <c r="AN29" s="330">
        <v>0</v>
      </c>
      <c r="AO29" s="331">
        <v>0</v>
      </c>
      <c r="AP29" s="332">
        <v>0</v>
      </c>
      <c r="AQ29" s="328">
        <v>0</v>
      </c>
      <c r="AR29" s="320"/>
      <c r="AS29" s="330">
        <v>0</v>
      </c>
      <c r="AT29" s="332">
        <v>0</v>
      </c>
      <c r="AU29" s="328">
        <v>0</v>
      </c>
      <c r="AV29" s="328">
        <f t="shared" si="34"/>
        <v>0</v>
      </c>
      <c r="AW29" s="27"/>
      <c r="AX29" s="133" t="s">
        <v>229</v>
      </c>
      <c r="AZ29" s="19" t="str">
        <f>IF(Errors!X29 = 11,"No errors","Please check your entry for errors or missing entries. Check the tab below called 'Errors' for some guidance")</f>
        <v>No errors</v>
      </c>
    </row>
    <row r="30" spans="1:65" s="33" customFormat="1" x14ac:dyDescent="0.3">
      <c r="A30" s="338" t="s">
        <v>22</v>
      </c>
      <c r="B30" s="316"/>
      <c r="C30" s="301">
        <v>426</v>
      </c>
      <c r="D30" s="353" t="s">
        <v>52</v>
      </c>
      <c r="E30" s="303">
        <f>SUM(C30:D30)</f>
        <v>426</v>
      </c>
      <c r="F30" s="310"/>
      <c r="G30" s="325" t="s">
        <v>52</v>
      </c>
      <c r="H30" s="326" t="s">
        <v>52</v>
      </c>
      <c r="I30" s="326" t="s">
        <v>52</v>
      </c>
      <c r="J30" s="326" t="s">
        <v>52</v>
      </c>
      <c r="K30" s="326" t="s">
        <v>52</v>
      </c>
      <c r="L30" s="326" t="s">
        <v>52</v>
      </c>
      <c r="M30" s="326" t="s">
        <v>52</v>
      </c>
      <c r="N30" s="327" t="s">
        <v>52</v>
      </c>
      <c r="O30" s="345" t="s">
        <v>52</v>
      </c>
      <c r="P30" s="329">
        <v>0</v>
      </c>
      <c r="Q30" s="316"/>
      <c r="R30" s="330">
        <v>68</v>
      </c>
      <c r="S30" s="331">
        <v>358</v>
      </c>
      <c r="T30" s="332">
        <v>0</v>
      </c>
      <c r="U30" s="328">
        <f>SUM(R30:T30)</f>
        <v>426</v>
      </c>
      <c r="V30" s="320"/>
      <c r="W30" s="330">
        <v>0</v>
      </c>
      <c r="X30" s="331">
        <v>53</v>
      </c>
      <c r="Y30" s="332">
        <v>0</v>
      </c>
      <c r="Z30" s="328">
        <f>SUM(W30:Y30)</f>
        <v>53</v>
      </c>
      <c r="AA30" s="330">
        <v>195</v>
      </c>
      <c r="AB30" s="331">
        <v>103</v>
      </c>
      <c r="AC30" s="332">
        <v>75</v>
      </c>
      <c r="AD30" s="328">
        <f>SUM(AA30:AC30)</f>
        <v>373</v>
      </c>
      <c r="AE30" s="330">
        <v>0</v>
      </c>
      <c r="AF30" s="331">
        <v>0</v>
      </c>
      <c r="AG30" s="332">
        <v>0</v>
      </c>
      <c r="AH30" s="328">
        <v>0</v>
      </c>
      <c r="AI30" s="321"/>
      <c r="AJ30" s="330" t="s">
        <v>52</v>
      </c>
      <c r="AK30" s="331" t="s">
        <v>52</v>
      </c>
      <c r="AL30" s="332" t="s">
        <v>52</v>
      </c>
      <c r="AM30" s="320"/>
      <c r="AN30" s="330">
        <v>68</v>
      </c>
      <c r="AO30" s="331">
        <v>356</v>
      </c>
      <c r="AP30" s="332">
        <v>0</v>
      </c>
      <c r="AQ30" s="328">
        <f>SUM(AN30:AP30)</f>
        <v>424</v>
      </c>
      <c r="AR30" s="320"/>
      <c r="AS30" s="330">
        <v>0</v>
      </c>
      <c r="AT30" s="332">
        <v>2</v>
      </c>
      <c r="AU30" s="328">
        <v>2</v>
      </c>
      <c r="AV30" s="328">
        <v>0</v>
      </c>
      <c r="AX30" s="375"/>
      <c r="AZ30" s="19" t="str">
        <f>IF(Errors!X30 = 11,"No errors","Please check your entry for errors or missing entries. Check the tab below called 'Errors' for some guidance")</f>
        <v>Please check your entry for errors or missing entries. Check the tab below called 'Errors' for some guidance</v>
      </c>
    </row>
    <row r="31" spans="1:65" s="33" customFormat="1" x14ac:dyDescent="0.3">
      <c r="A31" s="336" t="s">
        <v>20</v>
      </c>
      <c r="B31" s="316"/>
      <c r="C31" s="301">
        <v>355</v>
      </c>
      <c r="D31" s="302" t="s">
        <v>52</v>
      </c>
      <c r="E31" s="303">
        <f>SUM(C31:D31)</f>
        <v>355</v>
      </c>
      <c r="F31" s="310"/>
      <c r="G31" s="325" t="s">
        <v>52</v>
      </c>
      <c r="H31" s="326" t="s">
        <v>52</v>
      </c>
      <c r="I31" s="326" t="s">
        <v>52</v>
      </c>
      <c r="J31" s="326" t="s">
        <v>52</v>
      </c>
      <c r="K31" s="326" t="s">
        <v>52</v>
      </c>
      <c r="L31" s="326" t="s">
        <v>52</v>
      </c>
      <c r="M31" s="326" t="s">
        <v>52</v>
      </c>
      <c r="N31" s="327" t="s">
        <v>52</v>
      </c>
      <c r="O31" s="345" t="s">
        <v>52</v>
      </c>
      <c r="P31" s="329">
        <v>0</v>
      </c>
      <c r="Q31" s="316"/>
      <c r="R31" s="330">
        <v>316</v>
      </c>
      <c r="S31" s="331">
        <v>39</v>
      </c>
      <c r="T31" s="332">
        <v>0</v>
      </c>
      <c r="U31" s="328">
        <f>SUM(R31:T31)</f>
        <v>355</v>
      </c>
      <c r="V31" s="320"/>
      <c r="W31" s="330">
        <v>96</v>
      </c>
      <c r="X31" s="331">
        <v>160</v>
      </c>
      <c r="Y31" s="332">
        <v>60</v>
      </c>
      <c r="Z31" s="328">
        <f>SUM(W31:Y31)</f>
        <v>316</v>
      </c>
      <c r="AA31" s="330">
        <v>14</v>
      </c>
      <c r="AB31" s="331">
        <v>17</v>
      </c>
      <c r="AC31" s="332">
        <v>8</v>
      </c>
      <c r="AD31" s="328">
        <f>SUM(AA31:AC31)</f>
        <v>39</v>
      </c>
      <c r="AE31" s="330">
        <v>0</v>
      </c>
      <c r="AF31" s="331">
        <v>0</v>
      </c>
      <c r="AG31" s="332">
        <v>0</v>
      </c>
      <c r="AH31" s="328">
        <f>SUM(AE31:AG31)</f>
        <v>0</v>
      </c>
      <c r="AI31" s="321"/>
      <c r="AJ31" s="330" t="s">
        <v>52</v>
      </c>
      <c r="AK31" s="331" t="s">
        <v>52</v>
      </c>
      <c r="AL31" s="332" t="s">
        <v>52</v>
      </c>
      <c r="AM31" s="320"/>
      <c r="AN31" s="330">
        <v>233</v>
      </c>
      <c r="AO31" s="331">
        <v>37</v>
      </c>
      <c r="AP31" s="332">
        <v>0</v>
      </c>
      <c r="AQ31" s="328">
        <f>SUM(AN31:AP31)</f>
        <v>270</v>
      </c>
      <c r="AR31" s="320"/>
      <c r="AS31" s="330">
        <v>10</v>
      </c>
      <c r="AT31" s="332">
        <v>0</v>
      </c>
      <c r="AU31" s="328">
        <f>SUM(AS31:AT31)</f>
        <v>10</v>
      </c>
      <c r="AV31" s="328">
        <v>75</v>
      </c>
      <c r="AW31" s="27"/>
      <c r="AX31" s="137"/>
      <c r="AZ31" s="19" t="str">
        <f>IF(Errors!X31 = 11,"No errors","Please check your entry for errors or missing entries. Check the tab below called 'Errors' for some guidance")</f>
        <v>Please check your entry for errors or missing entries. Check the tab below called 'Errors' for some guidance</v>
      </c>
    </row>
    <row r="32" spans="1:65" s="33" customFormat="1" x14ac:dyDescent="0.3">
      <c r="A32" s="358" t="s">
        <v>21</v>
      </c>
      <c r="B32" s="316"/>
      <c r="C32" s="301">
        <v>1161</v>
      </c>
      <c r="D32" s="353" t="s">
        <v>52</v>
      </c>
      <c r="E32" s="303">
        <f>SUM(C32:D32)</f>
        <v>1161</v>
      </c>
      <c r="F32" s="310"/>
      <c r="G32" s="325" t="s">
        <v>52</v>
      </c>
      <c r="H32" s="326" t="s">
        <v>52</v>
      </c>
      <c r="I32" s="326" t="s">
        <v>52</v>
      </c>
      <c r="J32" s="326" t="s">
        <v>52</v>
      </c>
      <c r="K32" s="326" t="s">
        <v>52</v>
      </c>
      <c r="L32" s="326" t="s">
        <v>52</v>
      </c>
      <c r="M32" s="326" t="s">
        <v>52</v>
      </c>
      <c r="N32" s="327" t="s">
        <v>52</v>
      </c>
      <c r="O32" s="345" t="s">
        <v>52</v>
      </c>
      <c r="P32" s="329">
        <v>0</v>
      </c>
      <c r="Q32" s="316"/>
      <c r="R32" s="330">
        <v>636</v>
      </c>
      <c r="S32" s="331">
        <v>484</v>
      </c>
      <c r="T32" s="332">
        <v>41</v>
      </c>
      <c r="U32" s="328">
        <f>SUM(R32:T32)</f>
        <v>1161</v>
      </c>
      <c r="V32" s="320"/>
      <c r="W32" s="330">
        <v>276</v>
      </c>
      <c r="X32" s="331">
        <v>252</v>
      </c>
      <c r="Y32" s="332">
        <v>108</v>
      </c>
      <c r="Z32" s="328">
        <f>SUM(W32:Y32)</f>
        <v>636</v>
      </c>
      <c r="AA32" s="330">
        <v>225</v>
      </c>
      <c r="AB32" s="331">
        <v>115</v>
      </c>
      <c r="AC32" s="332">
        <v>144</v>
      </c>
      <c r="AD32" s="328">
        <f>SUM(AA32:AC32)</f>
        <v>484</v>
      </c>
      <c r="AE32" s="330">
        <v>13</v>
      </c>
      <c r="AF32" s="331">
        <v>20</v>
      </c>
      <c r="AG32" s="332">
        <v>8</v>
      </c>
      <c r="AH32" s="328">
        <f>SUM(AE32:AG32)</f>
        <v>41</v>
      </c>
      <c r="AI32" s="321"/>
      <c r="AJ32" s="330" t="s">
        <v>52</v>
      </c>
      <c r="AK32" s="331" t="s">
        <v>52</v>
      </c>
      <c r="AL32" s="332" t="s">
        <v>52</v>
      </c>
      <c r="AM32" s="320"/>
      <c r="AN32" s="330">
        <v>400</v>
      </c>
      <c r="AO32" s="331">
        <v>251</v>
      </c>
      <c r="AP32" s="332">
        <v>22</v>
      </c>
      <c r="AQ32" s="328">
        <f>SUM(AN32:AP32)</f>
        <v>673</v>
      </c>
      <c r="AR32" s="320"/>
      <c r="AS32" s="330">
        <v>0</v>
      </c>
      <c r="AT32" s="332">
        <v>0</v>
      </c>
      <c r="AU32" s="328">
        <f>SUM(AS32:AT32)</f>
        <v>0</v>
      </c>
      <c r="AV32" s="328">
        <f t="shared" si="34"/>
        <v>488</v>
      </c>
      <c r="AW32" s="316"/>
      <c r="AX32" s="137" t="s">
        <v>227</v>
      </c>
      <c r="AZ32" s="19" t="str">
        <f>IF(Errors!X32 = 11,"No errors","Please check your entry for errors or missing entries. Check the tab below called 'Errors' for some guidance")</f>
        <v>Please check your entry for errors or missing entries. Check the tab below called 'Errors' for some guidance</v>
      </c>
    </row>
    <row r="33" spans="1:52" s="33" customFormat="1" ht="15" thickBot="1" x14ac:dyDescent="0.35">
      <c r="A33" s="359" t="s">
        <v>37</v>
      </c>
      <c r="B33" s="316"/>
      <c r="C33" s="360">
        <v>52</v>
      </c>
      <c r="D33" s="361" t="s">
        <v>52</v>
      </c>
      <c r="E33" s="362">
        <f>SUM(C33:D33)</f>
        <v>52</v>
      </c>
      <c r="F33" s="363"/>
      <c r="G33" s="364" t="s">
        <v>52</v>
      </c>
      <c r="H33" s="365" t="s">
        <v>52</v>
      </c>
      <c r="I33" s="365" t="s">
        <v>52</v>
      </c>
      <c r="J33" s="365" t="s">
        <v>52</v>
      </c>
      <c r="K33" s="365" t="s">
        <v>52</v>
      </c>
      <c r="L33" s="365" t="s">
        <v>52</v>
      </c>
      <c r="M33" s="365" t="s">
        <v>52</v>
      </c>
      <c r="N33" s="366" t="s">
        <v>52</v>
      </c>
      <c r="O33" s="367" t="s">
        <v>52</v>
      </c>
      <c r="P33" s="366">
        <v>0</v>
      </c>
      <c r="Q33" s="368"/>
      <c r="R33" s="369">
        <v>30</v>
      </c>
      <c r="S33" s="370">
        <v>7</v>
      </c>
      <c r="T33" s="371">
        <v>6</v>
      </c>
      <c r="U33" s="372">
        <f>SUM(R33:T33)</f>
        <v>43</v>
      </c>
      <c r="V33" s="373"/>
      <c r="W33" s="369">
        <v>7</v>
      </c>
      <c r="X33" s="370">
        <v>19</v>
      </c>
      <c r="Y33" s="371">
        <v>4</v>
      </c>
      <c r="Z33" s="372">
        <f>SUM(W33:Y33)</f>
        <v>30</v>
      </c>
      <c r="AA33" s="369">
        <v>1</v>
      </c>
      <c r="AB33" s="370">
        <v>2</v>
      </c>
      <c r="AC33" s="371">
        <v>4</v>
      </c>
      <c r="AD33" s="372">
        <f>SUM(AA33:AC33)</f>
        <v>7</v>
      </c>
      <c r="AE33" s="369">
        <v>0</v>
      </c>
      <c r="AF33" s="370">
        <v>0</v>
      </c>
      <c r="AG33" s="371">
        <v>6</v>
      </c>
      <c r="AH33" s="372">
        <f>SUM(AE33:AG33)</f>
        <v>6</v>
      </c>
      <c r="AI33" s="374"/>
      <c r="AJ33" s="369" t="s">
        <v>52</v>
      </c>
      <c r="AK33" s="370" t="s">
        <v>52</v>
      </c>
      <c r="AL33" s="371" t="s">
        <v>52</v>
      </c>
      <c r="AM33" s="373"/>
      <c r="AN33" s="369">
        <v>29</v>
      </c>
      <c r="AO33" s="370">
        <v>5</v>
      </c>
      <c r="AP33" s="371">
        <v>3</v>
      </c>
      <c r="AQ33" s="372">
        <f>SUM(AN33:AP33)</f>
        <v>37</v>
      </c>
      <c r="AR33" s="373"/>
      <c r="AS33" s="369">
        <v>1</v>
      </c>
      <c r="AT33" s="371">
        <v>5</v>
      </c>
      <c r="AU33" s="372">
        <f>SUM(AS33:AT33)</f>
        <v>6</v>
      </c>
      <c r="AV33" s="328">
        <f t="shared" si="34"/>
        <v>0</v>
      </c>
      <c r="AW33" s="27"/>
      <c r="AX33" s="294"/>
      <c r="AZ33" s="19" t="str">
        <f>IF(Errors!X33 = 11,"No errors","Please check your entry for errors or missing entries. Check the tab below called 'Errors' for some guidance")</f>
        <v>No errors</v>
      </c>
    </row>
    <row r="34" spans="1:52" s="33" customFormat="1" ht="15" thickBot="1" x14ac:dyDescent="0.35">
      <c r="A34" s="222" t="s">
        <v>176</v>
      </c>
      <c r="C34" s="97">
        <f>IF(SUM(C26:C33)=0," ",SUM(C26:C33))</f>
        <v>2122</v>
      </c>
      <c r="D34" s="98" t="s">
        <v>52</v>
      </c>
      <c r="E34" s="99">
        <f>IF(SUM(E26:E33)=0," ",SUM(E26:E33))</f>
        <v>2122</v>
      </c>
      <c r="F34" s="2"/>
      <c r="G34" s="114" t="s">
        <v>52</v>
      </c>
      <c r="H34" s="98" t="s">
        <v>52</v>
      </c>
      <c r="I34" s="98" t="s">
        <v>52</v>
      </c>
      <c r="J34" s="98" t="s">
        <v>52</v>
      </c>
      <c r="K34" s="98" t="s">
        <v>52</v>
      </c>
      <c r="L34" s="98" t="s">
        <v>52</v>
      </c>
      <c r="M34" s="98" t="s">
        <v>52</v>
      </c>
      <c r="N34" s="115" t="s">
        <v>52</v>
      </c>
      <c r="O34" s="122" t="s">
        <v>52</v>
      </c>
      <c r="P34" s="115" t="str">
        <f>IF(SUM(P26:P33)=0," ",SUM(P26:P33))</f>
        <v xml:space="preserve"> </v>
      </c>
      <c r="Q34" s="27"/>
      <c r="R34" s="114">
        <f t="shared" ref="R34:U34" si="35">IF(SUM(R26:R33)=0," ",SUM(R26:R33))</f>
        <v>1122</v>
      </c>
      <c r="S34" s="129">
        <f t="shared" si="35"/>
        <v>937</v>
      </c>
      <c r="T34" s="99">
        <f t="shared" si="35"/>
        <v>54</v>
      </c>
      <c r="U34" s="122">
        <f t="shared" si="35"/>
        <v>2113</v>
      </c>
      <c r="W34" s="114">
        <f t="shared" ref="W34:AG34" si="36">IF(SUM(W26:W33)=0," ",SUM(W26:W33))</f>
        <v>412</v>
      </c>
      <c r="X34" s="129">
        <f t="shared" si="36"/>
        <v>511</v>
      </c>
      <c r="Y34" s="99">
        <f t="shared" si="36"/>
        <v>184</v>
      </c>
      <c r="Z34" s="122">
        <f t="shared" si="36"/>
        <v>1107</v>
      </c>
      <c r="AA34" s="114">
        <f t="shared" si="36"/>
        <v>445</v>
      </c>
      <c r="AB34" s="129">
        <f t="shared" si="36"/>
        <v>265</v>
      </c>
      <c r="AC34" s="99">
        <f t="shared" si="36"/>
        <v>242</v>
      </c>
      <c r="AD34" s="122">
        <f t="shared" si="36"/>
        <v>952</v>
      </c>
      <c r="AE34" s="114">
        <f t="shared" si="36"/>
        <v>15</v>
      </c>
      <c r="AF34" s="129">
        <f t="shared" si="36"/>
        <v>22</v>
      </c>
      <c r="AG34" s="99">
        <f t="shared" si="36"/>
        <v>17</v>
      </c>
      <c r="AH34" s="122">
        <f>SUM(AH26:AH33)</f>
        <v>54</v>
      </c>
      <c r="AI34" s="30"/>
      <c r="AJ34" s="114" t="s">
        <v>52</v>
      </c>
      <c r="AK34" s="129" t="s">
        <v>52</v>
      </c>
      <c r="AL34" s="99" t="s">
        <v>52</v>
      </c>
      <c r="AN34" s="114">
        <f t="shared" ref="AN34:AQ34" si="37">IF(SUM(AN26:AN33)=0," ",SUM(AN26:AN33))</f>
        <v>782</v>
      </c>
      <c r="AO34" s="129">
        <f t="shared" si="37"/>
        <v>670</v>
      </c>
      <c r="AP34" s="99">
        <f t="shared" si="37"/>
        <v>29</v>
      </c>
      <c r="AQ34" s="122">
        <f t="shared" si="37"/>
        <v>1481</v>
      </c>
      <c r="AS34" s="114">
        <f t="shared" ref="AS34:AU34" si="38">IF(SUM(AS26:AS33)=0," ",SUM(AS26:AS33))</f>
        <v>31</v>
      </c>
      <c r="AT34" s="129">
        <f t="shared" si="38"/>
        <v>38</v>
      </c>
      <c r="AU34" s="122">
        <f t="shared" si="38"/>
        <v>69</v>
      </c>
      <c r="AV34" s="122">
        <f t="shared" si="34"/>
        <v>563</v>
      </c>
      <c r="AX34" s="138"/>
      <c r="AZ34" s="19" t="str">
        <f>IF(Errors!X34 = 11,"No errors","Please check your entry for errors or missing entries. Check the tab below called 'Errors' for some guidance")</f>
        <v>Please check your entry for errors or missing entries. Check the tab below called 'Errors' for some guidance</v>
      </c>
    </row>
    <row r="35" spans="1:52" s="33" customFormat="1" ht="15" thickBot="1" x14ac:dyDescent="0.35">
      <c r="K35" s="91"/>
      <c r="L35" s="92"/>
      <c r="M35" s="92"/>
      <c r="N35" s="92"/>
      <c r="Q35" s="27"/>
      <c r="AI35" s="30"/>
    </row>
    <row r="36" spans="1:52" s="33" customFormat="1" ht="15" thickBot="1" x14ac:dyDescent="0.35">
      <c r="A36" s="105" t="s">
        <v>111</v>
      </c>
      <c r="C36" s="97">
        <f>IF((SUM(C8:C21)+SUM(C26:C33))=0," ",SUM(C8:C21)+SUM(C26:C33))</f>
        <v>24487</v>
      </c>
      <c r="D36" s="98">
        <f>IF((SUM(D8:D21)+SUM(D26:D33))=0," ",SUM(D8:D21)+SUM(D26:D33))</f>
        <v>7951</v>
      </c>
      <c r="E36" s="99">
        <f>IF((SUM(E8:E21)+SUM(E26:E33))=0," ",SUM(E8:E21)+SUM(E26:E33))</f>
        <v>32438</v>
      </c>
      <c r="G36" s="114">
        <f t="shared" ref="G36:AH36" si="39">IF((SUM(G8:G21)+SUM(G26:G33))=0," ",SUM(G8:G21)+SUM(G26:G33))</f>
        <v>434</v>
      </c>
      <c r="H36" s="98">
        <f t="shared" si="39"/>
        <v>96</v>
      </c>
      <c r="I36" s="98">
        <f t="shared" si="39"/>
        <v>36</v>
      </c>
      <c r="J36" s="98">
        <f t="shared" si="39"/>
        <v>9</v>
      </c>
      <c r="K36" s="98">
        <f t="shared" si="39"/>
        <v>4679</v>
      </c>
      <c r="L36" s="98">
        <f t="shared" si="39"/>
        <v>454</v>
      </c>
      <c r="M36" s="98">
        <f t="shared" si="39"/>
        <v>234</v>
      </c>
      <c r="N36" s="115">
        <f t="shared" si="39"/>
        <v>2511</v>
      </c>
      <c r="O36" s="122">
        <f t="shared" si="39"/>
        <v>8453</v>
      </c>
      <c r="P36" s="115">
        <f t="shared" si="39"/>
        <v>5824</v>
      </c>
      <c r="Q36" s="27"/>
      <c r="R36" s="114">
        <f t="shared" si="39"/>
        <v>11581</v>
      </c>
      <c r="S36" s="129">
        <f t="shared" si="39"/>
        <v>8877</v>
      </c>
      <c r="T36" s="99">
        <f t="shared" si="39"/>
        <v>2602</v>
      </c>
      <c r="U36" s="122">
        <f t="shared" si="39"/>
        <v>23060</v>
      </c>
      <c r="W36" s="114">
        <f t="shared" si="39"/>
        <v>3676</v>
      </c>
      <c r="X36" s="129">
        <f t="shared" si="39"/>
        <v>6232</v>
      </c>
      <c r="Y36" s="99">
        <f t="shared" si="39"/>
        <v>1658</v>
      </c>
      <c r="Z36" s="122">
        <f t="shared" si="39"/>
        <v>11566</v>
      </c>
      <c r="AA36" s="114">
        <f t="shared" si="39"/>
        <v>2818</v>
      </c>
      <c r="AB36" s="129">
        <f t="shared" si="39"/>
        <v>3134</v>
      </c>
      <c r="AC36" s="99">
        <f t="shared" si="39"/>
        <v>2940</v>
      </c>
      <c r="AD36" s="122">
        <f t="shared" si="39"/>
        <v>8892</v>
      </c>
      <c r="AE36" s="114">
        <f t="shared" si="39"/>
        <v>859</v>
      </c>
      <c r="AF36" s="129">
        <f t="shared" si="39"/>
        <v>1106</v>
      </c>
      <c r="AG36" s="99">
        <f t="shared" si="39"/>
        <v>637</v>
      </c>
      <c r="AH36" s="122">
        <f t="shared" si="39"/>
        <v>2602</v>
      </c>
      <c r="AI36" s="30"/>
      <c r="AJ36" s="114" t="s">
        <v>52</v>
      </c>
      <c r="AK36" s="129" t="s">
        <v>52</v>
      </c>
      <c r="AL36" s="99" t="s">
        <v>52</v>
      </c>
      <c r="AN36" s="114">
        <f t="shared" ref="AN36:AQ36" si="40">IF((SUM(AN8:AN21)+SUM(AN26:AN33))=0," ",SUM(AN8:AN21)+SUM(AN26:AN33))</f>
        <v>9254</v>
      </c>
      <c r="AO36" s="129">
        <f t="shared" si="40"/>
        <v>4776</v>
      </c>
      <c r="AP36" s="99">
        <f t="shared" si="40"/>
        <v>1157</v>
      </c>
      <c r="AQ36" s="122">
        <f t="shared" si="40"/>
        <v>15187</v>
      </c>
      <c r="AS36" s="114">
        <f t="shared" ref="AS36:AU36" si="41">IF((SUM(AS8:AS21)+SUM(AS26:AS33))=0," ",SUM(AS8:AS21)+SUM(AS26:AS33))</f>
        <v>869</v>
      </c>
      <c r="AT36" s="129">
        <f t="shared" si="41"/>
        <v>1449</v>
      </c>
      <c r="AU36" s="97">
        <f t="shared" si="41"/>
        <v>2318</v>
      </c>
      <c r="AV36" s="95">
        <f t="shared" si="34"/>
        <v>5555</v>
      </c>
      <c r="AZ36" s="19"/>
    </row>
    <row r="37" spans="1:52" x14ac:dyDescent="0.3">
      <c r="A37" s="17"/>
    </row>
    <row r="38" spans="1:52" x14ac:dyDescent="0.3">
      <c r="A38" s="45"/>
    </row>
    <row r="40" spans="1:52" x14ac:dyDescent="0.3">
      <c r="A40" s="1"/>
    </row>
    <row r="41" spans="1:52" x14ac:dyDescent="0.3">
      <c r="A41" s="389"/>
    </row>
    <row r="42" spans="1:52" x14ac:dyDescent="0.3">
      <c r="A42" s="13"/>
    </row>
    <row r="43" spans="1:52" x14ac:dyDescent="0.3">
      <c r="A43" s="13"/>
    </row>
    <row r="44" spans="1:52" x14ac:dyDescent="0.3">
      <c r="A44" s="13"/>
    </row>
    <row r="45" spans="1:52" x14ac:dyDescent="0.3">
      <c r="A45" s="13"/>
    </row>
    <row r="46" spans="1:52" x14ac:dyDescent="0.3">
      <c r="A46" s="1"/>
      <c r="Q46" s="14"/>
    </row>
  </sheetData>
  <sortState ref="A5:AP25">
    <sortCondition ref="A5:A25"/>
  </sortState>
  <mergeCells count="9">
    <mergeCell ref="G1:O1"/>
    <mergeCell ref="K2:N2"/>
    <mergeCell ref="G2:J2"/>
    <mergeCell ref="AS3:AU3"/>
    <mergeCell ref="C3:P3"/>
    <mergeCell ref="W3:AH3"/>
    <mergeCell ref="AN3:AQ3"/>
    <mergeCell ref="R3:U3"/>
    <mergeCell ref="AJ3:AL3"/>
  </mergeCells>
  <conditionalFormatting sqref="AZ36 AZ6:AZ21 AZ26:AZ34">
    <cfRule type="containsText" dxfId="189" priority="8" operator="containsText" text="no errors">
      <formula>NOT(ISERROR(SEARCH("no errors",AZ6)))</formula>
    </cfRule>
  </conditionalFormatting>
  <pageMargins left="0.11811023622047245" right="0.11811023622047245" top="0.23622047244094491" bottom="0.23622047244094491" header="0.19685039370078741" footer="0.19685039370078741"/>
  <pageSetup paperSize="9" scale="60" fitToWidth="0" orientation="landscape" r:id="rId1"/>
  <headerFooter>
    <oddFooter>Page &amp;P of &amp;N</oddFooter>
  </headerFooter>
  <colBreaks count="2" manualBreakCount="2">
    <brk id="16" max="1048575" man="1"/>
    <brk id="34" max="3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X36"/>
  <sheetViews>
    <sheetView topLeftCell="O13" workbookViewId="0">
      <selection activeCell="A15" sqref="A15"/>
    </sheetView>
  </sheetViews>
  <sheetFormatPr defaultColWidth="9.09765625" defaultRowHeight="14.4" x14ac:dyDescent="0.3"/>
  <cols>
    <col min="1" max="1" width="41" style="1" bestFit="1" customWidth="1"/>
    <col min="2" max="2" width="15.3984375" style="1" customWidth="1"/>
    <col min="3" max="3" width="11.3984375" style="1" customWidth="1"/>
    <col min="4" max="5" width="13.09765625" style="1" customWidth="1"/>
    <col min="6" max="6" width="22" style="1" customWidth="1"/>
    <col min="7" max="7" width="13" style="1" customWidth="1"/>
    <col min="8" max="8" width="22" style="1" customWidth="1"/>
    <col min="9" max="10" width="13" style="1" customWidth="1"/>
    <col min="11" max="11" width="22" style="1" customWidth="1"/>
    <col min="12" max="13" width="13" style="1" customWidth="1"/>
    <col min="14" max="14" width="22" style="1" customWidth="1"/>
    <col min="15" max="16" width="13" style="1" customWidth="1"/>
    <col min="17" max="17" width="22" style="1" customWidth="1"/>
    <col min="18" max="18" width="13" style="1" customWidth="1"/>
    <col min="19" max="19" width="22" style="1" customWidth="1"/>
    <col min="20" max="20" width="13" style="1" customWidth="1"/>
    <col min="21" max="21" width="11.69921875" style="272" customWidth="1"/>
    <col min="22" max="22" width="3.296875" style="272" customWidth="1"/>
    <col min="23" max="23" width="2.09765625" style="1" customWidth="1"/>
    <col min="24" max="24" width="9.09765625" style="1" customWidth="1"/>
    <col min="25" max="16384" width="9.09765625" style="1"/>
  </cols>
  <sheetData>
    <row r="1" spans="1:24" x14ac:dyDescent="0.3">
      <c r="B1" s="130" t="s">
        <v>232</v>
      </c>
    </row>
    <row r="3" spans="1:24" ht="105.7" customHeight="1" x14ac:dyDescent="0.3">
      <c r="B3" s="100" t="s">
        <v>171</v>
      </c>
      <c r="C3" s="100" t="s">
        <v>170</v>
      </c>
      <c r="D3" s="100" t="s">
        <v>160</v>
      </c>
      <c r="E3" s="100" t="s">
        <v>153</v>
      </c>
      <c r="F3" s="100" t="s">
        <v>159</v>
      </c>
      <c r="G3" s="100" t="s">
        <v>154</v>
      </c>
      <c r="H3" s="100" t="s">
        <v>169</v>
      </c>
      <c r="I3" s="100" t="s">
        <v>155</v>
      </c>
      <c r="J3" s="100" t="s">
        <v>221</v>
      </c>
      <c r="K3" s="100" t="s">
        <v>164</v>
      </c>
      <c r="L3" s="100" t="s">
        <v>156</v>
      </c>
      <c r="M3" s="100" t="s">
        <v>222</v>
      </c>
      <c r="N3" s="100" t="s">
        <v>161</v>
      </c>
      <c r="O3" s="100" t="s">
        <v>157</v>
      </c>
      <c r="P3" s="100" t="s">
        <v>223</v>
      </c>
      <c r="Q3" s="100" t="s">
        <v>162</v>
      </c>
      <c r="R3" s="100" t="s">
        <v>158</v>
      </c>
      <c r="S3" s="100" t="s">
        <v>163</v>
      </c>
      <c r="T3" s="100" t="s">
        <v>173</v>
      </c>
      <c r="U3" s="100"/>
    </row>
    <row r="4" spans="1:24" ht="3.05" customHeight="1" x14ac:dyDescent="0.3">
      <c r="F4" s="102"/>
      <c r="G4" s="102"/>
      <c r="H4" s="102"/>
      <c r="I4" s="102"/>
      <c r="J4" s="102"/>
      <c r="K4" s="102"/>
      <c r="L4" s="102"/>
      <c r="M4" s="102"/>
      <c r="N4" s="102"/>
      <c r="O4" s="102"/>
      <c r="P4" s="102"/>
      <c r="Q4" s="102"/>
      <c r="R4" s="102"/>
      <c r="S4" s="102"/>
      <c r="T4" s="102"/>
    </row>
    <row r="5" spans="1:24" ht="18.75" customHeight="1" x14ac:dyDescent="0.3">
      <c r="A5" s="101" t="str">
        <f>Collation!A6</f>
        <v>Example</v>
      </c>
      <c r="B5" s="142" t="s">
        <v>166</v>
      </c>
      <c r="C5" s="143">
        <v>0</v>
      </c>
      <c r="D5" s="142" t="s">
        <v>166</v>
      </c>
      <c r="E5" s="143">
        <v>0</v>
      </c>
      <c r="F5" s="144" t="s">
        <v>167</v>
      </c>
      <c r="G5" s="143">
        <v>-204</v>
      </c>
      <c r="H5" s="145" t="s">
        <v>174</v>
      </c>
      <c r="I5" s="145" t="s">
        <v>168</v>
      </c>
      <c r="J5" s="145"/>
      <c r="K5" s="146"/>
      <c r="L5" s="146"/>
      <c r="M5" s="146"/>
      <c r="N5" s="146"/>
      <c r="O5" s="146"/>
      <c r="P5" s="146"/>
      <c r="Q5" s="146"/>
      <c r="R5" s="146"/>
      <c r="S5" s="146"/>
      <c r="T5" s="146"/>
      <c r="U5" s="146"/>
      <c r="X5" s="103">
        <f>COUNTIF(B5:V5,"correct")</f>
        <v>2</v>
      </c>
    </row>
    <row r="6" spans="1:24" ht="18.75" customHeight="1" x14ac:dyDescent="0.3">
      <c r="A6" s="101"/>
      <c r="D6" s="139"/>
      <c r="E6" s="139"/>
      <c r="F6" s="140"/>
      <c r="G6" s="140"/>
      <c r="H6" s="140"/>
      <c r="I6" s="140"/>
      <c r="J6" s="140"/>
      <c r="K6" s="140"/>
      <c r="L6" s="140"/>
      <c r="M6" s="140"/>
      <c r="N6" s="140"/>
      <c r="O6" s="140"/>
      <c r="P6" s="140"/>
      <c r="Q6" s="140"/>
      <c r="R6" s="140"/>
      <c r="S6" s="140"/>
      <c r="T6" s="140"/>
      <c r="X6" s="103"/>
    </row>
    <row r="7" spans="1:24" ht="18.75" customHeight="1" x14ac:dyDescent="0.3">
      <c r="A7" s="153" t="s">
        <v>109</v>
      </c>
      <c r="D7" s="96"/>
      <c r="E7" s="96"/>
      <c r="F7" s="141"/>
      <c r="G7" s="141"/>
      <c r="H7" s="141"/>
      <c r="I7" s="141"/>
      <c r="J7" s="141"/>
      <c r="K7" s="141"/>
      <c r="L7" s="141"/>
      <c r="M7" s="141"/>
      <c r="N7" s="141"/>
      <c r="O7" s="141"/>
      <c r="P7" s="141"/>
      <c r="Q7" s="141"/>
      <c r="R7" s="141"/>
      <c r="S7" s="141"/>
      <c r="T7" s="141"/>
      <c r="X7" s="104"/>
    </row>
    <row r="8" spans="1:24" x14ac:dyDescent="0.3">
      <c r="A8" s="154" t="str">
        <f>Collation!A8</f>
        <v>NHS Ayrshire and Arran</v>
      </c>
      <c r="B8" s="147" t="str">
        <f>IF(ISBLANK(Collation!E8)," ",IF(SUM(Collation!C8:D8)=Collation!E8,"Correct","Does not match"))</f>
        <v>Correct</v>
      </c>
      <c r="C8" s="148">
        <f>IF(ISBLANK(Collation!E8)," ",SUM(Collation!C8:D8)-Collation!E8)</f>
        <v>0</v>
      </c>
      <c r="D8" s="149" t="str">
        <f>IF(ISBLANK(Collation!O8)," ",IF(SUM(Collation!G8:N8)=Collation!O8,"Correct","Does not match"))</f>
        <v>Correct</v>
      </c>
      <c r="E8" s="148">
        <f>IF(ISBLANK(Collation!O8)," ",SUM(Collation!G8:N8)-Collation!O8)</f>
        <v>0</v>
      </c>
      <c r="F8" s="149" t="str">
        <f>IF(ISBLANK(Collation!U8)," ",IF(SUM(Collation!R8:T8)=Collation!U8,"Correct","Does not match"))</f>
        <v>Correct</v>
      </c>
      <c r="G8" s="148">
        <f>IF(ISBLANK(Collation!U8)," ",SUM(Collation!R8:T8)-Collation!U8)</f>
        <v>0</v>
      </c>
      <c r="H8" s="149" t="str">
        <f>IF(ISBLANK(Collation!Z8)," ",IF(SUM(Collation!W8:Y8)=Collation!Z8,"Correct","Does not match"))</f>
        <v>Correct</v>
      </c>
      <c r="I8" s="148">
        <f>IF(ISBLANK(Collation!Z8)," ",SUM(Collation!W8:Y8)-Collation!Z8)</f>
        <v>0</v>
      </c>
      <c r="J8" s="149" t="str">
        <f>IF(ISBLANK(Collation!R8)," ",IF(SUM(Collation!R8)=Collation!Z8,"Correct","Does not match"))</f>
        <v>Correct</v>
      </c>
      <c r="K8" s="149" t="str">
        <f>IF(ISBLANK(Collation!AD8)," ",IF(SUM(Collation!AA8:AC8)=Collation!AD8,"Correct","Does not match"))</f>
        <v>Correct</v>
      </c>
      <c r="L8" s="148">
        <f>IF(ISBLANK(Collation!AD8)," ",SUM(Collation!AA8:AC8)-Collation!AD8)</f>
        <v>0</v>
      </c>
      <c r="M8" s="149" t="str">
        <f>IF(ISBLANK(Collation!S8)," ",IF(SUM(Collation!S8)=Collation!AD8,"Correct","Does not match"))</f>
        <v>Correct</v>
      </c>
      <c r="N8" s="149" t="str">
        <f>IF(ISBLANK(Collation!AH8)," ",IF(SUM(Collation!AE8:AG8)=Collation!AH8,"Correct","Does not match"))</f>
        <v>Correct</v>
      </c>
      <c r="O8" s="148">
        <f>IF(ISBLANK(Collation!AH8)," ",SUM(Collation!AE8:AG8)-Collation!AH8)</f>
        <v>0</v>
      </c>
      <c r="P8" s="149" t="str">
        <f>IF(ISBLANK(Collation!T8)," ",IF(SUM(Collation!T8)=Collation!AH8,"Correct","Does not match"))</f>
        <v>Correct</v>
      </c>
      <c r="Q8" s="149" t="str">
        <f>IF(ISBLANK(Collation!AQ8)," ",IF(SUM(Collation!AN8:AP8)=Collation!AQ8,"Correct","Does not match"))</f>
        <v>Correct</v>
      </c>
      <c r="R8" s="148">
        <f>IF(ISBLANK(Collation!AQ8)," ",SUM(Collation!AN8:AP8)-Collation!AQ8)</f>
        <v>0</v>
      </c>
      <c r="S8" s="149" t="str">
        <f>IF(ISBLANK(Collation!AU8)," ",IF(SUM(Collation!AS8:AT8)=Collation!AU8,"Correct","Does not match"))</f>
        <v>Correct</v>
      </c>
      <c r="T8" s="148">
        <f>IF(ISBLANK(Collation!AU8)," ",SUM(Collation!AS8:AT8)-Collation!AU8)</f>
        <v>0</v>
      </c>
      <c r="U8" s="149"/>
      <c r="X8" s="103">
        <f t="shared" ref="X8:X22" si="0">COUNTIF(B8:V8,"correct")</f>
        <v>11</v>
      </c>
    </row>
    <row r="9" spans="1:24" x14ac:dyDescent="0.3">
      <c r="A9" s="155" t="str">
        <f>Collation!A9</f>
        <v>NHS Borders</v>
      </c>
      <c r="B9" s="150" t="str">
        <f>IF(ISBLANK(Collation!E9)," ",IF(SUM(Collation!C9:D9)=Collation!E9,"Correct","Does not match"))</f>
        <v>Correct</v>
      </c>
      <c r="C9" s="151">
        <f>IF(ISBLANK(Collation!E9)," ",SUM(Collation!C9:D9)-Collation!E9)</f>
        <v>0</v>
      </c>
      <c r="D9" s="152" t="str">
        <f>IF(ISBLANK(Collation!O9)," ",IF(SUM(Collation!G9:N9)=Collation!O9,"Correct","Does not match"))</f>
        <v>Correct</v>
      </c>
      <c r="E9" s="151">
        <f>IF(ISBLANK(Collation!O9)," ",SUM(Collation!G9:N9)-Collation!O9)</f>
        <v>0</v>
      </c>
      <c r="F9" s="152" t="str">
        <f>IF(ISBLANK(Collation!U9)," ",IF(SUM(Collation!R9:T9)=Collation!U9,"Correct","Does not match"))</f>
        <v>Correct</v>
      </c>
      <c r="G9" s="151">
        <f>IF(ISBLANK(Collation!U9)," ",SUM(Collation!R9:T9)-Collation!U9)</f>
        <v>0</v>
      </c>
      <c r="H9" s="152" t="str">
        <f>IF(ISBLANK(Collation!Z9)," ",IF(SUM(Collation!W9:Y9)=Collation!Z9,"Correct","Does not match"))</f>
        <v>Correct</v>
      </c>
      <c r="I9" s="151">
        <f>IF(ISBLANK(Collation!Z9)," ",SUM(Collation!W9:Y9)-Collation!Z9)</f>
        <v>0</v>
      </c>
      <c r="J9" s="152" t="str">
        <f>IF(ISBLANK(Collation!R9)," ",IF(SUM(Collation!R9)=Collation!Z9,"Correct","Does not match"))</f>
        <v>Correct</v>
      </c>
      <c r="K9" s="152" t="str">
        <f>IF(ISBLANK(Collation!AD9)," ",IF(SUM(Collation!AA9:AC9)=Collation!AD9,"Correct","Does not match"))</f>
        <v>Correct</v>
      </c>
      <c r="L9" s="151">
        <f>IF(ISBLANK(Collation!AD9)," ",SUM(Collation!AA9:AC9)-Collation!AD9)</f>
        <v>0</v>
      </c>
      <c r="M9" s="152" t="str">
        <f>IF(ISBLANK(Collation!S9)," ",IF(SUM(Collation!S9)=Collation!AD9,"Correct","Does not match"))</f>
        <v>Correct</v>
      </c>
      <c r="N9" s="152" t="str">
        <f>IF(ISBLANK(Collation!AH9)," ",IF(SUM(Collation!AE9:AG9)=Collation!AH9,"Correct","Does not match"))</f>
        <v>Correct</v>
      </c>
      <c r="O9" s="151">
        <f>IF(ISBLANK(Collation!AH9)," ",SUM(Collation!AE9:AG9)-Collation!AH9)</f>
        <v>0</v>
      </c>
      <c r="P9" s="152" t="str">
        <f>IF(ISBLANK(Collation!T9)," ",IF(SUM(Collation!T9)=Collation!AH9,"Correct","Does not match"))</f>
        <v>Correct</v>
      </c>
      <c r="Q9" s="152" t="str">
        <f>IF(ISBLANK(Collation!AQ9)," ",IF(SUM(Collation!AN9:AP9)=Collation!AQ9,"Correct","Does not match"))</f>
        <v>Correct</v>
      </c>
      <c r="R9" s="151">
        <f>IF(ISBLANK(Collation!AQ9)," ",SUM(Collation!AN9:AP9)-Collation!AQ9)</f>
        <v>0</v>
      </c>
      <c r="S9" s="152" t="str">
        <f>IF(ISBLANK(Collation!AU9)," ",IF(SUM(Collation!AS9:AT9)=Collation!AU9,"Correct","Does not match"))</f>
        <v>Correct</v>
      </c>
      <c r="T9" s="151">
        <f>IF(ISBLANK(Collation!AU9)," ",SUM(Collation!AS9:AT9)-Collation!AU9)</f>
        <v>0</v>
      </c>
      <c r="U9" s="149"/>
      <c r="X9" s="103">
        <f t="shared" si="0"/>
        <v>11</v>
      </c>
    </row>
    <row r="10" spans="1:24" x14ac:dyDescent="0.3">
      <c r="A10" s="155" t="str">
        <f>Collation!A10</f>
        <v>NHS Dumfries and Galloway</v>
      </c>
      <c r="B10" s="150" t="str">
        <f>IF(ISBLANK(Collation!E10)," ",IF(SUM(Collation!C10:D10)=Collation!E10,"Correct","Does not match"))</f>
        <v>Correct</v>
      </c>
      <c r="C10" s="151">
        <f>IF(ISBLANK(Collation!E10)," ",SUM(Collation!C10:D10)-Collation!E10)</f>
        <v>0</v>
      </c>
      <c r="D10" s="152" t="str">
        <f>IF(ISBLANK(Collation!O10)," ",IF(SUM(Collation!G10:N10)=Collation!O10,"Correct","Does not match"))</f>
        <v>Correct</v>
      </c>
      <c r="E10" s="151">
        <f>IF(ISBLANK(Collation!O10)," ",SUM(Collation!G10:N10)-Collation!O10)</f>
        <v>0</v>
      </c>
      <c r="F10" s="152" t="str">
        <f>IF(ISBLANK(Collation!U10)," ",IF(SUM(Collation!R10:T10)=Collation!U10,"Correct","Does not match"))</f>
        <v>Correct</v>
      </c>
      <c r="G10" s="151">
        <f>IF(ISBLANK(Collation!U10)," ",SUM(Collation!R10:T10)-Collation!U10)</f>
        <v>0</v>
      </c>
      <c r="H10" s="152" t="str">
        <f>IF(ISBLANK(Collation!Z10)," ",IF(SUM(Collation!W10:Y10)=Collation!Z10,"Correct","Does not match"))</f>
        <v>Correct</v>
      </c>
      <c r="I10" s="151">
        <f>IF(ISBLANK(Collation!Z10)," ",SUM(Collation!W10:Y10)-Collation!Z10)</f>
        <v>0</v>
      </c>
      <c r="J10" s="152" t="str">
        <f>IF(ISBLANK(Collation!R10)," ",IF(SUM(Collation!R10)=Collation!Z10,"Correct","Does not match"))</f>
        <v>Correct</v>
      </c>
      <c r="K10" s="152" t="str">
        <f>IF(ISBLANK(Collation!AD10)," ",IF(SUM(Collation!AA10:AC10)=Collation!AD10,"Correct","Does not match"))</f>
        <v>Correct</v>
      </c>
      <c r="L10" s="151">
        <f>IF(ISBLANK(Collation!AD10)," ",SUM(Collation!AA10:AC10)-Collation!AD10)</f>
        <v>0</v>
      </c>
      <c r="M10" s="152" t="str">
        <f>IF(ISBLANK(Collation!S10)," ",IF(SUM(Collation!S10)=Collation!AD10,"Correct","Does not match"))</f>
        <v>Correct</v>
      </c>
      <c r="N10" s="152" t="str">
        <f>IF(ISBLANK(Collation!AH10)," ",IF(SUM(Collation!AE10:AG10)=Collation!AH10,"Correct","Does not match"))</f>
        <v>Correct</v>
      </c>
      <c r="O10" s="151">
        <f>IF(ISBLANK(Collation!AH10)," ",SUM(Collation!AE10:AG10)-Collation!AH10)</f>
        <v>0</v>
      </c>
      <c r="P10" s="152" t="str">
        <f>IF(ISBLANK(Collation!T10)," ",IF(SUM(Collation!T10)=Collation!AH10,"Correct","Does not match"))</f>
        <v>Correct</v>
      </c>
      <c r="Q10" s="152" t="str">
        <f>IF(ISBLANK(Collation!AQ10)," ",IF(SUM(Collation!AN10:AP10)=Collation!AQ10,"Correct","Does not match"))</f>
        <v>Correct</v>
      </c>
      <c r="R10" s="151">
        <f>IF(ISBLANK(Collation!AQ10)," ",SUM(Collation!AN10:AP10)-Collation!AQ10)</f>
        <v>0</v>
      </c>
      <c r="S10" s="152" t="str">
        <f>IF(ISBLANK(Collation!AU10)," ",IF(SUM(Collation!AS10:AT10)=Collation!AU10,"Correct","Does not match"))</f>
        <v>Correct</v>
      </c>
      <c r="T10" s="151">
        <f>IF(ISBLANK(Collation!AU10)," ",SUM(Collation!AS10:AT10)-Collation!AU10)</f>
        <v>0</v>
      </c>
      <c r="U10" s="149"/>
      <c r="X10" s="103">
        <f t="shared" si="0"/>
        <v>11</v>
      </c>
    </row>
    <row r="11" spans="1:24" x14ac:dyDescent="0.3">
      <c r="A11" s="155" t="str">
        <f>Collation!A11</f>
        <v>NHS Fife</v>
      </c>
      <c r="B11" s="150" t="str">
        <f>IF(ISBLANK(Collation!E11)," ",IF(SUM(Collation!C11:D11)=Collation!E11,"Correct","Does not match"))</f>
        <v>Correct</v>
      </c>
      <c r="C11" s="151">
        <f>IF(ISBLANK(Collation!E11)," ",SUM(Collation!C11:D11)-Collation!E11)</f>
        <v>0</v>
      </c>
      <c r="D11" s="152" t="str">
        <f>IF(ISBLANK(Collation!O11)," ",IF(SUM(Collation!G11:N11)=Collation!O11,"Correct","Does not match"))</f>
        <v>Correct</v>
      </c>
      <c r="E11" s="151">
        <f>IF(ISBLANK(Collation!O11)," ",SUM(Collation!G11:N11)-Collation!O11)</f>
        <v>0</v>
      </c>
      <c r="F11" s="152" t="str">
        <f>IF(ISBLANK(Collation!U11)," ",IF(SUM(Collation!R11:T11)=Collation!U11,"Correct","Does not match"))</f>
        <v>Correct</v>
      </c>
      <c r="G11" s="151">
        <f>IF(ISBLANK(Collation!U11)," ",SUM(Collation!R11:T11)-Collation!U11)</f>
        <v>0</v>
      </c>
      <c r="H11" s="152" t="str">
        <f>IF(ISBLANK(Collation!Z11)," ",IF(SUM(Collation!W11:Y11)=Collation!Z11,"Correct","Does not match"))</f>
        <v>Correct</v>
      </c>
      <c r="I11" s="151">
        <f>IF(ISBLANK(Collation!Z11)," ",SUM(Collation!W11:Y11)-Collation!Z11)</f>
        <v>0</v>
      </c>
      <c r="J11" s="152" t="str">
        <f>IF(ISBLANK(Collation!R11)," ",IF(SUM(Collation!R11)=Collation!Z11,"Correct","Does not match"))</f>
        <v>Correct</v>
      </c>
      <c r="K11" s="152" t="str">
        <f>IF(ISBLANK(Collation!AD11)," ",IF(SUM(Collation!AA11:AC11)=Collation!AD11,"Correct","Does not match"))</f>
        <v>Correct</v>
      </c>
      <c r="L11" s="151">
        <f>IF(ISBLANK(Collation!AD11)," ",SUM(Collation!AA11:AC11)-Collation!AD11)</f>
        <v>0</v>
      </c>
      <c r="M11" s="152" t="str">
        <f>IF(ISBLANK(Collation!S11)," ",IF(SUM(Collation!S11)=Collation!AD11,"Correct","Does not match"))</f>
        <v>Correct</v>
      </c>
      <c r="N11" s="152" t="str">
        <f>IF(ISBLANK(Collation!AH11)," ",IF(SUM(Collation!AE11:AG11)=Collation!AH11,"Correct","Does not match"))</f>
        <v>Correct</v>
      </c>
      <c r="O11" s="151">
        <f>IF(ISBLANK(Collation!AH11)," ",SUM(Collation!AE11:AG11)-Collation!AH11)</f>
        <v>0</v>
      </c>
      <c r="P11" s="152" t="str">
        <f>IF(ISBLANK(Collation!T11)," ",IF(SUM(Collation!T11)=Collation!AH11,"Correct","Does not match"))</f>
        <v>Correct</v>
      </c>
      <c r="Q11" s="152" t="str">
        <f>IF(ISBLANK(Collation!AQ11)," ",IF(SUM(Collation!AN11:AP11)=Collation!AQ11,"Correct","Does not match"))</f>
        <v>Correct</v>
      </c>
      <c r="R11" s="151">
        <f>IF(ISBLANK(Collation!AQ11)," ",SUM(Collation!AN11:AP11)-Collation!AQ11)</f>
        <v>0</v>
      </c>
      <c r="S11" s="152" t="str">
        <f>IF(ISBLANK(Collation!AU11)," ",IF(SUM(Collation!AS11:AT11)=Collation!AU11,"Correct","Does not match"))</f>
        <v>Correct</v>
      </c>
      <c r="T11" s="151">
        <f>IF(ISBLANK(Collation!AU11)," ",SUM(Collation!AS11:AT11)-Collation!AU11)</f>
        <v>0</v>
      </c>
      <c r="U11" s="149"/>
      <c r="X11" s="103">
        <f t="shared" si="0"/>
        <v>11</v>
      </c>
    </row>
    <row r="12" spans="1:24" x14ac:dyDescent="0.3">
      <c r="A12" s="155" t="str">
        <f>Collation!A12</f>
        <v>NHS Forth Valley</v>
      </c>
      <c r="B12" s="150" t="str">
        <f>IF(ISBLANK(Collation!E12)," ",IF(SUM(Collation!C12:D12)=Collation!E12,"Correct","Does not match"))</f>
        <v>Correct</v>
      </c>
      <c r="C12" s="151">
        <f>IF(ISBLANK(Collation!E12)," ",SUM(Collation!C12:D12)-Collation!E12)</f>
        <v>0</v>
      </c>
      <c r="D12" s="152" t="str">
        <f>IF(ISBLANK(Collation!O12)," ",IF(SUM(Collation!G12:N12)=Collation!O12,"Correct","Does not match"))</f>
        <v>Correct</v>
      </c>
      <c r="E12" s="151">
        <f>IF(ISBLANK(Collation!O12)," ",SUM(Collation!G12:N12)-Collation!O12)</f>
        <v>0</v>
      </c>
      <c r="F12" s="152" t="str">
        <f>IF(ISBLANK(Collation!U12)," ",IF(SUM(Collation!R12:T12)=Collation!U12,"Correct","Does not match"))</f>
        <v>Correct</v>
      </c>
      <c r="G12" s="151">
        <f>IF(ISBLANK(Collation!U12)," ",SUM(Collation!R12:T12)-Collation!U12)</f>
        <v>0</v>
      </c>
      <c r="H12" s="152" t="str">
        <f>IF(ISBLANK(Collation!Z12)," ",IF(SUM(Collation!W12:Y12)=Collation!Z12,"Correct","Does not match"))</f>
        <v>Correct</v>
      </c>
      <c r="I12" s="151">
        <f>IF(ISBLANK(Collation!Z12)," ",SUM(Collation!W12:Y12)-Collation!Z12)</f>
        <v>0</v>
      </c>
      <c r="J12" s="152" t="str">
        <f>IF(ISBLANK(Collation!R12)," ",IF(SUM(Collation!R12)=Collation!Z12,"Correct","Does not match"))</f>
        <v>Correct</v>
      </c>
      <c r="K12" s="152" t="str">
        <f>IF(ISBLANK(Collation!AD12)," ",IF(SUM(Collation!AA12:AC12)=Collation!AD12,"Correct","Does not match"))</f>
        <v>Correct</v>
      </c>
      <c r="L12" s="151">
        <f>IF(ISBLANK(Collation!AD12)," ",SUM(Collation!AA12:AC12)-Collation!AD12)</f>
        <v>0</v>
      </c>
      <c r="M12" s="152" t="str">
        <f>IF(ISBLANK(Collation!S12)," ",IF(SUM(Collation!S12)=Collation!AD12,"Correct","Does not match"))</f>
        <v>Correct</v>
      </c>
      <c r="N12" s="152" t="str">
        <f>IF(ISBLANK(Collation!AH12)," ",IF(SUM(Collation!AE12:AG12)=Collation!AH12,"Correct","Does not match"))</f>
        <v>Correct</v>
      </c>
      <c r="O12" s="151">
        <f>IF(ISBLANK(Collation!AH12)," ",SUM(Collation!AE12:AG12)-Collation!AH12)</f>
        <v>0</v>
      </c>
      <c r="P12" s="152" t="str">
        <f>IF(ISBLANK(Collation!T12)," ",IF(SUM(Collation!T12)=Collation!AH12,"Correct","Does not match"))</f>
        <v>Correct</v>
      </c>
      <c r="Q12" s="152" t="str">
        <f>IF(ISBLANK(Collation!AQ12)," ",IF(SUM(Collation!AN12:AP12)=Collation!AQ12,"Correct","Does not match"))</f>
        <v>Correct</v>
      </c>
      <c r="R12" s="151">
        <f>IF(ISBLANK(Collation!AQ12)," ",SUM(Collation!AN12:AP12)-Collation!AQ12)</f>
        <v>0</v>
      </c>
      <c r="S12" s="152" t="str">
        <f>IF(ISBLANK(Collation!AU12)," ",IF(SUM(Collation!AS12:AT12)=Collation!AU12,"Correct","Does not match"))</f>
        <v>Correct</v>
      </c>
      <c r="T12" s="151">
        <f>IF(ISBLANK(Collation!AU12)," ",SUM(Collation!AS12:AT12)-Collation!AU12)</f>
        <v>0</v>
      </c>
      <c r="U12" s="149"/>
      <c r="X12" s="103">
        <f t="shared" si="0"/>
        <v>11</v>
      </c>
    </row>
    <row r="13" spans="1:24" x14ac:dyDescent="0.3">
      <c r="A13" s="155" t="str">
        <f>Collation!A13</f>
        <v>NHS Grampian</v>
      </c>
      <c r="B13" s="150" t="str">
        <f>IF(ISBLANK(Collation!E13)," ",IF(SUM(Collation!C13:D13)=Collation!E13,"Correct","Does not match"))</f>
        <v>Correct</v>
      </c>
      <c r="C13" s="151">
        <f>IF(ISBLANK(Collation!E13)," ",SUM(Collation!C13:D13)-Collation!E13)</f>
        <v>0</v>
      </c>
      <c r="D13" s="152" t="str">
        <f>IF(ISBLANK(Collation!O13)," ",IF(SUM(Collation!G13:N13)=Collation!O13,"Correct","Does not match"))</f>
        <v>Correct</v>
      </c>
      <c r="E13" s="151">
        <f>IF(ISBLANK(Collation!O13)," ",SUM(Collation!G13:N13)-Collation!O13)</f>
        <v>0</v>
      </c>
      <c r="F13" s="152" t="str">
        <f>IF(ISBLANK(Collation!U13)," ",IF(SUM(Collation!R13:T13)=Collation!U13,"Correct","Does not match"))</f>
        <v>Correct</v>
      </c>
      <c r="G13" s="151">
        <f>IF(ISBLANK(Collation!U13)," ",SUM(Collation!R13:T13)-Collation!U13)</f>
        <v>0</v>
      </c>
      <c r="H13" s="152" t="str">
        <f>IF(ISBLANK(Collation!Z13)," ",IF(SUM(Collation!W13:Y13)=Collation!Z13,"Correct","Does not match"))</f>
        <v>Correct</v>
      </c>
      <c r="I13" s="151">
        <f>IF(ISBLANK(Collation!Z13)," ",SUM(Collation!W13:Y13)-Collation!Z13)</f>
        <v>0</v>
      </c>
      <c r="J13" s="152" t="str">
        <f>IF(ISBLANK(Collation!R13)," ",IF(SUM(Collation!R13)=Collation!Z13,"Correct","Does not match"))</f>
        <v>Correct</v>
      </c>
      <c r="K13" s="152" t="str">
        <f>IF(ISBLANK(Collation!AD13)," ",IF(SUM(Collation!AA13:AC13)=Collation!AD13,"Correct","Does not match"))</f>
        <v>Correct</v>
      </c>
      <c r="L13" s="151">
        <f>IF(ISBLANK(Collation!AD13)," ",SUM(Collation!AA13:AC13)-Collation!AD13)</f>
        <v>0</v>
      </c>
      <c r="M13" s="152" t="str">
        <f>IF(ISBLANK(Collation!S13)," ",IF(SUM(Collation!S13)=Collation!AD13,"Correct","Does not match"))</f>
        <v>Correct</v>
      </c>
      <c r="N13" s="152" t="str">
        <f>IF(ISBLANK(Collation!AH13)," ",IF(SUM(Collation!AE13:AG13)=Collation!AH13,"Correct","Does not match"))</f>
        <v>Correct</v>
      </c>
      <c r="O13" s="151">
        <f>IF(ISBLANK(Collation!AH13)," ",SUM(Collation!AE13:AG13)-Collation!AH13)</f>
        <v>0</v>
      </c>
      <c r="P13" s="152" t="str">
        <f>IF(ISBLANK(Collation!T13)," ",IF(SUM(Collation!T13)=Collation!AH13,"Correct","Does not match"))</f>
        <v>Correct</v>
      </c>
      <c r="Q13" s="152" t="str">
        <f>IF(ISBLANK(Collation!AQ13)," ",IF(SUM(Collation!AN13:AP13)=Collation!AQ13,"Correct","Does not match"))</f>
        <v>Correct</v>
      </c>
      <c r="R13" s="151">
        <f>IF(ISBLANK(Collation!AQ13)," ",SUM(Collation!AN13:AP13)-Collation!AQ13)</f>
        <v>0</v>
      </c>
      <c r="S13" s="152" t="str">
        <f>IF(ISBLANK(Collation!AU13)," ",IF(SUM(Collation!AS13:AT13)=Collation!AU13,"Correct","Does not match"))</f>
        <v>Correct</v>
      </c>
      <c r="T13" s="151">
        <f>IF(ISBLANK(Collation!AU13)," ",SUM(Collation!AS13:AT13)-Collation!AU13)</f>
        <v>0</v>
      </c>
      <c r="U13" s="149"/>
      <c r="X13" s="103">
        <f t="shared" si="0"/>
        <v>11</v>
      </c>
    </row>
    <row r="14" spans="1:24" x14ac:dyDescent="0.3">
      <c r="A14" s="155" t="str">
        <f>Collation!A14</f>
        <v>NHS Greater Glasgow and Clyde</v>
      </c>
      <c r="B14" s="150" t="str">
        <f>IF(ISBLANK(Collation!E14)," ",IF(SUM(Collation!C14:D14)=Collation!E14,"Correct","Does not match"))</f>
        <v>Correct</v>
      </c>
      <c r="C14" s="151">
        <f>IF(ISBLANK(Collation!E14)," ",SUM(Collation!C14:D14)-Collation!E14)</f>
        <v>0</v>
      </c>
      <c r="D14" s="152" t="str">
        <f>IF(ISBLANK(Collation!O14)," ",IF(SUM(Collation!G14:N14)=Collation!O14,"Correct","Does not match"))</f>
        <v>Correct</v>
      </c>
      <c r="E14" s="151">
        <f>IF(ISBLANK(Collation!O14)," ",SUM(Collation!G14:N14)-Collation!O14)</f>
        <v>0</v>
      </c>
      <c r="F14" s="152" t="str">
        <f>IF(ISBLANK(Collation!U14)," ",IF(SUM(Collation!R14:T14)=Collation!U14,"Correct","Does not match"))</f>
        <v>Correct</v>
      </c>
      <c r="G14" s="151">
        <f>IF(ISBLANK(Collation!U14)," ",SUM(Collation!R14:T14)-Collation!U14)</f>
        <v>0</v>
      </c>
      <c r="H14" s="152" t="str">
        <f>IF(ISBLANK(Collation!Z14)," ",IF(SUM(Collation!W14:Y14)=Collation!Z14,"Correct","Does not match"))</f>
        <v>Correct</v>
      </c>
      <c r="I14" s="151">
        <f>IF(ISBLANK(Collation!Z14)," ",SUM(Collation!W14:Y14)-Collation!Z14)</f>
        <v>0</v>
      </c>
      <c r="J14" s="152" t="str">
        <f>IF(ISBLANK(Collation!R14)," ",IF(SUM(Collation!R14)=Collation!Z14,"Correct","Does not match"))</f>
        <v>Correct</v>
      </c>
      <c r="K14" s="152" t="str">
        <f>IF(ISBLANK(Collation!AD14)," ",IF(SUM(Collation!AA14:AC14)=Collation!AD14,"Correct","Does not match"))</f>
        <v>Correct</v>
      </c>
      <c r="L14" s="151">
        <f>IF(ISBLANK(Collation!AD14)," ",SUM(Collation!AA14:AC14)-Collation!AD14)</f>
        <v>0</v>
      </c>
      <c r="M14" s="152" t="str">
        <f>IF(ISBLANK(Collation!S14)," ",IF(SUM(Collation!S14)=Collation!AD14,"Correct","Does not match"))</f>
        <v>Correct</v>
      </c>
      <c r="N14" s="152" t="str">
        <f>IF(ISBLANK(Collation!AH14)," ",IF(SUM(Collation!AE14:AG14)=Collation!AH14,"Correct","Does not match"))</f>
        <v>Correct</v>
      </c>
      <c r="O14" s="151">
        <f>IF(ISBLANK(Collation!AH14)," ",SUM(Collation!AE14:AG14)-Collation!AH14)</f>
        <v>0</v>
      </c>
      <c r="P14" s="152" t="str">
        <f>IF(ISBLANK(Collation!T14)," ",IF(SUM(Collation!T14)=Collation!AH14,"Correct","Does not match"))</f>
        <v>Correct</v>
      </c>
      <c r="Q14" s="152" t="str">
        <f>IF(ISBLANK(Collation!AQ14)," ",IF(SUM(Collation!AN14:AP14)=Collation!AQ14,"Correct","Does not match"))</f>
        <v>Correct</v>
      </c>
      <c r="R14" s="151">
        <f>IF(ISBLANK(Collation!AQ14)," ",SUM(Collation!AN14:AP14)-Collation!AQ14)</f>
        <v>0</v>
      </c>
      <c r="S14" s="152" t="str">
        <f>IF(ISBLANK(Collation!AU14)," ",IF(SUM(Collation!AS14:AT14)=Collation!AU14,"Correct","Does not match"))</f>
        <v>Correct</v>
      </c>
      <c r="T14" s="151">
        <f>IF(ISBLANK(Collation!AU14)," ",SUM(Collation!AS14:AT14)-Collation!AU14)</f>
        <v>0</v>
      </c>
      <c r="U14" s="149"/>
      <c r="X14" s="103">
        <f t="shared" si="0"/>
        <v>11</v>
      </c>
    </row>
    <row r="15" spans="1:24" x14ac:dyDescent="0.3">
      <c r="A15" s="155" t="str">
        <f>Collation!A15</f>
        <v>NHS Highland</v>
      </c>
      <c r="B15" s="150" t="str">
        <f>IF(ISBLANK(Collation!E15)," ",IF(SUM(Collation!C15:D15)=Collation!E15,"Correct","Does not match"))</f>
        <v>Correct</v>
      </c>
      <c r="C15" s="151">
        <f>IF(ISBLANK(Collation!E15)," ",SUM(Collation!C15:D15)-Collation!E15)</f>
        <v>0</v>
      </c>
      <c r="D15" s="152" t="str">
        <f>IF(ISBLANK(Collation!O15)," ",IF(SUM(Collation!G15:N15)=Collation!O15,"Correct","Does not match"))</f>
        <v>Correct</v>
      </c>
      <c r="E15" s="151">
        <f>IF(ISBLANK(Collation!O15)," ",SUM(Collation!G15:N15)-Collation!O15)</f>
        <v>0</v>
      </c>
      <c r="F15" s="152" t="str">
        <f>IF(ISBLANK(Collation!U15)," ",IF(SUM(Collation!R15:T15)=Collation!U15,"Correct","Does not match"))</f>
        <v>Correct</v>
      </c>
      <c r="G15" s="151">
        <f>IF(ISBLANK(Collation!U15)," ",SUM(Collation!R15:T15)-Collation!U15)</f>
        <v>0</v>
      </c>
      <c r="H15" s="152" t="str">
        <f>IF(ISBLANK(Collation!Z15)," ",IF(SUM(Collation!W15:Y15)=Collation!Z15,"Correct","Does not match"))</f>
        <v>Correct</v>
      </c>
      <c r="I15" s="151">
        <f>IF(ISBLANK(Collation!Z15)," ",SUM(Collation!W15:Y15)-Collation!Z15)</f>
        <v>0</v>
      </c>
      <c r="J15" s="152" t="str">
        <f>IF(ISBLANK(Collation!R15)," ",IF(SUM(Collation!R15)=Collation!Z15,"Correct","Does not match"))</f>
        <v>Correct</v>
      </c>
      <c r="K15" s="152" t="str">
        <f>IF(ISBLANK(Collation!AD15)," ",IF(SUM(Collation!AA15:AC15)=Collation!AD15,"Correct","Does not match"))</f>
        <v>Correct</v>
      </c>
      <c r="L15" s="151">
        <f>IF(ISBLANK(Collation!AD15)," ",SUM(Collation!AA15:AC15)-Collation!AD15)</f>
        <v>0</v>
      </c>
      <c r="M15" s="152" t="str">
        <f>IF(ISBLANK(Collation!S15)," ",IF(SUM(Collation!S15)=Collation!AD15,"Correct","Does not match"))</f>
        <v>Correct</v>
      </c>
      <c r="N15" s="152" t="str">
        <f>IF(ISBLANK(Collation!AH15)," ",IF(SUM(Collation!AE15:AG15)=Collation!AH15,"Correct","Does not match"))</f>
        <v>Correct</v>
      </c>
      <c r="O15" s="151">
        <f>IF(ISBLANK(Collation!AH15)," ",SUM(Collation!AE15:AG15)-Collation!AH15)</f>
        <v>0</v>
      </c>
      <c r="P15" s="152" t="str">
        <f>IF(ISBLANK(Collation!T15)," ",IF(SUM(Collation!T15)=Collation!AH15,"Correct","Does not match"))</f>
        <v>Correct</v>
      </c>
      <c r="Q15" s="152" t="str">
        <f>IF(ISBLANK(Collation!AQ15)," ",IF(SUM(Collation!AN15:AP15)=Collation!AQ15,"Correct","Does not match"))</f>
        <v>Correct</v>
      </c>
      <c r="R15" s="151">
        <f>IF(ISBLANK(Collation!AQ15)," ",SUM(Collation!AN15:AP15)-Collation!AQ15)</f>
        <v>0</v>
      </c>
      <c r="S15" s="152" t="str">
        <f>IF(ISBLANK(Collation!AU15)," ",IF(SUM(Collation!AS15:AT15)=Collation!AU15,"Correct","Does not match"))</f>
        <v>Correct</v>
      </c>
      <c r="T15" s="151">
        <f>IF(ISBLANK(Collation!AU15)," ",SUM(Collation!AS15:AT15)-Collation!AU15)</f>
        <v>0</v>
      </c>
      <c r="U15" s="149"/>
      <c r="X15" s="103">
        <f t="shared" si="0"/>
        <v>11</v>
      </c>
    </row>
    <row r="16" spans="1:24" x14ac:dyDescent="0.3">
      <c r="A16" s="155" t="str">
        <f>Collation!A16</f>
        <v>NHS Lanarkshire</v>
      </c>
      <c r="B16" s="150" t="str">
        <f>IF(ISBLANK(Collation!E16)," ",IF(SUM(Collation!C16:D16)=Collation!E16,"Correct","Does not match"))</f>
        <v>Correct</v>
      </c>
      <c r="C16" s="151">
        <f>IF(ISBLANK(Collation!E16)," ",SUM(Collation!C16:D16)-Collation!E16)</f>
        <v>0</v>
      </c>
      <c r="D16" s="152" t="str">
        <f>IF(ISBLANK(Collation!O16)," ",IF(SUM(Collation!G16:N16)=Collation!O16,"Correct","Does not match"))</f>
        <v>Correct</v>
      </c>
      <c r="E16" s="151">
        <f>IF(ISBLANK(Collation!O16)," ",SUM(Collation!G16:N16)-Collation!O16)</f>
        <v>0</v>
      </c>
      <c r="F16" s="152" t="str">
        <f>IF(ISBLANK(Collation!U16)," ",IF(SUM(Collation!R16:T16)=Collation!U16,"Correct","Does not match"))</f>
        <v>Correct</v>
      </c>
      <c r="G16" s="151">
        <f>IF(ISBLANK(Collation!U16)," ",SUM(Collation!R16:T16)-Collation!U16)</f>
        <v>0</v>
      </c>
      <c r="H16" s="152" t="str">
        <f>IF(ISBLANK(Collation!Z16)," ",IF(SUM(Collation!W16:Y16)=Collation!Z16,"Correct","Does not match"))</f>
        <v>Correct</v>
      </c>
      <c r="I16" s="151">
        <f>IF(ISBLANK(Collation!Z16)," ",SUM(Collation!W16:Y16)-Collation!Z16)</f>
        <v>0</v>
      </c>
      <c r="J16" s="152" t="str">
        <f>IF(ISBLANK(Collation!R16)," ",IF(SUM(Collation!R16)=Collation!Z16,"Correct","Does not match"))</f>
        <v>Correct</v>
      </c>
      <c r="K16" s="152" t="str">
        <f>IF(ISBLANK(Collation!AD16)," ",IF(SUM(Collation!AA16:AC16)=Collation!AD16,"Correct","Does not match"))</f>
        <v>Correct</v>
      </c>
      <c r="L16" s="151">
        <f>IF(ISBLANK(Collation!AD16)," ",SUM(Collation!AA16:AC16)-Collation!AD16)</f>
        <v>0</v>
      </c>
      <c r="M16" s="152" t="str">
        <f>IF(ISBLANK(Collation!S16)," ",IF(SUM(Collation!S16)=Collation!AD16,"Correct","Does not match"))</f>
        <v>Correct</v>
      </c>
      <c r="N16" s="152" t="str">
        <f>IF(ISBLANK(Collation!AH16)," ",IF(SUM(Collation!AE16:AG16)=Collation!AH16,"Correct","Does not match"))</f>
        <v>Correct</v>
      </c>
      <c r="O16" s="151">
        <f>IF(ISBLANK(Collation!AH16)," ",SUM(Collation!AE16:AG16)-Collation!AH16)</f>
        <v>0</v>
      </c>
      <c r="P16" s="152" t="str">
        <f>IF(ISBLANK(Collation!T16)," ",IF(SUM(Collation!T16)=Collation!AH16,"Correct","Does not match"))</f>
        <v>Correct</v>
      </c>
      <c r="Q16" s="152" t="str">
        <f>IF(ISBLANK(Collation!AQ16)," ",IF(SUM(Collation!AN16:AP16)=Collation!AQ16,"Correct","Does not match"))</f>
        <v>Correct</v>
      </c>
      <c r="R16" s="151">
        <f>IF(ISBLANK(Collation!AQ16)," ",SUM(Collation!AN16:AP16)-Collation!AQ16)</f>
        <v>0</v>
      </c>
      <c r="S16" s="152" t="str">
        <f>IF(ISBLANK(Collation!AU16)," ",IF(SUM(Collation!AS16:AT16)=Collation!AU16,"Correct","Does not match"))</f>
        <v>Correct</v>
      </c>
      <c r="T16" s="151">
        <f>IF(ISBLANK(Collation!AU16)," ",SUM(Collation!AS16:AT16)-Collation!AU16)</f>
        <v>0</v>
      </c>
      <c r="U16" s="149"/>
      <c r="X16" s="103">
        <f t="shared" si="0"/>
        <v>11</v>
      </c>
    </row>
    <row r="17" spans="1:24" x14ac:dyDescent="0.3">
      <c r="A17" s="155" t="str">
        <f>Collation!A17</f>
        <v>NHS Lothian</v>
      </c>
      <c r="B17" s="150" t="str">
        <f>IF(ISBLANK(Collation!E17)," ",IF(SUM(Collation!C17:D17)=Collation!E17,"Correct","Does not match"))</f>
        <v>Correct</v>
      </c>
      <c r="C17" s="151">
        <f>IF(ISBLANK(Collation!E17)," ",SUM(Collation!C17:D17)-Collation!E17)</f>
        <v>0</v>
      </c>
      <c r="D17" s="152" t="str">
        <f>IF(ISBLANK(Collation!O17)," ",IF(SUM(Collation!G17:N17)=Collation!O17,"Correct","Does not match"))</f>
        <v>Correct</v>
      </c>
      <c r="E17" s="151">
        <f>IF(ISBLANK(Collation!O17)," ",SUM(Collation!G17:N17)-Collation!O17)</f>
        <v>0</v>
      </c>
      <c r="F17" s="152" t="str">
        <f>IF(ISBLANK(Collation!U17)," ",IF(SUM(Collation!R17:T17)=Collation!U17,"Correct","Does not match"))</f>
        <v>Correct</v>
      </c>
      <c r="G17" s="151">
        <f>IF(ISBLANK(Collation!U17)," ",SUM(Collation!R17:T17)-Collation!U17)</f>
        <v>0</v>
      </c>
      <c r="H17" s="152" t="str">
        <f>IF(ISBLANK(Collation!Z17)," ",IF(SUM(Collation!W17:Y17)=Collation!Z17,"Correct","Does not match"))</f>
        <v>Correct</v>
      </c>
      <c r="I17" s="151">
        <f>IF(ISBLANK(Collation!Z17)," ",SUM(Collation!W17:Y17)-Collation!Z17)</f>
        <v>0</v>
      </c>
      <c r="J17" s="152" t="str">
        <f>IF(ISBLANK(Collation!R17)," ",IF(SUM(Collation!R17)=Collation!Z17,"Correct","Does not match"))</f>
        <v>Correct</v>
      </c>
      <c r="K17" s="152" t="str">
        <f>IF(ISBLANK(Collation!AD17)," ",IF(SUM(Collation!AA17:AC17)=Collation!AD17,"Correct","Does not match"))</f>
        <v>Correct</v>
      </c>
      <c r="L17" s="151">
        <f>IF(ISBLANK(Collation!AD17)," ",SUM(Collation!AA17:AC17)-Collation!AD17)</f>
        <v>0</v>
      </c>
      <c r="M17" s="152" t="str">
        <f>IF(ISBLANK(Collation!S17)," ",IF(SUM(Collation!S17)=Collation!AD17,"Correct","Does not match"))</f>
        <v>Correct</v>
      </c>
      <c r="N17" s="152" t="str">
        <f>IF(ISBLANK(Collation!AH17)," ",IF(SUM(Collation!AE17:AG17)=Collation!AH17,"Correct","Does not match"))</f>
        <v>Correct</v>
      </c>
      <c r="O17" s="151">
        <f>IF(ISBLANK(Collation!AH17)," ",SUM(Collation!AE17:AG17)-Collation!AH17)</f>
        <v>0</v>
      </c>
      <c r="P17" s="152" t="str">
        <f>IF(ISBLANK(Collation!T17)," ",IF(SUM(Collation!T17)=Collation!AH17,"Correct","Does not match"))</f>
        <v>Correct</v>
      </c>
      <c r="Q17" s="152" t="str">
        <f>IF(ISBLANK(Collation!AQ17)," ",IF(SUM(Collation!AN17:AP17)=Collation!AQ17,"Correct","Does not match"))</f>
        <v>Correct</v>
      </c>
      <c r="R17" s="151">
        <f>IF(ISBLANK(Collation!AQ17)," ",SUM(Collation!AN17:AP17)-Collation!AQ17)</f>
        <v>0</v>
      </c>
      <c r="S17" s="152" t="str">
        <f>IF(ISBLANK(Collation!AU17)," ",IF(SUM(Collation!AS17:AT17)=Collation!AU17,"Correct","Does not match"))</f>
        <v>Correct</v>
      </c>
      <c r="T17" s="151">
        <f>IF(ISBLANK(Collation!AU17)," ",SUM(Collation!AS17:AT17)-Collation!AU17)</f>
        <v>0</v>
      </c>
      <c r="U17" s="149"/>
      <c r="X17" s="103">
        <f t="shared" si="0"/>
        <v>11</v>
      </c>
    </row>
    <row r="18" spans="1:24" x14ac:dyDescent="0.3">
      <c r="A18" s="155" t="str">
        <f>Collation!A18</f>
        <v>NHS Orkney</v>
      </c>
      <c r="B18" s="150" t="str">
        <f>IF(ISBLANK(Collation!E18)," ",IF(SUM(Collation!C18:D18)=Collation!E18,"Correct","Does not match"))</f>
        <v>Correct</v>
      </c>
      <c r="C18" s="151">
        <f>IF(ISBLANK(Collation!E18)," ",SUM(Collation!C18:D18)-Collation!E18)</f>
        <v>0</v>
      </c>
      <c r="D18" s="152" t="str">
        <f>IF(ISBLANK(Collation!O18)," ",IF(SUM(Collation!G18:N18)=Collation!O18,"Correct","Does not match"))</f>
        <v>Correct</v>
      </c>
      <c r="E18" s="151">
        <f>IF(ISBLANK(Collation!O18)," ",SUM(Collation!G18:N18)-Collation!O18)</f>
        <v>0</v>
      </c>
      <c r="F18" s="152" t="str">
        <f>IF(ISBLANK(Collation!U18)," ",IF(SUM(Collation!R18:T18)=Collation!U18,"Correct","Does not match"))</f>
        <v>Correct</v>
      </c>
      <c r="G18" s="151">
        <f>IF(ISBLANK(Collation!U18)," ",SUM(Collation!R18:T18)-Collation!U18)</f>
        <v>0</v>
      </c>
      <c r="H18" s="152" t="str">
        <f>IF(ISBLANK(Collation!Z18)," ",IF(SUM(Collation!W18:Y18)=Collation!Z18,"Correct","Does not match"))</f>
        <v>Correct</v>
      </c>
      <c r="I18" s="151">
        <f>IF(ISBLANK(Collation!Z18)," ",SUM(Collation!W18:Y18)-Collation!Z18)</f>
        <v>0</v>
      </c>
      <c r="J18" s="152" t="str">
        <f>IF(ISBLANK(Collation!R18)," ",IF(SUM(Collation!R18)=Collation!Z18,"Correct","Does not match"))</f>
        <v>Correct</v>
      </c>
      <c r="K18" s="152" t="str">
        <f>IF(ISBLANK(Collation!AD18)," ",IF(SUM(Collation!AA18:AC18)=Collation!AD18,"Correct","Does not match"))</f>
        <v>Correct</v>
      </c>
      <c r="L18" s="151">
        <f>IF(ISBLANK(Collation!AD18)," ",SUM(Collation!AA18:AC18)-Collation!AD18)</f>
        <v>0</v>
      </c>
      <c r="M18" s="152" t="str">
        <f>IF(ISBLANK(Collation!S18)," ",IF(SUM(Collation!S18)=Collation!AD18,"Correct","Does not match"))</f>
        <v>Correct</v>
      </c>
      <c r="N18" s="152" t="str">
        <f>IF(ISBLANK(Collation!AH18)," ",IF(SUM(Collation!AE18:AG18)=Collation!AH18,"Correct","Does not match"))</f>
        <v>Correct</v>
      </c>
      <c r="O18" s="151">
        <f>IF(ISBLANK(Collation!AH18)," ",SUM(Collation!AE18:AG18)-Collation!AH18)</f>
        <v>0</v>
      </c>
      <c r="P18" s="152" t="str">
        <f>IF(ISBLANK(Collation!T18)," ",IF(SUM(Collation!T18)=Collation!AH18,"Correct","Does not match"))</f>
        <v>Correct</v>
      </c>
      <c r="Q18" s="152" t="str">
        <f>IF(ISBLANK(Collation!AQ18)," ",IF(SUM(Collation!AN18:AP18)=Collation!AQ18,"Correct","Does not match"))</f>
        <v>Correct</v>
      </c>
      <c r="R18" s="151">
        <f>IF(ISBLANK(Collation!AQ18)," ",SUM(Collation!AN18:AP18)-Collation!AQ18)</f>
        <v>0</v>
      </c>
      <c r="S18" s="152" t="str">
        <f>IF(ISBLANK(Collation!AU18)," ",IF(SUM(Collation!AS18:AT18)=Collation!AU18,"Correct","Does not match"))</f>
        <v>Correct</v>
      </c>
      <c r="T18" s="151">
        <f>IF(ISBLANK(Collation!AU18)," ",SUM(Collation!AS18:AT18)-Collation!AU18)</f>
        <v>0</v>
      </c>
      <c r="U18" s="149"/>
      <c r="X18" s="103">
        <f t="shared" si="0"/>
        <v>11</v>
      </c>
    </row>
    <row r="19" spans="1:24" x14ac:dyDescent="0.3">
      <c r="A19" s="155" t="str">
        <f>Collation!A19</f>
        <v>NHS Shetland</v>
      </c>
      <c r="B19" s="150" t="str">
        <f>IF(ISBLANK(Collation!E19)," ",IF(SUM(Collation!C19:D19)=Collation!E19,"Correct","Does not match"))</f>
        <v>Correct</v>
      </c>
      <c r="C19" s="151">
        <f>IF(ISBLANK(Collation!E19)," ",SUM(Collation!C19:D19)-Collation!E19)</f>
        <v>0</v>
      </c>
      <c r="D19" s="152" t="str">
        <f>IF(ISBLANK(Collation!O19)," ",IF(SUM(Collation!G19:N19)=Collation!O19,"Correct","Does not match"))</f>
        <v>Correct</v>
      </c>
      <c r="E19" s="151">
        <f>IF(ISBLANK(Collation!O19)," ",SUM(Collation!G19:N19)-Collation!O19)</f>
        <v>0</v>
      </c>
      <c r="F19" s="152" t="str">
        <f>IF(ISBLANK(Collation!U19)," ",IF(SUM(Collation!R19:T19)=Collation!U19,"Correct","Does not match"))</f>
        <v>Correct</v>
      </c>
      <c r="G19" s="151">
        <f>IF(ISBLANK(Collation!U19)," ",SUM(Collation!R19:T19)-Collation!U19)</f>
        <v>0</v>
      </c>
      <c r="H19" s="152" t="str">
        <f>IF(ISBLANK(Collation!Z19)," ",IF(SUM(Collation!W19:Y19)=Collation!Z19,"Correct","Does not match"))</f>
        <v>Correct</v>
      </c>
      <c r="I19" s="151">
        <f>IF(ISBLANK(Collation!Z19)," ",SUM(Collation!W19:Y19)-Collation!Z19)</f>
        <v>0</v>
      </c>
      <c r="J19" s="152" t="str">
        <f>IF(ISBLANK(Collation!R19)," ",IF(SUM(Collation!R19)=Collation!Z19,"Correct","Does not match"))</f>
        <v>Correct</v>
      </c>
      <c r="K19" s="152" t="str">
        <f>IF(ISBLANK(Collation!AD19)," ",IF(SUM(Collation!AA19:AC19)=Collation!AD19,"Correct","Does not match"))</f>
        <v>Correct</v>
      </c>
      <c r="L19" s="151">
        <f>IF(ISBLANK(Collation!AD19)," ",SUM(Collation!AA19:AC19)-Collation!AD19)</f>
        <v>0</v>
      </c>
      <c r="M19" s="152" t="str">
        <f>IF(ISBLANK(Collation!S19)," ",IF(SUM(Collation!S19)=Collation!AD19,"Correct","Does not match"))</f>
        <v>Correct</v>
      </c>
      <c r="N19" s="152" t="str">
        <f>IF(ISBLANK(Collation!AH19)," ",IF(SUM(Collation!AE19:AG19)=Collation!AH19,"Correct","Does not match"))</f>
        <v>Correct</v>
      </c>
      <c r="O19" s="151">
        <f>IF(ISBLANK(Collation!AH19)," ",SUM(Collation!AE19:AG19)-Collation!AH19)</f>
        <v>0</v>
      </c>
      <c r="P19" s="152" t="str">
        <f>IF(ISBLANK(Collation!T19)," ",IF(SUM(Collation!T19)=Collation!AH19,"Correct","Does not match"))</f>
        <v>Correct</v>
      </c>
      <c r="Q19" s="152" t="str">
        <f>IF(ISBLANK(Collation!AQ19)," ",IF(SUM(Collation!AN19:AP19)=Collation!AQ19,"Correct","Does not match"))</f>
        <v>Correct</v>
      </c>
      <c r="R19" s="151">
        <f>IF(ISBLANK(Collation!AQ19)," ",SUM(Collation!AN19:AP19)-Collation!AQ19)</f>
        <v>0</v>
      </c>
      <c r="S19" s="152" t="str">
        <f>IF(ISBLANK(Collation!AU19)," ",IF(SUM(Collation!AS19:AT19)=Collation!AU19,"Correct","Does not match"))</f>
        <v>Correct</v>
      </c>
      <c r="T19" s="151">
        <f>IF(ISBLANK(Collation!AU19)," ",SUM(Collation!AS19:AT19)-Collation!AU19)</f>
        <v>0</v>
      </c>
      <c r="U19" s="149"/>
      <c r="X19" s="103">
        <f t="shared" si="0"/>
        <v>11</v>
      </c>
    </row>
    <row r="20" spans="1:24" x14ac:dyDescent="0.3">
      <c r="A20" s="155" t="str">
        <f>Collation!A20</f>
        <v>NHS Tayside</v>
      </c>
      <c r="B20" s="150" t="str">
        <f>IF(ISBLANK(Collation!E20)," ",IF(SUM(Collation!C20:D20)=Collation!E20,"Correct","Does not match"))</f>
        <v>Correct</v>
      </c>
      <c r="C20" s="151">
        <f>IF(ISBLANK(Collation!E20)," ",SUM(Collation!C20:D20)-Collation!E20)</f>
        <v>0</v>
      </c>
      <c r="D20" s="152" t="str">
        <f>IF(ISBLANK(Collation!O20)," ",IF(SUM(Collation!G20:N20)=Collation!O20,"Correct","Does not match"))</f>
        <v>Correct</v>
      </c>
      <c r="E20" s="151">
        <f>IF(ISBLANK(Collation!O20)," ",SUM(Collation!G20:N20)-Collation!O20)</f>
        <v>0</v>
      </c>
      <c r="F20" s="152" t="str">
        <f>IF(ISBLANK(Collation!U20)," ",IF(SUM(Collation!R20:T20)=Collation!U20,"Correct","Does not match"))</f>
        <v>Correct</v>
      </c>
      <c r="G20" s="151">
        <f>IF(ISBLANK(Collation!U20)," ",SUM(Collation!R20:T20)-Collation!U20)</f>
        <v>0</v>
      </c>
      <c r="H20" s="152" t="str">
        <f>IF(ISBLANK(Collation!Z20)," ",IF(SUM(Collation!W20:Y20)=Collation!Z20,"Correct","Does not match"))</f>
        <v>Correct</v>
      </c>
      <c r="I20" s="151">
        <f>IF(ISBLANK(Collation!Z20)," ",SUM(Collation!W20:Y20)-Collation!Z20)</f>
        <v>0</v>
      </c>
      <c r="J20" s="152" t="str">
        <f>IF(ISBLANK(Collation!R20)," ",IF(SUM(Collation!R20)=Collation!Z20,"Correct","Does not match"))</f>
        <v>Correct</v>
      </c>
      <c r="K20" s="152" t="str">
        <f>IF(ISBLANK(Collation!AD20)," ",IF(SUM(Collation!AA20:AC20)=Collation!AD20,"Correct","Does not match"))</f>
        <v>Correct</v>
      </c>
      <c r="L20" s="151">
        <f>IF(ISBLANK(Collation!AD20)," ",SUM(Collation!AA20:AC20)-Collation!AD20)</f>
        <v>0</v>
      </c>
      <c r="M20" s="152" t="str">
        <f>IF(ISBLANK(Collation!S20)," ",IF(SUM(Collation!S20)=Collation!AD20,"Correct","Does not match"))</f>
        <v>Correct</v>
      </c>
      <c r="N20" s="152" t="str">
        <f>IF(ISBLANK(Collation!AH20)," ",IF(SUM(Collation!AE20:AG20)=Collation!AH20,"Correct","Does not match"))</f>
        <v>Correct</v>
      </c>
      <c r="O20" s="151">
        <f>IF(ISBLANK(Collation!AH20)," ",SUM(Collation!AE20:AG20)-Collation!AH20)</f>
        <v>0</v>
      </c>
      <c r="P20" s="152" t="str">
        <f>IF(ISBLANK(Collation!T20)," ",IF(SUM(Collation!T20)=Collation!AH20,"Correct","Does not match"))</f>
        <v>Correct</v>
      </c>
      <c r="Q20" s="152" t="str">
        <f>IF(ISBLANK(Collation!AQ20)," ",IF(SUM(Collation!AN20:AP20)=Collation!AQ20,"Correct","Does not match"))</f>
        <v>Correct</v>
      </c>
      <c r="R20" s="151">
        <f>IF(ISBLANK(Collation!AQ20)," ",SUM(Collation!AN20:AP20)-Collation!AQ20)</f>
        <v>0</v>
      </c>
      <c r="S20" s="152" t="str">
        <f>IF(ISBLANK(Collation!AU20)," ",IF(SUM(Collation!AS20:AT20)=Collation!AU20,"Correct","Does not match"))</f>
        <v>Correct</v>
      </c>
      <c r="T20" s="151">
        <f>IF(ISBLANK(Collation!AU20)," ",SUM(Collation!AS20:AT20)-Collation!AU20)</f>
        <v>0</v>
      </c>
      <c r="U20" s="149"/>
      <c r="X20" s="103">
        <f t="shared" si="0"/>
        <v>11</v>
      </c>
    </row>
    <row r="21" spans="1:24" x14ac:dyDescent="0.3">
      <c r="A21" s="266" t="str">
        <f>Collation!A21</f>
        <v>NHS Western Isles</v>
      </c>
      <c r="B21" s="267" t="str">
        <f>IF(ISBLANK(Collation!E21)," ",IF(SUM(Collation!C21:D21)=Collation!E21,"Correct","Does not match"))</f>
        <v>Correct</v>
      </c>
      <c r="C21" s="268">
        <f>IF(ISBLANK(Collation!E21)," ",SUM(Collation!C21:D21)-Collation!E21)</f>
        <v>0</v>
      </c>
      <c r="D21" s="269" t="str">
        <f>IF(ISBLANK(Collation!O21)," ",IF(SUM(Collation!G21:N21)=Collation!O21,"Correct","Does not match"))</f>
        <v>Correct</v>
      </c>
      <c r="E21" s="268">
        <f>IF(ISBLANK(Collation!O21)," ",SUM(Collation!G21:N21)-Collation!O21)</f>
        <v>0</v>
      </c>
      <c r="F21" s="269" t="str">
        <f>IF(ISBLANK(Collation!U21)," ",IF(SUM(Collation!R21:T21)=Collation!U21,"Correct","Does not match"))</f>
        <v>Correct</v>
      </c>
      <c r="G21" s="268">
        <f>IF(ISBLANK(Collation!U21)," ",SUM(Collation!R21:T21)-Collation!U21)</f>
        <v>0</v>
      </c>
      <c r="H21" s="269" t="str">
        <f>IF(ISBLANK(Collation!Z21)," ",IF(SUM(Collation!W21:Y21)=Collation!Z21,"Correct","Does not match"))</f>
        <v>Correct</v>
      </c>
      <c r="I21" s="268">
        <f>IF(ISBLANK(Collation!Z21)," ",SUM(Collation!W21:Y21)-Collation!Z21)</f>
        <v>0</v>
      </c>
      <c r="J21" s="269" t="str">
        <f>IF(ISBLANK(Collation!R21)," ",IF(SUM(Collation!R21)=Collation!Z21,"Correct","Does not match"))</f>
        <v>Correct</v>
      </c>
      <c r="K21" s="269" t="str">
        <f>IF(ISBLANK(Collation!AD21)," ",IF(SUM(Collation!AA21:AC21)=Collation!AD21,"Correct","Does not match"))</f>
        <v>Correct</v>
      </c>
      <c r="L21" s="268">
        <f>IF(ISBLANK(Collation!AD21)," ",SUM(Collation!AA21:AC21)-Collation!AD21)</f>
        <v>0</v>
      </c>
      <c r="M21" s="269" t="str">
        <f>IF(ISBLANK(Collation!S21)," ",IF(SUM(Collation!S21)=Collation!AD21,"Correct","Does not match"))</f>
        <v>Correct</v>
      </c>
      <c r="N21" s="269" t="str">
        <f>IF(ISBLANK(Collation!AH21)," ",IF(SUM(Collation!AE21:AG21)=Collation!AH21,"Correct","Does not match"))</f>
        <v>Correct</v>
      </c>
      <c r="O21" s="268">
        <f>IF(ISBLANK(Collation!AH21)," ",SUM(Collation!AE21:AG21)-Collation!AH21)</f>
        <v>0</v>
      </c>
      <c r="P21" s="269" t="str">
        <f>IF(ISBLANK(Collation!T21)," ",IF(SUM(Collation!T21)=Collation!AH21,"Correct","Does not match"))</f>
        <v>Correct</v>
      </c>
      <c r="Q21" s="269" t="str">
        <f>IF(ISBLANK(Collation!AQ21)," ",IF(SUM(Collation!AN21:AP21)=Collation!AQ21,"Correct","Does not match"))</f>
        <v>Correct</v>
      </c>
      <c r="R21" s="268">
        <f>IF(ISBLANK(Collation!AQ21)," ",SUM(Collation!AN21:AP21)-Collation!AQ21)</f>
        <v>0</v>
      </c>
      <c r="S21" s="269" t="str">
        <f>IF(ISBLANK(Collation!AU21)," ",IF(SUM(Collation!AS21:AT21)=Collation!AU21,"Correct","Does not match"))</f>
        <v>Correct</v>
      </c>
      <c r="T21" s="268">
        <f>IF(ISBLANK(Collation!AU21)," ",SUM(Collation!AS21:AT21)-Collation!AU21)</f>
        <v>0</v>
      </c>
      <c r="U21" s="149"/>
      <c r="X21" s="103">
        <f t="shared" si="0"/>
        <v>11</v>
      </c>
    </row>
    <row r="22" spans="1:24" x14ac:dyDescent="0.3">
      <c r="A22" s="157" t="str">
        <f>Collation!A22</f>
        <v>Total for Territorial Boards</v>
      </c>
      <c r="B22" s="142" t="str">
        <f>IF(Collation!E22=" "," ",IF(SUM(Collation!C22:D22)=Collation!E22,"Correct","Does not match"))</f>
        <v>Correct</v>
      </c>
      <c r="C22" s="143">
        <f>IF(Collation!E22=" "," ",SUM(Collation!C22:D22)-Collation!E22)</f>
        <v>0</v>
      </c>
      <c r="D22" s="144" t="str">
        <f>IF(Collation!O22=" "," ",IF(SUM(Collation!G22:N22)=Collation!O22,"Correct","Does not match"))</f>
        <v>Correct</v>
      </c>
      <c r="E22" s="143">
        <f>IF(Collation!O22=" "," ",SUM(Collation!G22:N22)-Collation!O22)</f>
        <v>0</v>
      </c>
      <c r="F22" s="144" t="str">
        <f>IF(Collation!U22=" "," ",IF(SUM(Collation!R22:T22)=Collation!U22,"Correct","Does not match"))</f>
        <v>Correct</v>
      </c>
      <c r="G22" s="143">
        <f>IF(Collation!U22=" "," ",SUM(Collation!R22:T22)-Collation!U22)</f>
        <v>0</v>
      </c>
      <c r="H22" s="144" t="str">
        <f>IF(Collation!Z22=" "," ",IF(SUM(Collation!W22:Y22)=Collation!Z22,"Correct","Does not match"))</f>
        <v>Correct</v>
      </c>
      <c r="I22" s="143">
        <f>IF(Collation!Z22=" "," ",SUM(Collation!W22:Y22)-Collation!Z22)</f>
        <v>0</v>
      </c>
      <c r="J22" s="269" t="str">
        <f>IF(ISBLANK(Collation!R22)," ",IF(SUM(Collation!R22)=Collation!Z22,"Correct","Does not match"))</f>
        <v>Correct</v>
      </c>
      <c r="K22" s="144" t="str">
        <f>IF(Collation!AD22=" "," ",IF(SUM(Collation!AA22:AC22)=Collation!AD22,"Correct","Does not match"))</f>
        <v>Correct</v>
      </c>
      <c r="L22" s="143">
        <f>IF(Collation!AD22=" "," ",SUM(Collation!AA22:AC22)-Collation!AD22)</f>
        <v>0</v>
      </c>
      <c r="M22" s="269" t="str">
        <f>IF(ISBLANK(Collation!S22)," ",IF(SUM(Collation!S22)=Collation!AD22,"Correct","Does not match"))</f>
        <v>Correct</v>
      </c>
      <c r="N22" s="144" t="str">
        <f>IF(Collation!AH22=" "," ",IF(SUM(Collation!AE22:AG22)=Collation!AH22,"Correct","Does not match"))</f>
        <v>Correct</v>
      </c>
      <c r="O22" s="143">
        <f>IF(Collation!AH22=" "," ",SUM(Collation!AE22:AG22)-Collation!AH22)</f>
        <v>0</v>
      </c>
      <c r="P22" s="269" t="str">
        <f>IF(ISBLANK(Collation!T22)," ",IF(SUM(Collation!T22)=Collation!AH22,"Correct","Does not match"))</f>
        <v>Correct</v>
      </c>
      <c r="Q22" s="144" t="str">
        <f>IF(Collation!AQ22=" "," ",IF(SUM(Collation!AN22:AP22)=Collation!AQ22,"Correct","Does not match"))</f>
        <v>Correct</v>
      </c>
      <c r="R22" s="143">
        <f>IF(Collation!AQ22=" "," ",SUM(Collation!AN22:AP22)-Collation!AQ22)</f>
        <v>0</v>
      </c>
      <c r="S22" s="144" t="str">
        <f>IF(Collation!AU22=" "," ",IF(SUM(Collation!AS22:AT22)=Collation!AU22,"Correct","Does not match"))</f>
        <v>Correct</v>
      </c>
      <c r="T22" s="143">
        <f>IF(Collation!AU22=" "," ",SUM(Collation!AS22:AT22)-Collation!AU22)</f>
        <v>0</v>
      </c>
      <c r="X22" s="103">
        <f t="shared" si="0"/>
        <v>11</v>
      </c>
    </row>
    <row r="23" spans="1:24" x14ac:dyDescent="0.3">
      <c r="A23" s="10" t="str">
        <f>Collation!A23</f>
        <v>Entries missing</v>
      </c>
    </row>
    <row r="25" spans="1:24" x14ac:dyDescent="0.3">
      <c r="A25" s="156" t="s">
        <v>110</v>
      </c>
      <c r="D25" s="96"/>
      <c r="E25" s="96"/>
    </row>
    <row r="26" spans="1:24" x14ac:dyDescent="0.3">
      <c r="A26" s="154" t="str">
        <f>Collation!A26</f>
        <v xml:space="preserve">NHS Golden Jubilee </v>
      </c>
      <c r="B26" s="147" t="str">
        <f>IF(ISBLANK(Collation!E26)," ",IF(SUM(Collation!C26:D26)=Collation!E26,"Correct","Does not match"))</f>
        <v>Correct</v>
      </c>
      <c r="C26" s="148">
        <f>IF(ISBLANK(Collation!E26)," ",SUM(Collation!C26:D26)-Collation!E26)</f>
        <v>0</v>
      </c>
      <c r="D26" s="149" t="s">
        <v>52</v>
      </c>
      <c r="E26" s="148" t="s">
        <v>52</v>
      </c>
      <c r="F26" s="149" t="str">
        <f>IF(ISBLANK(Collation!U26)," ",IF(SUM(Collation!R26:T26)=Collation!U26,"Correct","Does not match"))</f>
        <v>Correct</v>
      </c>
      <c r="G26" s="148">
        <f>IF(ISBLANK(Collation!U26)," ",SUM(Collation!R26:T26)-Collation!U26)</f>
        <v>0</v>
      </c>
      <c r="H26" s="149" t="str">
        <f>IF(ISBLANK(Collation!Z26)," ",IF(SUM(Collation!W26:Y26)=Collation!Z26,"Correct","Does not match"))</f>
        <v>Correct</v>
      </c>
      <c r="I26" s="148">
        <f>IF(ISBLANK(Collation!Z26)," ",SUM(Collation!W26:Y26)-Collation!Z26)</f>
        <v>0</v>
      </c>
      <c r="J26" s="152" t="str">
        <f>IF(ISBLANK(Collation!R26)," ",IF(SUM(Collation!R26)=Collation!Z26,"Correct","Does not match"))</f>
        <v>Correct</v>
      </c>
      <c r="K26" s="149" t="str">
        <f>IF(ISBLANK(Collation!AD26)," ",IF(SUM(Collation!AA26:AC26)=Collation!AD26,"Correct","Does not match"))</f>
        <v>Correct</v>
      </c>
      <c r="L26" s="148">
        <f>IF(ISBLANK(Collation!AD26)," ",SUM(Collation!AA26:AC26)-Collation!AD26)</f>
        <v>0</v>
      </c>
      <c r="M26" s="269" t="str">
        <f>IF(ISBLANK(Collation!S26)," ",IF(SUM(Collation!S26)=Collation!AD26,"Correct","Does not match"))</f>
        <v>Correct</v>
      </c>
      <c r="N26" s="149" t="str">
        <f>IF(ISBLANK(Collation!AH26)," ",IF(SUM(Collation!AE26:AG26)=Collation!AH26,"Correct","Does not match"))</f>
        <v>Correct</v>
      </c>
      <c r="O26" s="148">
        <f>IF(ISBLANK(Collation!AH26)," ",SUM(Collation!AE26:AG26)-Collation!AH26)</f>
        <v>0</v>
      </c>
      <c r="P26" s="269" t="str">
        <f>IF(ISBLANK(Collation!T26)," ",IF(SUM(Collation!T26)=Collation!AH26,"Correct","Does not match"))</f>
        <v>Correct</v>
      </c>
      <c r="Q26" s="149" t="str">
        <f>IF(ISBLANK(Collation!AQ26)," ",IF(SUM(Collation!AN26:AP26)=Collation!AQ26,"Correct","Does not match"))</f>
        <v>Correct</v>
      </c>
      <c r="R26" s="148">
        <f>IF(ISBLANK(Collation!AQ26)," ",SUM(Collation!AN26:AP26)-Collation!AQ26)</f>
        <v>0</v>
      </c>
      <c r="S26" s="149" t="str">
        <f>IF(ISBLANK(Collation!AU26)," ",IF(SUM(Collation!AS26:AT26)=Collation!AU26,"Correct","Does not match"))</f>
        <v>Correct</v>
      </c>
      <c r="T26" s="148">
        <f>IF(ISBLANK(Collation!AU26)," ",SUM(Collation!AS26:AT26)-Collation!AU26)</f>
        <v>0</v>
      </c>
      <c r="U26" s="149" t="str">
        <f>IF(ISBLANK(Collation!U26)," ",IF(SUM(Collation!U26-Collation!AQ26-Collation!AU26)=0,"Correct","Does not match"))</f>
        <v>Correct</v>
      </c>
      <c r="X26" s="103">
        <f t="shared" ref="X26:X34" si="1">COUNTIF(B26:V26,"correct")</f>
        <v>11</v>
      </c>
    </row>
    <row r="27" spans="1:24" x14ac:dyDescent="0.3">
      <c r="A27" s="155" t="str">
        <f>Collation!A27</f>
        <v>Healthcare Improvement Scotland</v>
      </c>
      <c r="B27" s="150" t="str">
        <f>IF(ISBLANK(Collation!E27)," ",IF(SUM(Collation!C27:D27)=Collation!E27,"Correct","Does not match"))</f>
        <v>Correct</v>
      </c>
      <c r="C27" s="151">
        <f>IF(ISBLANK(Collation!E27)," ",SUM(Collation!C27:D27)-Collation!E27)</f>
        <v>0</v>
      </c>
      <c r="D27" s="152" t="s">
        <v>52</v>
      </c>
      <c r="E27" s="151" t="s">
        <v>52</v>
      </c>
      <c r="F27" s="152" t="str">
        <f>IF(ISBLANK(Collation!U27)," ",IF(SUM(Collation!R27:T27)=Collation!U27,"Correct","Does not match"))</f>
        <v>Correct</v>
      </c>
      <c r="G27" s="151">
        <f>IF(ISBLANK(Collation!U27)," ",SUM(Collation!R27:T27)-Collation!U27)</f>
        <v>0</v>
      </c>
      <c r="H27" s="152" t="str">
        <f>IF(ISBLANK(Collation!Z27)," ",IF(SUM(Collation!W27:Y27)=Collation!Z27,"Correct","Does not match"))</f>
        <v>Correct</v>
      </c>
      <c r="I27" s="151">
        <f>IF(ISBLANK(Collation!Z27)," ",SUM(Collation!W27:Y27)-Collation!Z27)</f>
        <v>0</v>
      </c>
      <c r="J27" s="152" t="str">
        <f>IF(ISBLANK(Collation!R27)," ",IF(SUM(Collation!R27)=Collation!Z27,"Correct","Does not match"))</f>
        <v>Correct</v>
      </c>
      <c r="K27" s="152" t="str">
        <f>IF(ISBLANK(Collation!AD27)," ",IF(SUM(Collation!AA27:AC27)=Collation!AD27,"Correct","Does not match"))</f>
        <v>Correct</v>
      </c>
      <c r="L27" s="151">
        <f>IF(ISBLANK(Collation!AD27)," ",SUM(Collation!AA27:AC27)-Collation!AD27)</f>
        <v>0</v>
      </c>
      <c r="M27" s="269" t="str">
        <f>IF(ISBLANK(Collation!S27)," ",IF(SUM(Collation!S27)=Collation!AD27,"Correct","Does not match"))</f>
        <v>Correct</v>
      </c>
      <c r="N27" s="152" t="str">
        <f>IF(ISBLANK(Collation!AH27)," ",IF(SUM(Collation!AE27:AG27)=Collation!AH27,"Correct","Does not match"))</f>
        <v>Correct</v>
      </c>
      <c r="O27" s="151">
        <f>IF(ISBLANK(Collation!AH27)," ",SUM(Collation!AE27:AG27)-Collation!AH27)</f>
        <v>0</v>
      </c>
      <c r="P27" s="269" t="str">
        <f>IF(ISBLANK(Collation!T27)," ",IF(SUM(Collation!T27)=Collation!AH27,"Correct","Does not match"))</f>
        <v>Correct</v>
      </c>
      <c r="Q27" s="152" t="str">
        <f>IF(ISBLANK(Collation!AQ27)," ",IF(SUM(Collation!AN27:AP27)=Collation!AQ27,"Correct","Does not match"))</f>
        <v>Correct</v>
      </c>
      <c r="R27" s="151">
        <f>IF(ISBLANK(Collation!AQ27)," ",SUM(Collation!AN27:AP27)-Collation!AQ27)</f>
        <v>0</v>
      </c>
      <c r="S27" s="152" t="str">
        <f>IF(ISBLANK(Collation!AU27)," ",IF(SUM(Collation!AS27:AT27)=Collation!AU27,"Correct","Does not match"))</f>
        <v>Correct</v>
      </c>
      <c r="T27" s="151">
        <f>IF(ISBLANK(Collation!AU27)," ",SUM(Collation!AS27:AT27)-Collation!AU27)</f>
        <v>0</v>
      </c>
      <c r="U27" s="149" t="str">
        <f>IF(ISBLANK(Collation!U27)," ",IF(SUM(Collation!U27-Collation!AQ27-Collation!AU27)=0,"Correct","Does not match"))</f>
        <v>Correct</v>
      </c>
      <c r="X27" s="103">
        <f t="shared" si="1"/>
        <v>11</v>
      </c>
    </row>
    <row r="28" spans="1:24" x14ac:dyDescent="0.3">
      <c r="A28" s="155" t="str">
        <f>Collation!A28</f>
        <v>NHS Education for Scotland</v>
      </c>
      <c r="B28" s="150" t="str">
        <f>IF(ISBLANK(Collation!E28)," ",IF(SUM(Collation!C28:D28)=Collation!E28,"Correct","Does not match"))</f>
        <v>Correct</v>
      </c>
      <c r="C28" s="151">
        <f>IF(ISBLANK(Collation!E28)," ",SUM(Collation!C28:D28)-Collation!E28)</f>
        <v>0</v>
      </c>
      <c r="D28" s="152" t="s">
        <v>52</v>
      </c>
      <c r="E28" s="151" t="s">
        <v>52</v>
      </c>
      <c r="F28" s="152" t="str">
        <f>IF(ISBLANK(Collation!U28)," ",IF(SUM(Collation!R28:T28)=Collation!U28,"Correct","Does not match"))</f>
        <v>Correct</v>
      </c>
      <c r="G28" s="151">
        <f>IF(ISBLANK(Collation!U28)," ",SUM(Collation!R28:T28)-Collation!U28)</f>
        <v>0</v>
      </c>
      <c r="H28" s="152" t="str">
        <f>IF(ISBLANK(Collation!Z28)," ",IF(SUM(Collation!W28:Y28)=Collation!Z28,"Correct","Does not match"))</f>
        <v>Correct</v>
      </c>
      <c r="I28" s="151">
        <f>IF(ISBLANK(Collation!Z28)," ",SUM(Collation!W28:Y28)-Collation!Z28)</f>
        <v>0</v>
      </c>
      <c r="J28" s="152" t="str">
        <f>IF(ISBLANK(Collation!R28)," ",IF(SUM(Collation!R28)=Collation!Z28,"Correct","Does not match"))</f>
        <v>Correct</v>
      </c>
      <c r="K28" s="152" t="str">
        <f>IF(ISBLANK(Collation!AD28)," ",IF(SUM(Collation!AA28:AC28)=Collation!AD28,"Correct","Does not match"))</f>
        <v>Correct</v>
      </c>
      <c r="L28" s="151">
        <f>IF(ISBLANK(Collation!AD28)," ",SUM(Collation!AA28:AC28)-Collation!AD28)</f>
        <v>0</v>
      </c>
      <c r="M28" s="269" t="str">
        <f>IF(ISBLANK(Collation!S28)," ",IF(SUM(Collation!S28)=Collation!AD28,"Correct","Does not match"))</f>
        <v>Correct</v>
      </c>
      <c r="N28" s="152" t="str">
        <f>IF(ISBLANK(Collation!AH28)," ",IF(SUM(Collation!AE28:AG28)=Collation!AH28,"Correct","Does not match"))</f>
        <v>Correct</v>
      </c>
      <c r="O28" s="151">
        <f>IF(ISBLANK(Collation!AH28)," ",SUM(Collation!AE28:AG28)-Collation!AH28)</f>
        <v>0</v>
      </c>
      <c r="P28" s="269" t="str">
        <f>IF(ISBLANK(Collation!T28)," ",IF(SUM(Collation!T28)=Collation!AH28,"Correct","Does not match"))</f>
        <v>Correct</v>
      </c>
      <c r="Q28" s="152" t="str">
        <f>IF(ISBLANK(Collation!AQ28)," ",IF(SUM(Collation!AN28:AP28)=Collation!AQ28,"Correct","Does not match"))</f>
        <v>Correct</v>
      </c>
      <c r="R28" s="151">
        <f>IF(ISBLANK(Collation!AQ28)," ",SUM(Collation!AN28:AP28)-Collation!AQ28)</f>
        <v>0</v>
      </c>
      <c r="S28" s="152" t="str">
        <f>IF(ISBLANK(Collation!AU28)," ",IF(SUM(Collation!AS28:AT28)=Collation!AU28,"Correct","Does not match"))</f>
        <v>Correct</v>
      </c>
      <c r="T28" s="151">
        <f>IF(ISBLANK(Collation!AU28)," ",SUM(Collation!AS28:AT28)-Collation!AU28)</f>
        <v>0</v>
      </c>
      <c r="U28" s="149" t="str">
        <f>IF(ISBLANK(Collation!U28)," ",IF(SUM(Collation!U28-Collation!AQ28-Collation!AU28)=0,"Correct","Does not match"))</f>
        <v>Correct</v>
      </c>
      <c r="X28" s="103">
        <f t="shared" si="1"/>
        <v>11</v>
      </c>
    </row>
    <row r="29" spans="1:24" x14ac:dyDescent="0.3">
      <c r="A29" s="155" t="str">
        <f>Collation!A29</f>
        <v>NHS Health Scotland</v>
      </c>
      <c r="B29" s="150" t="str">
        <f>IF(ISBLANK(Collation!E29)," ",IF(SUM(Collation!C29:D29)=Collation!E29,"Correct","Does not match"))</f>
        <v>Correct</v>
      </c>
      <c r="C29" s="151">
        <f>IF(ISBLANK(Collation!E29)," ",SUM(Collation!C29:D29)-Collation!E29)</f>
        <v>0</v>
      </c>
      <c r="D29" s="152" t="s">
        <v>52</v>
      </c>
      <c r="E29" s="151" t="s">
        <v>52</v>
      </c>
      <c r="F29" s="152" t="str">
        <f>IF(ISBLANK(Collation!U29)," ",IF(SUM(Collation!R29:T29)=Collation!U29,"Correct","Does not match"))</f>
        <v>Correct</v>
      </c>
      <c r="G29" s="151">
        <f>IF(ISBLANK(Collation!U29)," ",SUM(Collation!R29:T29)-Collation!U29)</f>
        <v>0</v>
      </c>
      <c r="H29" s="152" t="str">
        <f>IF(ISBLANK(Collation!Z29)," ",IF(SUM(Collation!W29:Y29)=Collation!Z29,"Correct","Does not match"))</f>
        <v>Correct</v>
      </c>
      <c r="I29" s="151">
        <f>IF(ISBLANK(Collation!Z29)," ",SUM(Collation!W29:Y29)-Collation!Z29)</f>
        <v>0</v>
      </c>
      <c r="J29" s="152" t="str">
        <f>IF(ISBLANK(Collation!R29)," ",IF(SUM(Collation!R29)=Collation!Z29,"Correct","Does not match"))</f>
        <v>Correct</v>
      </c>
      <c r="K29" s="152" t="str">
        <f>IF(ISBLANK(Collation!AD29)," ",IF(SUM(Collation!AA29:AC29)=Collation!AD29,"Correct","Does not match"))</f>
        <v>Correct</v>
      </c>
      <c r="L29" s="151">
        <f>IF(ISBLANK(Collation!AD29)," ",SUM(Collation!AA29:AC29)-Collation!AD29)</f>
        <v>0</v>
      </c>
      <c r="M29" s="269" t="str">
        <f>IF(ISBLANK(Collation!S29)," ",IF(SUM(Collation!S29)=Collation!AD29,"Correct","Does not match"))</f>
        <v>Correct</v>
      </c>
      <c r="N29" s="152" t="str">
        <f>IF(ISBLANK(Collation!AH29)," ",IF(SUM(Collation!AE29:AG29)=Collation!AH29,"Correct","Does not match"))</f>
        <v>Correct</v>
      </c>
      <c r="O29" s="151">
        <f>IF(ISBLANK(Collation!AH29)," ",SUM(Collation!AE29:AG29)-Collation!AH29)</f>
        <v>0</v>
      </c>
      <c r="P29" s="269" t="str">
        <f>IF(ISBLANK(Collation!T29)," ",IF(SUM(Collation!T29)=Collation!AH29,"Correct","Does not match"))</f>
        <v>Correct</v>
      </c>
      <c r="Q29" s="152" t="str">
        <f>IF(ISBLANK(Collation!AQ29)," ",IF(SUM(Collation!AN29:AP29)=Collation!AQ29,"Correct","Does not match"))</f>
        <v>Correct</v>
      </c>
      <c r="R29" s="151">
        <f>IF(ISBLANK(Collation!AQ29)," ",SUM(Collation!AN29:AP29)-Collation!AQ29)</f>
        <v>0</v>
      </c>
      <c r="S29" s="152" t="str">
        <f>IF(ISBLANK(Collation!AU29)," ",IF(SUM(Collation!AS29:AT29)=Collation!AU29,"Correct","Does not match"))</f>
        <v>Correct</v>
      </c>
      <c r="T29" s="151">
        <f>IF(ISBLANK(Collation!AU29)," ",SUM(Collation!AS29:AT29)-Collation!AU29)</f>
        <v>0</v>
      </c>
      <c r="U29" s="149" t="str">
        <f>IF(ISBLANK(Collation!U29)," ",IF(SUM(Collation!U29-Collation!AQ29-Collation!AU29)=0,"Correct","Does not match"))</f>
        <v>Correct</v>
      </c>
      <c r="X29" s="103">
        <f t="shared" si="1"/>
        <v>11</v>
      </c>
    </row>
    <row r="30" spans="1:24" x14ac:dyDescent="0.3">
      <c r="A30" s="155" t="str">
        <f>Collation!A30</f>
        <v>NHS National Services Scotland</v>
      </c>
      <c r="B30" s="150" t="str">
        <f>IF(ISBLANK(Collation!E30)," ",IF(SUM(Collation!C30:D30)=Collation!E30,"Correct","Does not match"))</f>
        <v>Correct</v>
      </c>
      <c r="C30" s="151">
        <f>IF(ISBLANK(Collation!E30)," ",SUM(Collation!C30:D30)-Collation!E30)</f>
        <v>0</v>
      </c>
      <c r="D30" s="152" t="s">
        <v>52</v>
      </c>
      <c r="E30" s="151" t="s">
        <v>52</v>
      </c>
      <c r="F30" s="152" t="str">
        <f>IF(ISBLANK(Collation!U30)," ",IF(SUM(Collation!R30:T30)=Collation!U30,"Correct","Does not match"))</f>
        <v>Correct</v>
      </c>
      <c r="G30" s="151">
        <f>IF(ISBLANK(Collation!U30)," ",SUM(Collation!R30:T30)-Collation!U30)</f>
        <v>0</v>
      </c>
      <c r="H30" s="152" t="str">
        <f>IF(ISBLANK(Collation!Z30)," ",IF(SUM(Collation!W30:Y30)=Collation!Z30,"Correct","Does not match"))</f>
        <v>Correct</v>
      </c>
      <c r="I30" s="151">
        <f>IF(ISBLANK(Collation!Z30)," ",SUM(Collation!W30:Y30)-Collation!Z30)</f>
        <v>0</v>
      </c>
      <c r="J30" s="152" t="str">
        <f>IF(ISBLANK(Collation!R30)," ",IF(SUM(Collation!R30)=Collation!Z30,"Correct","Does not match"))</f>
        <v>Does not match</v>
      </c>
      <c r="K30" s="152" t="str">
        <f>IF(ISBLANK(Collation!AD30)," ",IF(SUM(Collation!AA30:AC30)=Collation!AD30,"Correct","Does not match"))</f>
        <v>Correct</v>
      </c>
      <c r="L30" s="151">
        <f>IF(ISBLANK(Collation!AD30)," ",SUM(Collation!AA30:AC30)-Collation!AD30)</f>
        <v>0</v>
      </c>
      <c r="M30" s="269" t="str">
        <f>IF(ISBLANK(Collation!S30)," ",IF(SUM(Collation!S30)=Collation!AD30,"Correct","Does not match"))</f>
        <v>Does not match</v>
      </c>
      <c r="N30" s="152" t="str">
        <f>IF(ISBLANK(Collation!AH30)," ",IF(SUM(Collation!AE30:AG30)=Collation!AH30,"Correct","Does not match"))</f>
        <v>Correct</v>
      </c>
      <c r="O30" s="151">
        <f>IF(ISBLANK(Collation!AH30)," ",SUM(Collation!AE30:AG30)-Collation!AH30)</f>
        <v>0</v>
      </c>
      <c r="P30" s="269" t="str">
        <f>IF(ISBLANK(Collation!T30)," ",IF(SUM(Collation!T30)=Collation!AH30,"Correct","Does not match"))</f>
        <v>Correct</v>
      </c>
      <c r="Q30" s="152" t="str">
        <f>IF(ISBLANK(Collation!AQ30)," ",IF(SUM(Collation!AN30:AP30)=Collation!AQ30,"Correct","Does not match"))</f>
        <v>Correct</v>
      </c>
      <c r="R30" s="151">
        <f>IF(ISBLANK(Collation!AQ30)," ",SUM(Collation!AN30:AP30)-Collation!AQ30)</f>
        <v>0</v>
      </c>
      <c r="S30" s="152" t="str">
        <f>IF(ISBLANK(Collation!AU30)," ",IF(SUM(Collation!AS30:AT30)=Collation!AU30,"Correct","Does not match"))</f>
        <v>Correct</v>
      </c>
      <c r="T30" s="151">
        <f>IF(ISBLANK(Collation!AU30)," ",SUM(Collation!AS30:AT30)-Collation!AU30)</f>
        <v>0</v>
      </c>
      <c r="U30" s="149" t="str">
        <f>IF(ISBLANK(Collation!U30)," ",IF(SUM(Collation!U30-Collation!AQ30-Collation!AU30)=0,"Correct","Does not match"))</f>
        <v>Correct</v>
      </c>
      <c r="X30" s="103">
        <f t="shared" si="1"/>
        <v>9</v>
      </c>
    </row>
    <row r="31" spans="1:24" x14ac:dyDescent="0.3">
      <c r="A31" s="155" t="str">
        <f>Collation!A31</f>
        <v>NHS24</v>
      </c>
      <c r="B31" s="150" t="str">
        <f>IF(ISBLANK(Collation!E31)," ",IF(SUM(Collation!C31:D31)=Collation!E31,"Correct","Does not match"))</f>
        <v>Correct</v>
      </c>
      <c r="C31" s="151">
        <f>IF(ISBLANK(Collation!E31)," ",SUM(Collation!C31:D31)-Collation!E31)</f>
        <v>0</v>
      </c>
      <c r="D31" s="152" t="s">
        <v>52</v>
      </c>
      <c r="E31" s="151" t="s">
        <v>52</v>
      </c>
      <c r="F31" s="152" t="str">
        <f>IF(ISBLANK(Collation!U31)," ",IF(SUM(Collation!R31:T31)=Collation!U31,"Correct","Does not match"))</f>
        <v>Correct</v>
      </c>
      <c r="G31" s="151">
        <f>IF(ISBLANK(Collation!U31)," ",SUM(Collation!R31:T31)-Collation!U31)</f>
        <v>0</v>
      </c>
      <c r="H31" s="152" t="str">
        <f>IF(ISBLANK(Collation!Z31)," ",IF(SUM(Collation!W31:Y31)=Collation!Z31,"Correct","Does not match"))</f>
        <v>Correct</v>
      </c>
      <c r="I31" s="151">
        <f>IF(ISBLANK(Collation!Z31)," ",SUM(Collation!W31:Y31)-Collation!Z31)</f>
        <v>0</v>
      </c>
      <c r="J31" s="152" t="str">
        <f>IF(ISBLANK(Collation!R31)," ",IF(SUM(Collation!R31)=Collation!Z31,"Correct","Does not match"))</f>
        <v>Correct</v>
      </c>
      <c r="K31" s="152" t="str">
        <f>IF(ISBLANK(Collation!AD31)," ",IF(SUM(Collation!AA31:AC31)=Collation!AD31,"Correct","Does not match"))</f>
        <v>Correct</v>
      </c>
      <c r="L31" s="151">
        <f>IF(ISBLANK(Collation!AD31)," ",SUM(Collation!AA31:AC31)-Collation!AD31)</f>
        <v>0</v>
      </c>
      <c r="M31" s="269" t="str">
        <f>IF(ISBLANK(Collation!S31)," ",IF(SUM(Collation!S31)=Collation!AD31,"Correct","Does not match"))</f>
        <v>Correct</v>
      </c>
      <c r="N31" s="152" t="str">
        <f>IF(ISBLANK(Collation!AH31)," ",IF(SUM(Collation!AE31:AG31)=Collation!AH31,"Correct","Does not match"))</f>
        <v>Correct</v>
      </c>
      <c r="O31" s="151">
        <f>IF(ISBLANK(Collation!AH31)," ",SUM(Collation!AE31:AG31)-Collation!AH31)</f>
        <v>0</v>
      </c>
      <c r="P31" s="269" t="str">
        <f>IF(ISBLANK(Collation!T31)," ",IF(SUM(Collation!T31)=Collation!AH31,"Correct","Does not match"))</f>
        <v>Correct</v>
      </c>
      <c r="Q31" s="152" t="str">
        <f>IF(ISBLANK(Collation!AQ31)," ",IF(SUM(Collation!AN31:AP31)=Collation!AQ31,"Correct","Does not match"))</f>
        <v>Correct</v>
      </c>
      <c r="R31" s="151">
        <f>IF(ISBLANK(Collation!AQ31)," ",SUM(Collation!AN31:AP31)-Collation!AQ31)</f>
        <v>0</v>
      </c>
      <c r="S31" s="152" t="str">
        <f>IF(ISBLANK(Collation!AU31)," ",IF(SUM(Collation!AS31:AT31)=Collation!AU31,"Correct","Does not match"))</f>
        <v>Correct</v>
      </c>
      <c r="T31" s="151">
        <f>IF(ISBLANK(Collation!AU31)," ",SUM(Collation!AS31:AT31)-Collation!AU31)</f>
        <v>0</v>
      </c>
      <c r="U31" s="149" t="str">
        <f>IF(ISBLANK(Collation!U31)," ",IF(SUM(Collation!U31-Collation!AQ31-Collation!AU31)=0,"Correct","Does not match"))</f>
        <v>Does not match</v>
      </c>
      <c r="X31" s="103">
        <f t="shared" si="1"/>
        <v>10</v>
      </c>
    </row>
    <row r="32" spans="1:24" x14ac:dyDescent="0.3">
      <c r="A32" s="155" t="str">
        <f>Collation!A32</f>
        <v>Scottish Ambulance Service</v>
      </c>
      <c r="B32" s="150" t="str">
        <f>IF(ISBLANK(Collation!E32)," ",IF(SUM(Collation!C32:D32)=Collation!E32,"Correct","Does not match"))</f>
        <v>Correct</v>
      </c>
      <c r="C32" s="151">
        <f>IF(ISBLANK(Collation!E32)," ",SUM(Collation!C32:D32)-Collation!E32)</f>
        <v>0</v>
      </c>
      <c r="D32" s="152" t="s">
        <v>52</v>
      </c>
      <c r="E32" s="151" t="s">
        <v>52</v>
      </c>
      <c r="F32" s="152" t="str">
        <f>IF(ISBLANK(Collation!U32)," ",IF(SUM(Collation!R32:T32)=Collation!U32,"Correct","Does not match"))</f>
        <v>Correct</v>
      </c>
      <c r="G32" s="151">
        <f>IF(ISBLANK(Collation!U32)," ",SUM(Collation!R32:T32)-Collation!U32)</f>
        <v>0</v>
      </c>
      <c r="H32" s="152" t="str">
        <f>IF(ISBLANK(Collation!Z32)," ",IF(SUM(Collation!W32:Y32)=Collation!Z32,"Correct","Does not match"))</f>
        <v>Correct</v>
      </c>
      <c r="I32" s="151">
        <f>IF(ISBLANK(Collation!Z32)," ",SUM(Collation!W32:Y32)-Collation!Z32)</f>
        <v>0</v>
      </c>
      <c r="J32" s="152" t="str">
        <f>IF(ISBLANK(Collation!R32)," ",IF(SUM(Collation!R32)=Collation!Z32,"Correct","Does not match"))</f>
        <v>Correct</v>
      </c>
      <c r="K32" s="152" t="str">
        <f>IF(ISBLANK(Collation!AD32)," ",IF(SUM(Collation!AA32:AC32)=Collation!AD32,"Correct","Does not match"))</f>
        <v>Correct</v>
      </c>
      <c r="L32" s="151">
        <f>IF(ISBLANK(Collation!AD32)," ",SUM(Collation!AA32:AC32)-Collation!AD32)</f>
        <v>0</v>
      </c>
      <c r="M32" s="269" t="str">
        <f>IF(ISBLANK(Collation!S32)," ",IF(SUM(Collation!S32)=Collation!AD32,"Correct","Does not match"))</f>
        <v>Correct</v>
      </c>
      <c r="N32" s="152" t="str">
        <f>IF(ISBLANK(Collation!AH32)," ",IF(SUM(Collation!AE32:AG32)=Collation!AH32,"Correct","Does not match"))</f>
        <v>Correct</v>
      </c>
      <c r="O32" s="151">
        <f>IF(ISBLANK(Collation!AH32)," ",SUM(Collation!AE32:AG32)-Collation!AH32)</f>
        <v>0</v>
      </c>
      <c r="P32" s="269" t="str">
        <f>IF(ISBLANK(Collation!T32)," ",IF(SUM(Collation!T32)=Collation!AH32,"Correct","Does not match"))</f>
        <v>Correct</v>
      </c>
      <c r="Q32" s="152" t="str">
        <f>IF(ISBLANK(Collation!AQ32)," ",IF(SUM(Collation!AN32:AP32)=Collation!AQ32,"Correct","Does not match"))</f>
        <v>Correct</v>
      </c>
      <c r="R32" s="151">
        <f>IF(ISBLANK(Collation!AQ32)," ",SUM(Collation!AN32:AP32)-Collation!AQ32)</f>
        <v>0</v>
      </c>
      <c r="S32" s="152" t="str">
        <f>IF(ISBLANK(Collation!AU32)," ",IF(SUM(Collation!AS32:AT32)=Collation!AU32,"Correct","Does not match"))</f>
        <v>Correct</v>
      </c>
      <c r="T32" s="151">
        <f>IF(ISBLANK(Collation!AU32)," ",SUM(Collation!AS32:AT32)-Collation!AU32)</f>
        <v>0</v>
      </c>
      <c r="U32" s="149" t="str">
        <f>IF(ISBLANK(Collation!U32)," ",IF(SUM(Collation!U32-Collation!AQ32-Collation!AU32)=0,"Correct","Does not match"))</f>
        <v>Does not match</v>
      </c>
      <c r="X32" s="103">
        <f t="shared" si="1"/>
        <v>10</v>
      </c>
    </row>
    <row r="33" spans="1:24" x14ac:dyDescent="0.3">
      <c r="A33" s="266" t="str">
        <f>Collation!A33</f>
        <v>The State Hospitals Board for Scotland</v>
      </c>
      <c r="B33" s="267" t="str">
        <f>IF(ISBLANK(Collation!E33)," ",IF(SUM(Collation!C33:D33)=Collation!E33,"Correct","Does not match"))</f>
        <v>Correct</v>
      </c>
      <c r="C33" s="268">
        <f>IF(ISBLANK(Collation!E33)," ",SUM(Collation!C33:D33)-Collation!E33)</f>
        <v>0</v>
      </c>
      <c r="D33" s="269" t="s">
        <v>52</v>
      </c>
      <c r="E33" s="268" t="s">
        <v>52</v>
      </c>
      <c r="F33" s="269" t="str">
        <f>IF(ISBLANK(Collation!U33)," ",IF(SUM(Collation!R33:T33)=Collation!U33,"Correct","Does not match"))</f>
        <v>Correct</v>
      </c>
      <c r="G33" s="268">
        <f>IF(ISBLANK(Collation!U33)," ",SUM(Collation!R33:T33)-Collation!U33)</f>
        <v>0</v>
      </c>
      <c r="H33" s="269" t="str">
        <f>IF(ISBLANK(Collation!Z33)," ",IF(SUM(Collation!W33:Y33)=Collation!Z33,"Correct","Does not match"))</f>
        <v>Correct</v>
      </c>
      <c r="I33" s="268">
        <f>IF(ISBLANK(Collation!Z33)," ",SUM(Collation!W33:Y33)-Collation!Z33)</f>
        <v>0</v>
      </c>
      <c r="J33" s="152" t="str">
        <f>IF(ISBLANK(Collation!R33)," ",IF(SUM(Collation!R33)=Collation!Z33,"Correct","Does not match"))</f>
        <v>Correct</v>
      </c>
      <c r="K33" s="269" t="str">
        <f>IF(ISBLANK(Collation!AD33)," ",IF(SUM(Collation!AA33:AC33)=Collation!AD33,"Correct","Does not match"))</f>
        <v>Correct</v>
      </c>
      <c r="L33" s="268">
        <f>IF(ISBLANK(Collation!AD33)," ",SUM(Collation!AA33:AC33)-Collation!AD33)</f>
        <v>0</v>
      </c>
      <c r="M33" s="269" t="str">
        <f>IF(ISBLANK(Collation!S33)," ",IF(SUM(Collation!S33)=Collation!AD33,"Correct","Does not match"))</f>
        <v>Correct</v>
      </c>
      <c r="N33" s="269" t="str">
        <f>IF(ISBLANK(Collation!AH33)," ",IF(SUM(Collation!AE33:AG33)=Collation!AH33,"Correct","Does not match"))</f>
        <v>Correct</v>
      </c>
      <c r="O33" s="268">
        <f>IF(ISBLANK(Collation!AH33)," ",SUM(Collation!AE33:AG33)-Collation!AH33)</f>
        <v>0</v>
      </c>
      <c r="P33" s="269" t="str">
        <f>IF(ISBLANK(Collation!T33)," ",IF(SUM(Collation!T33)=Collation!AH33,"Correct","Does not match"))</f>
        <v>Correct</v>
      </c>
      <c r="Q33" s="269" t="str">
        <f>IF(ISBLANK(Collation!AQ33)," ",IF(SUM(Collation!AN33:AP33)=Collation!AQ33,"Correct","Does not match"))</f>
        <v>Correct</v>
      </c>
      <c r="R33" s="268">
        <f>IF(ISBLANK(Collation!AQ33)," ",SUM(Collation!AN33:AP33)-Collation!AQ33)</f>
        <v>0</v>
      </c>
      <c r="S33" s="269" t="str">
        <f>IF(ISBLANK(Collation!AU33)," ",IF(SUM(Collation!AS33:AT33)=Collation!AU33,"Correct","Does not match"))</f>
        <v>Correct</v>
      </c>
      <c r="T33" s="268">
        <f>IF(ISBLANK(Collation!AU33)," ",SUM(Collation!AS33:AT33)-Collation!AU33)</f>
        <v>0</v>
      </c>
      <c r="U33" s="149" t="str">
        <f>IF(ISBLANK(Collation!U33)," ",IF(SUM(Collation!U33-Collation!AQ33-Collation!AU33)=0,"Correct","Does not match"))</f>
        <v>Correct</v>
      </c>
      <c r="X33" s="103">
        <f t="shared" si="1"/>
        <v>11</v>
      </c>
    </row>
    <row r="34" spans="1:24" x14ac:dyDescent="0.3">
      <c r="A34" s="157" t="str">
        <f>Collation!A34</f>
        <v>Total for Special Boards</v>
      </c>
      <c r="B34" s="142" t="str">
        <f>IF(Collation!E34=" "," ",IF(SUM(Collation!C34:D34)=Collation!E34,"Correct","Does not match"))</f>
        <v>Correct</v>
      </c>
      <c r="C34" s="143">
        <f>IF(Collation!E34=" "," ",SUM(Collation!C34:D34)-Collation!E34)</f>
        <v>0</v>
      </c>
      <c r="D34" s="144" t="s">
        <v>52</v>
      </c>
      <c r="E34" s="143" t="s">
        <v>52</v>
      </c>
      <c r="F34" s="144" t="str">
        <f>IF(Collation!U34=" "," ",IF(SUM(Collation!R34:T34)=Collation!U34,"Correct","Does not match"))</f>
        <v>Correct</v>
      </c>
      <c r="G34" s="143">
        <f>IF(Collation!U34=" "," ",SUM(Collation!R34:T34)-Collation!U34)</f>
        <v>0</v>
      </c>
      <c r="H34" s="144" t="str">
        <f>IF(Collation!Z34=" "," ",IF(SUM(Collation!W34:Y34)=Collation!Z34,"Correct","Does not match"))</f>
        <v>Correct</v>
      </c>
      <c r="I34" s="143">
        <f>IF(Collation!Z34=" "," ",SUM(Collation!W34:Y34)-Collation!Z34)</f>
        <v>0</v>
      </c>
      <c r="J34" s="269" t="str">
        <f>IF(ISBLANK(Collation!R34)," ",IF(SUM(Collation!R34)=Collation!Z34,"Correct","Does not match"))</f>
        <v>Does not match</v>
      </c>
      <c r="K34" s="144" t="str">
        <f>IF(Collation!AD34=" "," ",IF(SUM(Collation!AA34:AC34)=Collation!AD34,"Correct","Does not match"))</f>
        <v>Correct</v>
      </c>
      <c r="L34" s="143">
        <f>IF(Collation!AD34=" "," ",SUM(Collation!AA34:AC34)-Collation!AD34)</f>
        <v>0</v>
      </c>
      <c r="M34" s="269" t="str">
        <f>IF(ISBLANK(Collation!S34)," ",IF(SUM(Collation!S34)=Collation!AD34,"Correct","Does not match"))</f>
        <v>Does not match</v>
      </c>
      <c r="N34" s="144" t="str">
        <f>IF(Collation!AH34=" "," ",IF(SUM(Collation!AE34:AG34)=Collation!AH34,"Correct","Does not match"))</f>
        <v>Correct</v>
      </c>
      <c r="O34" s="143">
        <f>IF(Collation!AH34=" "," ",SUM(Collation!AE34:AG34)-Collation!AH34)</f>
        <v>0</v>
      </c>
      <c r="P34" s="269" t="str">
        <f>IF(ISBLANK(Collation!T34)," ",IF(SUM(Collation!T34)=Collation!AH34,"Correct","Does not match"))</f>
        <v>Correct</v>
      </c>
      <c r="Q34" s="144" t="str">
        <f>IF(Collation!AQ34=" "," ",IF(SUM(Collation!AN34:AP34)=Collation!AQ34,"Correct","Does not match"))</f>
        <v>Correct</v>
      </c>
      <c r="R34" s="143">
        <f>IF(Collation!AQ34=" "," ",SUM(Collation!AN34:AP34)-Collation!AQ34)</f>
        <v>0</v>
      </c>
      <c r="S34" s="144" t="str">
        <f>IF(Collation!AU34=" "," ",IF(SUM(Collation!AS34:AT34)=Collation!AU34,"Correct","Does not match"))</f>
        <v>Correct</v>
      </c>
      <c r="T34" s="143">
        <f>IF(Collation!AU34=" "," ",SUM(Collation!AS34:AT34)-Collation!AU34)</f>
        <v>0</v>
      </c>
      <c r="X34" s="103">
        <f t="shared" si="1"/>
        <v>8</v>
      </c>
    </row>
    <row r="35" spans="1:24" x14ac:dyDescent="0.3">
      <c r="A35" s="265"/>
      <c r="B35" s="265"/>
      <c r="C35" s="265"/>
      <c r="D35" s="265"/>
      <c r="E35" s="265"/>
      <c r="F35" s="265"/>
      <c r="G35" s="265"/>
      <c r="H35" s="265"/>
      <c r="I35" s="265"/>
      <c r="J35" s="265"/>
      <c r="K35" s="265"/>
      <c r="L35" s="265"/>
      <c r="M35" s="265"/>
      <c r="N35" s="265"/>
      <c r="O35" s="265"/>
      <c r="P35" s="265"/>
      <c r="Q35" s="265"/>
      <c r="R35" s="265"/>
      <c r="S35" s="265"/>
      <c r="T35" s="265"/>
    </row>
    <row r="36" spans="1:24" x14ac:dyDescent="0.3">
      <c r="A36" s="157" t="str">
        <f>Collation!A36</f>
        <v>Combined Total</v>
      </c>
      <c r="B36" s="142" t="str">
        <f>IF(Collation!E36=" "," ",IF(SUM(Collation!C36:D36)=Collation!E36,"Correct","Does not match"))</f>
        <v>Correct</v>
      </c>
      <c r="C36" s="143">
        <f>IF(Collation!E36=" "," ",SUM(Collation!C36:D36)-Collation!E36)</f>
        <v>0</v>
      </c>
      <c r="D36" s="144" t="str">
        <f>IF(Collation!O36=" "," ",IF(SUM(Collation!G36:N36)=Collation!O36,"Correct","Does not match"))</f>
        <v>Correct</v>
      </c>
      <c r="E36" s="143">
        <f>IF(Collation!O36=" "," ",SUM(Collation!G36:N36)-Collation!O36)</f>
        <v>0</v>
      </c>
      <c r="F36" s="144" t="str">
        <f>IF(Collation!U36=" "," ",IF(SUM(Collation!R36:T36)=Collation!U36,"Correct","Does not match"))</f>
        <v>Correct</v>
      </c>
      <c r="G36" s="143">
        <f>IF(Collation!U36=" "," ",SUM(Collation!R36:T36)-Collation!U36)</f>
        <v>0</v>
      </c>
      <c r="H36" s="144" t="str">
        <f>IF(Collation!Z36=" "," ",IF(SUM(Collation!W36:Y36)=Collation!Z36,"Correct","Does not match"))</f>
        <v>Correct</v>
      </c>
      <c r="I36" s="143">
        <f>IF(Collation!Z36=" "," ",SUM(Collation!W36:Y36)-Collation!Z36)</f>
        <v>0</v>
      </c>
      <c r="J36" s="269" t="str">
        <f>IF(ISBLANK(Collation!R36)," ",IF(SUM(Collation!R36)=Collation!Z36,"Correct","Does not match"))</f>
        <v>Does not match</v>
      </c>
      <c r="K36" s="144" t="str">
        <f>IF(Collation!AD36=" "," ",IF(SUM(Collation!AA36:AC36)=Collation!AD36,"Correct","Does not match"))</f>
        <v>Correct</v>
      </c>
      <c r="L36" s="143">
        <f>IF(Collation!AD36=" "," ",SUM(Collation!AA36:AC36)-Collation!AD36)</f>
        <v>0</v>
      </c>
      <c r="M36" s="269" t="str">
        <f>IF(ISBLANK(Collation!S36)," ",IF(SUM(Collation!S36)=Collation!AD36,"Correct","Does not match"))</f>
        <v>Does not match</v>
      </c>
      <c r="N36" s="144" t="str">
        <f>IF(Collation!AH36=" "," ",IF(SUM(Collation!AE36:AG36)=Collation!AH36,"Correct","Does not match"))</f>
        <v>Correct</v>
      </c>
      <c r="O36" s="143">
        <f>IF(Collation!AH36=" "," ",SUM(Collation!AE36:AG36)-Collation!AH36)</f>
        <v>0</v>
      </c>
      <c r="P36" s="269" t="str">
        <f>IF(ISBLANK(Collation!T36)," ",IF(SUM(Collation!T36)=Collation!AH36,"Correct","Does not match"))</f>
        <v>Correct</v>
      </c>
      <c r="Q36" s="144" t="str">
        <f>IF(Collation!AQ36=" "," ",IF(SUM(Collation!AN36:AP36)=Collation!AQ36,"Correct","Does not match"))</f>
        <v>Correct</v>
      </c>
      <c r="R36" s="143">
        <f>IF(Collation!AQ36=" "," ",SUM(Collation!AN36:AP36)-Collation!AQ36)</f>
        <v>0</v>
      </c>
      <c r="S36" s="144" t="str">
        <f>IF(Collation!AU36=" "," ",IF(SUM(Collation!AS36:AT36)=Collation!AU36,"Correct","Does not match"))</f>
        <v>Correct</v>
      </c>
      <c r="T36" s="143">
        <f>IF(Collation!AU36=" "," ",SUM(Collation!AS36:AT36)-Collation!AU36)</f>
        <v>0</v>
      </c>
      <c r="X36" s="103">
        <f>COUNTIF(B36:V36,"correct")</f>
        <v>9</v>
      </c>
    </row>
  </sheetData>
  <conditionalFormatting sqref="D8:D22 H8:H22 F36 F8:F22 F5 F26:F34">
    <cfRule type="cellIs" dxfId="188" priority="463" operator="equal">
      <formula>"Correct"</formula>
    </cfRule>
  </conditionalFormatting>
  <conditionalFormatting sqref="D8:D22 H8:H22 F36 F8:F22 F5 F26:F34">
    <cfRule type="cellIs" dxfId="187" priority="462" operator="notEqual">
      <formula>"Correct"</formula>
    </cfRule>
  </conditionalFormatting>
  <conditionalFormatting sqref="E8:E22 G8:G22 G5 G26:G34 G36 I8:I22">
    <cfRule type="cellIs" dxfId="186" priority="458" operator="notEqual">
      <formula>0</formula>
    </cfRule>
    <cfRule type="cellIs" dxfId="185" priority="459" operator="equal">
      <formula>0</formula>
    </cfRule>
  </conditionalFormatting>
  <conditionalFormatting sqref="D8:D22 H8:H22 F36 F8:F22 F5 F26:F34">
    <cfRule type="containsBlanks" dxfId="184" priority="461">
      <formula>LEN(TRIM(D5))=0</formula>
    </cfRule>
  </conditionalFormatting>
  <conditionalFormatting sqref="E8:E22 G8:G22 G26:G34 G5 G36 I8:I22">
    <cfRule type="containsBlanks" dxfId="183" priority="380">
      <formula>LEN(TRIM(E5))=0</formula>
    </cfRule>
  </conditionalFormatting>
  <conditionalFormatting sqref="D9:D22">
    <cfRule type="containsBlanks" dxfId="182" priority="379">
      <formula>LEN(TRIM(D9))=0</formula>
    </cfRule>
  </conditionalFormatting>
  <conditionalFormatting sqref="E9:E22">
    <cfRule type="containsBlanks" dxfId="181" priority="378">
      <formula>LEN(TRIM(E9))=0</formula>
    </cfRule>
  </conditionalFormatting>
  <conditionalFormatting sqref="D8">
    <cfRule type="containsBlanks" dxfId="180" priority="361">
      <formula>LEN(TRIM(D8))=0</formula>
    </cfRule>
  </conditionalFormatting>
  <conditionalFormatting sqref="E8">
    <cfRule type="containsBlanks" dxfId="179" priority="360">
      <formula>LEN(TRIM(E8))=0</formula>
    </cfRule>
  </conditionalFormatting>
  <conditionalFormatting sqref="D36">
    <cfRule type="cellIs" dxfId="178" priority="247" operator="equal">
      <formula>"Correct"</formula>
    </cfRule>
  </conditionalFormatting>
  <conditionalFormatting sqref="D36">
    <cfRule type="cellIs" dxfId="177" priority="246" operator="notEqual">
      <formula>"Correct"</formula>
    </cfRule>
  </conditionalFormatting>
  <conditionalFormatting sqref="E36">
    <cfRule type="cellIs" dxfId="176" priority="244" operator="notEqual">
      <formula>0</formula>
    </cfRule>
    <cfRule type="cellIs" dxfId="175" priority="245" operator="equal">
      <formula>0</formula>
    </cfRule>
  </conditionalFormatting>
  <conditionalFormatting sqref="D36">
    <cfRule type="containsBlanks" dxfId="174" priority="243">
      <formula>LEN(TRIM(D36))=0</formula>
    </cfRule>
  </conditionalFormatting>
  <conditionalFormatting sqref="E36">
    <cfRule type="containsBlanks" dxfId="173" priority="242">
      <formula>LEN(TRIM(E36))=0</formula>
    </cfRule>
  </conditionalFormatting>
  <conditionalFormatting sqref="D36">
    <cfRule type="containsBlanks" dxfId="172" priority="241">
      <formula>LEN(TRIM(D36))=0</formula>
    </cfRule>
  </conditionalFormatting>
  <conditionalFormatting sqref="E36">
    <cfRule type="containsBlanks" dxfId="171" priority="240">
      <formula>LEN(TRIM(E36))=0</formula>
    </cfRule>
  </conditionalFormatting>
  <conditionalFormatting sqref="D5">
    <cfRule type="cellIs" dxfId="170" priority="205" operator="equal">
      <formula>"Correct"</formula>
    </cfRule>
  </conditionalFormatting>
  <conditionalFormatting sqref="D5">
    <cfRule type="cellIs" dxfId="169" priority="204" operator="notEqual">
      <formula>"Correct"</formula>
    </cfRule>
  </conditionalFormatting>
  <conditionalFormatting sqref="E5">
    <cfRule type="cellIs" dxfId="168" priority="202" operator="notEqual">
      <formula>0</formula>
    </cfRule>
    <cfRule type="cellIs" dxfId="167" priority="203" operator="equal">
      <formula>0</formula>
    </cfRule>
  </conditionalFormatting>
  <conditionalFormatting sqref="D5">
    <cfRule type="containsBlanks" dxfId="166" priority="201">
      <formula>LEN(TRIM(D5))=0</formula>
    </cfRule>
  </conditionalFormatting>
  <conditionalFormatting sqref="E5">
    <cfRule type="containsBlanks" dxfId="165" priority="200">
      <formula>LEN(TRIM(E5))=0</formula>
    </cfRule>
  </conditionalFormatting>
  <conditionalFormatting sqref="D5">
    <cfRule type="containsBlanks" dxfId="164" priority="199">
      <formula>LEN(TRIM(D5))=0</formula>
    </cfRule>
  </conditionalFormatting>
  <conditionalFormatting sqref="E5">
    <cfRule type="containsBlanks" dxfId="163" priority="198">
      <formula>LEN(TRIM(E5))=0</formula>
    </cfRule>
  </conditionalFormatting>
  <conditionalFormatting sqref="B5">
    <cfRule type="cellIs" dxfId="162" priority="189" operator="equal">
      <formula>"Correct"</formula>
    </cfRule>
  </conditionalFormatting>
  <conditionalFormatting sqref="B5">
    <cfRule type="cellIs" dxfId="161" priority="188" operator="notEqual">
      <formula>"Correct"</formula>
    </cfRule>
  </conditionalFormatting>
  <conditionalFormatting sqref="C5">
    <cfRule type="cellIs" dxfId="160" priority="186" operator="notEqual">
      <formula>0</formula>
    </cfRule>
    <cfRule type="cellIs" dxfId="159" priority="187" operator="equal">
      <formula>0</formula>
    </cfRule>
  </conditionalFormatting>
  <conditionalFormatting sqref="B5">
    <cfRule type="containsBlanks" dxfId="158" priority="185">
      <formula>LEN(TRIM(B5))=0</formula>
    </cfRule>
  </conditionalFormatting>
  <conditionalFormatting sqref="C5">
    <cfRule type="containsBlanks" dxfId="157" priority="184">
      <formula>LEN(TRIM(C5))=0</formula>
    </cfRule>
  </conditionalFormatting>
  <conditionalFormatting sqref="B5">
    <cfRule type="containsBlanks" dxfId="156" priority="183">
      <formula>LEN(TRIM(B5))=0</formula>
    </cfRule>
  </conditionalFormatting>
  <conditionalFormatting sqref="C5">
    <cfRule type="containsBlanks" dxfId="155" priority="182">
      <formula>LEN(TRIM(C5))=0</formula>
    </cfRule>
  </conditionalFormatting>
  <conditionalFormatting sqref="B8:B22">
    <cfRule type="cellIs" dxfId="154" priority="181" operator="equal">
      <formula>"Correct"</formula>
    </cfRule>
  </conditionalFormatting>
  <conditionalFormatting sqref="B8:B22">
    <cfRule type="cellIs" dxfId="153" priority="180" operator="notEqual">
      <formula>"Correct"</formula>
    </cfRule>
  </conditionalFormatting>
  <conditionalFormatting sqref="C8:C22">
    <cfRule type="cellIs" dxfId="152" priority="178" operator="notEqual">
      <formula>0</formula>
    </cfRule>
    <cfRule type="cellIs" dxfId="151" priority="179" operator="equal">
      <formula>0</formula>
    </cfRule>
  </conditionalFormatting>
  <conditionalFormatting sqref="B8:B22">
    <cfRule type="containsBlanks" dxfId="150" priority="177">
      <formula>LEN(TRIM(B8))=0</formula>
    </cfRule>
  </conditionalFormatting>
  <conditionalFormatting sqref="C8:C22">
    <cfRule type="containsBlanks" dxfId="149" priority="176">
      <formula>LEN(TRIM(C8))=0</formula>
    </cfRule>
  </conditionalFormatting>
  <conditionalFormatting sqref="B8:B22">
    <cfRule type="containsBlanks" dxfId="148" priority="175">
      <formula>LEN(TRIM(B8))=0</formula>
    </cfRule>
  </conditionalFormatting>
  <conditionalFormatting sqref="C8:C22">
    <cfRule type="containsBlanks" dxfId="147" priority="174">
      <formula>LEN(TRIM(C8))=0</formula>
    </cfRule>
  </conditionalFormatting>
  <conditionalFormatting sqref="B26:B34">
    <cfRule type="cellIs" dxfId="146" priority="173" operator="equal">
      <formula>"Correct"</formula>
    </cfRule>
  </conditionalFormatting>
  <conditionalFormatting sqref="B26:B34">
    <cfRule type="cellIs" dxfId="145" priority="172" operator="notEqual">
      <formula>"Correct"</formula>
    </cfRule>
  </conditionalFormatting>
  <conditionalFormatting sqref="C26:C34">
    <cfRule type="cellIs" dxfId="144" priority="170" operator="notEqual">
      <formula>0</formula>
    </cfRule>
    <cfRule type="cellIs" dxfId="143" priority="171" operator="equal">
      <formula>0</formula>
    </cfRule>
  </conditionalFormatting>
  <conditionalFormatting sqref="B26:B34">
    <cfRule type="containsBlanks" dxfId="142" priority="169">
      <formula>LEN(TRIM(B26))=0</formula>
    </cfRule>
  </conditionalFormatting>
  <conditionalFormatting sqref="C26:C34">
    <cfRule type="containsBlanks" dxfId="141" priority="168">
      <formula>LEN(TRIM(C26))=0</formula>
    </cfRule>
  </conditionalFormatting>
  <conditionalFormatting sqref="B26:B34">
    <cfRule type="containsBlanks" dxfId="140" priority="167">
      <formula>LEN(TRIM(B26))=0</formula>
    </cfRule>
  </conditionalFormatting>
  <conditionalFormatting sqref="C26:C34">
    <cfRule type="containsBlanks" dxfId="139" priority="166">
      <formula>LEN(TRIM(C26))=0</formula>
    </cfRule>
  </conditionalFormatting>
  <conditionalFormatting sqref="B34">
    <cfRule type="cellIs" dxfId="138" priority="165" operator="equal">
      <formula>"Correct"</formula>
    </cfRule>
  </conditionalFormatting>
  <conditionalFormatting sqref="B34">
    <cfRule type="cellIs" dxfId="137" priority="164" operator="notEqual">
      <formula>"Correct"</formula>
    </cfRule>
  </conditionalFormatting>
  <conditionalFormatting sqref="C34">
    <cfRule type="cellIs" dxfId="136" priority="162" operator="notEqual">
      <formula>0</formula>
    </cfRule>
    <cfRule type="cellIs" dxfId="135" priority="163" operator="equal">
      <formula>0</formula>
    </cfRule>
  </conditionalFormatting>
  <conditionalFormatting sqref="B34">
    <cfRule type="containsBlanks" dxfId="134" priority="161">
      <formula>LEN(TRIM(B34))=0</formula>
    </cfRule>
  </conditionalFormatting>
  <conditionalFormatting sqref="C34">
    <cfRule type="containsBlanks" dxfId="133" priority="160">
      <formula>LEN(TRIM(C34))=0</formula>
    </cfRule>
  </conditionalFormatting>
  <conditionalFormatting sqref="B34">
    <cfRule type="containsBlanks" dxfId="132" priority="159">
      <formula>LEN(TRIM(B34))=0</formula>
    </cfRule>
  </conditionalFormatting>
  <conditionalFormatting sqref="C34">
    <cfRule type="containsBlanks" dxfId="131" priority="158">
      <formula>LEN(TRIM(C34))=0</formula>
    </cfRule>
  </conditionalFormatting>
  <conditionalFormatting sqref="B36">
    <cfRule type="cellIs" dxfId="130" priority="157" operator="equal">
      <formula>"Correct"</formula>
    </cfRule>
  </conditionalFormatting>
  <conditionalFormatting sqref="B36">
    <cfRule type="cellIs" dxfId="129" priority="156" operator="notEqual">
      <formula>"Correct"</formula>
    </cfRule>
  </conditionalFormatting>
  <conditionalFormatting sqref="C36">
    <cfRule type="cellIs" dxfId="128" priority="154" operator="notEqual">
      <formula>0</formula>
    </cfRule>
    <cfRule type="cellIs" dxfId="127" priority="155" operator="equal">
      <formula>0</formula>
    </cfRule>
  </conditionalFormatting>
  <conditionalFormatting sqref="B36">
    <cfRule type="containsBlanks" dxfId="126" priority="153">
      <formula>LEN(TRIM(B36))=0</formula>
    </cfRule>
  </conditionalFormatting>
  <conditionalFormatting sqref="C36">
    <cfRule type="containsBlanks" dxfId="125" priority="152">
      <formula>LEN(TRIM(C36))=0</formula>
    </cfRule>
  </conditionalFormatting>
  <conditionalFormatting sqref="B36">
    <cfRule type="containsBlanks" dxfId="124" priority="151">
      <formula>LEN(TRIM(B36))=0</formula>
    </cfRule>
  </conditionalFormatting>
  <conditionalFormatting sqref="C36">
    <cfRule type="containsBlanks" dxfId="123" priority="150">
      <formula>LEN(TRIM(C36))=0</formula>
    </cfRule>
  </conditionalFormatting>
  <conditionalFormatting sqref="B36">
    <cfRule type="cellIs" dxfId="122" priority="149" operator="equal">
      <formula>"Correct"</formula>
    </cfRule>
  </conditionalFormatting>
  <conditionalFormatting sqref="B36">
    <cfRule type="cellIs" dxfId="121" priority="148" operator="notEqual">
      <formula>"Correct"</formula>
    </cfRule>
  </conditionalFormatting>
  <conditionalFormatting sqref="C36">
    <cfRule type="cellIs" dxfId="120" priority="146" operator="notEqual">
      <formula>0</formula>
    </cfRule>
    <cfRule type="cellIs" dxfId="119" priority="147" operator="equal">
      <formula>0</formula>
    </cfRule>
  </conditionalFormatting>
  <conditionalFormatting sqref="B36">
    <cfRule type="containsBlanks" dxfId="118" priority="145">
      <formula>LEN(TRIM(B36))=0</formula>
    </cfRule>
  </conditionalFormatting>
  <conditionalFormatting sqref="C36">
    <cfRule type="containsBlanks" dxfId="117" priority="144">
      <formula>LEN(TRIM(C36))=0</formula>
    </cfRule>
  </conditionalFormatting>
  <conditionalFormatting sqref="B36">
    <cfRule type="containsBlanks" dxfId="116" priority="143">
      <formula>LEN(TRIM(B36))=0</formula>
    </cfRule>
  </conditionalFormatting>
  <conditionalFormatting sqref="C36">
    <cfRule type="containsBlanks" dxfId="115" priority="142">
      <formula>LEN(TRIM(C36))=0</formula>
    </cfRule>
  </conditionalFormatting>
  <conditionalFormatting sqref="K8:K22">
    <cfRule type="cellIs" dxfId="114" priority="141" operator="equal">
      <formula>"Correct"</formula>
    </cfRule>
  </conditionalFormatting>
  <conditionalFormatting sqref="K8:K22">
    <cfRule type="cellIs" dxfId="113" priority="140" operator="notEqual">
      <formula>"Correct"</formula>
    </cfRule>
  </conditionalFormatting>
  <conditionalFormatting sqref="K8:K22">
    <cfRule type="containsBlanks" dxfId="112" priority="139">
      <formula>LEN(TRIM(K8))=0</formula>
    </cfRule>
  </conditionalFormatting>
  <conditionalFormatting sqref="L8:L22">
    <cfRule type="cellIs" dxfId="111" priority="134" operator="notEqual">
      <formula>0</formula>
    </cfRule>
    <cfRule type="cellIs" dxfId="110" priority="135" operator="equal">
      <formula>0</formula>
    </cfRule>
  </conditionalFormatting>
  <conditionalFormatting sqref="L8:L22">
    <cfRule type="containsBlanks" dxfId="109" priority="133">
      <formula>LEN(TRIM(L8))=0</formula>
    </cfRule>
  </conditionalFormatting>
  <conditionalFormatting sqref="N8:N22">
    <cfRule type="cellIs" dxfId="108" priority="132" operator="equal">
      <formula>"Correct"</formula>
    </cfRule>
  </conditionalFormatting>
  <conditionalFormatting sqref="N8:N22">
    <cfRule type="cellIs" dxfId="107" priority="131" operator="notEqual">
      <formula>"Correct"</formula>
    </cfRule>
  </conditionalFormatting>
  <conditionalFormatting sqref="N8:N22">
    <cfRule type="containsBlanks" dxfId="106" priority="130">
      <formula>LEN(TRIM(N8))=0</formula>
    </cfRule>
  </conditionalFormatting>
  <conditionalFormatting sqref="Q8:Q22">
    <cfRule type="cellIs" dxfId="105" priority="129" operator="equal">
      <formula>"Correct"</formula>
    </cfRule>
  </conditionalFormatting>
  <conditionalFormatting sqref="Q8:Q22">
    <cfRule type="cellIs" dxfId="104" priority="128" operator="notEqual">
      <formula>"Correct"</formula>
    </cfRule>
  </conditionalFormatting>
  <conditionalFormatting sqref="Q8:Q22">
    <cfRule type="containsBlanks" dxfId="103" priority="127">
      <formula>LEN(TRIM(Q8))=0</formula>
    </cfRule>
  </conditionalFormatting>
  <conditionalFormatting sqref="S8:S22">
    <cfRule type="cellIs" dxfId="102" priority="126" operator="equal">
      <formula>"Correct"</formula>
    </cfRule>
  </conditionalFormatting>
  <conditionalFormatting sqref="S8:S22">
    <cfRule type="cellIs" dxfId="101" priority="125" operator="notEqual">
      <formula>"Correct"</formula>
    </cfRule>
  </conditionalFormatting>
  <conditionalFormatting sqref="S8:S22">
    <cfRule type="containsBlanks" dxfId="100" priority="124">
      <formula>LEN(TRIM(S8))=0</formula>
    </cfRule>
  </conditionalFormatting>
  <conditionalFormatting sqref="L8:L22">
    <cfRule type="cellIs" dxfId="99" priority="119" operator="notEqual">
      <formula>0</formula>
    </cfRule>
    <cfRule type="cellIs" dxfId="98" priority="120" operator="equal">
      <formula>0</formula>
    </cfRule>
  </conditionalFormatting>
  <conditionalFormatting sqref="L8:L22">
    <cfRule type="containsBlanks" dxfId="97" priority="118">
      <formula>LEN(TRIM(L8))=0</formula>
    </cfRule>
  </conditionalFormatting>
  <conditionalFormatting sqref="O8:O22">
    <cfRule type="cellIs" dxfId="96" priority="116" operator="notEqual">
      <formula>0</formula>
    </cfRule>
    <cfRule type="cellIs" dxfId="95" priority="117" operator="equal">
      <formula>0</formula>
    </cfRule>
  </conditionalFormatting>
  <conditionalFormatting sqref="O8:O22">
    <cfRule type="containsBlanks" dxfId="94" priority="115">
      <formula>LEN(TRIM(O8))=0</formula>
    </cfRule>
  </conditionalFormatting>
  <conditionalFormatting sqref="O8:O22">
    <cfRule type="cellIs" dxfId="93" priority="113" operator="notEqual">
      <formula>0</formula>
    </cfRule>
    <cfRule type="cellIs" dxfId="92" priority="114" operator="equal">
      <formula>0</formula>
    </cfRule>
  </conditionalFormatting>
  <conditionalFormatting sqref="O8:O22">
    <cfRule type="containsBlanks" dxfId="91" priority="112">
      <formula>LEN(TRIM(O8))=0</formula>
    </cfRule>
  </conditionalFormatting>
  <conditionalFormatting sqref="R8:R22">
    <cfRule type="cellIs" dxfId="90" priority="110" operator="notEqual">
      <formula>0</formula>
    </cfRule>
    <cfRule type="cellIs" dxfId="89" priority="111" operator="equal">
      <formula>0</formula>
    </cfRule>
  </conditionalFormatting>
  <conditionalFormatting sqref="R8:R22">
    <cfRule type="containsBlanks" dxfId="88" priority="109">
      <formula>LEN(TRIM(R8))=0</formula>
    </cfRule>
  </conditionalFormatting>
  <conditionalFormatting sqref="R8:R22">
    <cfRule type="cellIs" dxfId="87" priority="107" operator="notEqual">
      <formula>0</formula>
    </cfRule>
    <cfRule type="cellIs" dxfId="86" priority="108" operator="equal">
      <formula>0</formula>
    </cfRule>
  </conditionalFormatting>
  <conditionalFormatting sqref="R8:R22">
    <cfRule type="containsBlanks" dxfId="85" priority="106">
      <formula>LEN(TRIM(R8))=0</formula>
    </cfRule>
  </conditionalFormatting>
  <conditionalFormatting sqref="T8:T22">
    <cfRule type="cellIs" dxfId="84" priority="104" operator="notEqual">
      <formula>0</formula>
    </cfRule>
    <cfRule type="cellIs" dxfId="83" priority="105" operator="equal">
      <formula>0</formula>
    </cfRule>
  </conditionalFormatting>
  <conditionalFormatting sqref="T8:T22">
    <cfRule type="containsBlanks" dxfId="82" priority="103">
      <formula>LEN(TRIM(T8))=0</formula>
    </cfRule>
  </conditionalFormatting>
  <conditionalFormatting sqref="T8:T22">
    <cfRule type="cellIs" dxfId="81" priority="101" operator="notEqual">
      <formula>0</formula>
    </cfRule>
    <cfRule type="cellIs" dxfId="80" priority="102" operator="equal">
      <formula>0</formula>
    </cfRule>
  </conditionalFormatting>
  <conditionalFormatting sqref="T8:T22">
    <cfRule type="containsBlanks" dxfId="79" priority="100">
      <formula>LEN(TRIM(T8))=0</formula>
    </cfRule>
  </conditionalFormatting>
  <conditionalFormatting sqref="H36 H26:H34">
    <cfRule type="cellIs" dxfId="78" priority="93" operator="equal">
      <formula>"Correct"</formula>
    </cfRule>
  </conditionalFormatting>
  <conditionalFormatting sqref="H36 H26:H34">
    <cfRule type="cellIs" dxfId="77" priority="92" operator="notEqual">
      <formula>"Correct"</formula>
    </cfRule>
  </conditionalFormatting>
  <conditionalFormatting sqref="H36 H26:H34">
    <cfRule type="containsBlanks" dxfId="76" priority="91">
      <formula>LEN(TRIM(H26))=0</formula>
    </cfRule>
  </conditionalFormatting>
  <conditionalFormatting sqref="K36 K26:K34">
    <cfRule type="cellIs" dxfId="75" priority="90" operator="equal">
      <formula>"Correct"</formula>
    </cfRule>
  </conditionalFormatting>
  <conditionalFormatting sqref="K36 K26:K34">
    <cfRule type="cellIs" dxfId="74" priority="89" operator="notEqual">
      <formula>"Correct"</formula>
    </cfRule>
  </conditionalFormatting>
  <conditionalFormatting sqref="K36 K26:K34">
    <cfRule type="containsBlanks" dxfId="73" priority="88">
      <formula>LEN(TRIM(K26))=0</formula>
    </cfRule>
  </conditionalFormatting>
  <conditionalFormatting sqref="N36 N26:N34">
    <cfRule type="cellIs" dxfId="72" priority="87" operator="equal">
      <formula>"Correct"</formula>
    </cfRule>
  </conditionalFormatting>
  <conditionalFormatting sqref="N36 N26:N34">
    <cfRule type="cellIs" dxfId="71" priority="86" operator="notEqual">
      <formula>"Correct"</formula>
    </cfRule>
  </conditionalFormatting>
  <conditionalFormatting sqref="N36 N26:N34">
    <cfRule type="containsBlanks" dxfId="70" priority="85">
      <formula>LEN(TRIM(N26))=0</formula>
    </cfRule>
  </conditionalFormatting>
  <conditionalFormatting sqref="Q36 Q26:Q34">
    <cfRule type="cellIs" dxfId="69" priority="84" operator="equal">
      <formula>"Correct"</formula>
    </cfRule>
  </conditionalFormatting>
  <conditionalFormatting sqref="Q36 Q26:Q34">
    <cfRule type="cellIs" dxfId="68" priority="83" operator="notEqual">
      <formula>"Correct"</formula>
    </cfRule>
  </conditionalFormatting>
  <conditionalFormatting sqref="Q36 Q26:Q34">
    <cfRule type="containsBlanks" dxfId="67" priority="82">
      <formula>LEN(TRIM(Q26))=0</formula>
    </cfRule>
  </conditionalFormatting>
  <conditionalFormatting sqref="S36 S26:S34">
    <cfRule type="cellIs" dxfId="66" priority="81" operator="equal">
      <formula>"Correct"</formula>
    </cfRule>
  </conditionalFormatting>
  <conditionalFormatting sqref="S36 S26:S34">
    <cfRule type="cellIs" dxfId="65" priority="80" operator="notEqual">
      <formula>"Correct"</formula>
    </cfRule>
  </conditionalFormatting>
  <conditionalFormatting sqref="S36 S26:S34">
    <cfRule type="containsBlanks" dxfId="64" priority="79">
      <formula>LEN(TRIM(S26))=0</formula>
    </cfRule>
  </conditionalFormatting>
  <conditionalFormatting sqref="I36 I26:I34">
    <cfRule type="cellIs" dxfId="63" priority="74" operator="notEqual">
      <formula>0</formula>
    </cfRule>
    <cfRule type="cellIs" dxfId="62" priority="75" operator="equal">
      <formula>0</formula>
    </cfRule>
  </conditionalFormatting>
  <conditionalFormatting sqref="I36 I26:I34">
    <cfRule type="containsBlanks" dxfId="61" priority="73">
      <formula>LEN(TRIM(I26))=0</formula>
    </cfRule>
  </conditionalFormatting>
  <conditionalFormatting sqref="L36 L26:L34">
    <cfRule type="cellIs" dxfId="60" priority="71" operator="notEqual">
      <formula>0</formula>
    </cfRule>
    <cfRule type="cellIs" dxfId="59" priority="72" operator="equal">
      <formula>0</formula>
    </cfRule>
  </conditionalFormatting>
  <conditionalFormatting sqref="L36 L26:L34">
    <cfRule type="containsBlanks" dxfId="58" priority="70">
      <formula>LEN(TRIM(L26))=0</formula>
    </cfRule>
  </conditionalFormatting>
  <conditionalFormatting sqref="O26:O34 O36">
    <cfRule type="cellIs" dxfId="57" priority="68" operator="notEqual">
      <formula>0</formula>
    </cfRule>
    <cfRule type="cellIs" dxfId="56" priority="69" operator="equal">
      <formula>0</formula>
    </cfRule>
  </conditionalFormatting>
  <conditionalFormatting sqref="O26:O34 O36">
    <cfRule type="containsBlanks" dxfId="55" priority="67">
      <formula>LEN(TRIM(O26))=0</formula>
    </cfRule>
  </conditionalFormatting>
  <conditionalFormatting sqref="R26:R34 R36">
    <cfRule type="cellIs" dxfId="54" priority="65" operator="notEqual">
      <formula>0</formula>
    </cfRule>
    <cfRule type="cellIs" dxfId="53" priority="66" operator="equal">
      <formula>0</formula>
    </cfRule>
  </conditionalFormatting>
  <conditionalFormatting sqref="R26:R34 R36">
    <cfRule type="containsBlanks" dxfId="52" priority="64">
      <formula>LEN(TRIM(R26))=0</formula>
    </cfRule>
  </conditionalFormatting>
  <conditionalFormatting sqref="T26:T34 T36">
    <cfRule type="cellIs" dxfId="51" priority="62" operator="notEqual">
      <formula>0</formula>
    </cfRule>
    <cfRule type="cellIs" dxfId="50" priority="63" operator="equal">
      <formula>0</formula>
    </cfRule>
  </conditionalFormatting>
  <conditionalFormatting sqref="T26:T34 T36">
    <cfRule type="containsBlanks" dxfId="49" priority="61">
      <formula>LEN(TRIM(T26))=0</formula>
    </cfRule>
  </conditionalFormatting>
  <conditionalFormatting sqref="U8:U21">
    <cfRule type="containsBlanks" dxfId="48" priority="46">
      <formula>LEN(TRIM(U8))=0</formula>
    </cfRule>
  </conditionalFormatting>
  <conditionalFormatting sqref="U8:U21">
    <cfRule type="cellIs" dxfId="47" priority="48" operator="equal">
      <formula>"Correct"</formula>
    </cfRule>
  </conditionalFormatting>
  <conditionalFormatting sqref="U8:U21">
    <cfRule type="cellIs" dxfId="46" priority="47" operator="notEqual">
      <formula>"Correct"</formula>
    </cfRule>
  </conditionalFormatting>
  <conditionalFormatting sqref="U26:U33">
    <cfRule type="containsBlanks" dxfId="45" priority="43">
      <formula>LEN(TRIM(U26))=0</formula>
    </cfRule>
  </conditionalFormatting>
  <conditionalFormatting sqref="U26:U33">
    <cfRule type="cellIs" dxfId="44" priority="45" operator="equal">
      <formula>"Correct"</formula>
    </cfRule>
  </conditionalFormatting>
  <conditionalFormatting sqref="U26:U33">
    <cfRule type="cellIs" dxfId="43" priority="44" operator="notEqual">
      <formula>"Correct"</formula>
    </cfRule>
  </conditionalFormatting>
  <conditionalFormatting sqref="P8:P21">
    <cfRule type="cellIs" dxfId="42" priority="42" operator="equal">
      <formula>"Correct"</formula>
    </cfRule>
  </conditionalFormatting>
  <conditionalFormatting sqref="P8:P21">
    <cfRule type="cellIs" dxfId="41" priority="41" operator="notEqual">
      <formula>"Correct"</formula>
    </cfRule>
  </conditionalFormatting>
  <conditionalFormatting sqref="P8:P21">
    <cfRule type="containsBlanks" dxfId="40" priority="40">
      <formula>LEN(TRIM(P8))=0</formula>
    </cfRule>
  </conditionalFormatting>
  <conditionalFormatting sqref="M8:M21">
    <cfRule type="cellIs" dxfId="39" priority="39" operator="equal">
      <formula>"Correct"</formula>
    </cfRule>
  </conditionalFormatting>
  <conditionalFormatting sqref="M8:M21">
    <cfRule type="cellIs" dxfId="38" priority="38" operator="notEqual">
      <formula>"Correct"</formula>
    </cfRule>
  </conditionalFormatting>
  <conditionalFormatting sqref="M8:M21">
    <cfRule type="containsBlanks" dxfId="37" priority="37">
      <formula>LEN(TRIM(M8))=0</formula>
    </cfRule>
  </conditionalFormatting>
  <conditionalFormatting sqref="J8:J21">
    <cfRule type="cellIs" dxfId="36" priority="36" operator="equal">
      <formula>"Correct"</formula>
    </cfRule>
  </conditionalFormatting>
  <conditionalFormatting sqref="J8:J21">
    <cfRule type="cellIs" dxfId="35" priority="35" operator="notEqual">
      <formula>"Correct"</formula>
    </cfRule>
  </conditionalFormatting>
  <conditionalFormatting sqref="J8:J21">
    <cfRule type="containsBlanks" dxfId="34" priority="34">
      <formula>LEN(TRIM(J8))=0</formula>
    </cfRule>
  </conditionalFormatting>
  <conditionalFormatting sqref="J22">
    <cfRule type="cellIs" dxfId="33" priority="33" operator="equal">
      <formula>"Correct"</formula>
    </cfRule>
  </conditionalFormatting>
  <conditionalFormatting sqref="J22">
    <cfRule type="cellIs" dxfId="32" priority="32" operator="notEqual">
      <formula>"Correct"</formula>
    </cfRule>
  </conditionalFormatting>
  <conditionalFormatting sqref="J22">
    <cfRule type="containsBlanks" dxfId="31" priority="31">
      <formula>LEN(TRIM(J22))=0</formula>
    </cfRule>
  </conditionalFormatting>
  <conditionalFormatting sqref="J26:J33">
    <cfRule type="cellIs" dxfId="30" priority="30" operator="equal">
      <formula>"Correct"</formula>
    </cfRule>
  </conditionalFormatting>
  <conditionalFormatting sqref="J26:J33">
    <cfRule type="cellIs" dxfId="29" priority="29" operator="notEqual">
      <formula>"Correct"</formula>
    </cfRule>
  </conditionalFormatting>
  <conditionalFormatting sqref="J26:J33">
    <cfRule type="containsBlanks" dxfId="28" priority="28">
      <formula>LEN(TRIM(J26))=0</formula>
    </cfRule>
  </conditionalFormatting>
  <conditionalFormatting sqref="J34">
    <cfRule type="cellIs" dxfId="27" priority="27" operator="equal">
      <formula>"Correct"</formula>
    </cfRule>
  </conditionalFormatting>
  <conditionalFormatting sqref="J34">
    <cfRule type="cellIs" dxfId="26" priority="26" operator="notEqual">
      <formula>"Correct"</formula>
    </cfRule>
  </conditionalFormatting>
  <conditionalFormatting sqref="J34">
    <cfRule type="containsBlanks" dxfId="25" priority="25">
      <formula>LEN(TRIM(J34))=0</formula>
    </cfRule>
  </conditionalFormatting>
  <conditionalFormatting sqref="J36">
    <cfRule type="cellIs" dxfId="24" priority="24" operator="equal">
      <formula>"Correct"</formula>
    </cfRule>
  </conditionalFormatting>
  <conditionalFormatting sqref="J36">
    <cfRule type="cellIs" dxfId="23" priority="23" operator="notEqual">
      <formula>"Correct"</formula>
    </cfRule>
  </conditionalFormatting>
  <conditionalFormatting sqref="J36">
    <cfRule type="containsBlanks" dxfId="22" priority="22">
      <formula>LEN(TRIM(J36))=0</formula>
    </cfRule>
  </conditionalFormatting>
  <conditionalFormatting sqref="M22">
    <cfRule type="cellIs" dxfId="21" priority="21" operator="equal">
      <formula>"Correct"</formula>
    </cfRule>
  </conditionalFormatting>
  <conditionalFormatting sqref="M22">
    <cfRule type="cellIs" dxfId="20" priority="20" operator="notEqual">
      <formula>"Correct"</formula>
    </cfRule>
  </conditionalFormatting>
  <conditionalFormatting sqref="M22">
    <cfRule type="containsBlanks" dxfId="19" priority="19">
      <formula>LEN(TRIM(M22))=0</formula>
    </cfRule>
  </conditionalFormatting>
  <conditionalFormatting sqref="M26:M33">
    <cfRule type="cellIs" dxfId="18" priority="18" operator="equal">
      <formula>"Correct"</formula>
    </cfRule>
  </conditionalFormatting>
  <conditionalFormatting sqref="M26:M33">
    <cfRule type="cellIs" dxfId="17" priority="17" operator="notEqual">
      <formula>"Correct"</formula>
    </cfRule>
  </conditionalFormatting>
  <conditionalFormatting sqref="M26:M33">
    <cfRule type="containsBlanks" dxfId="16" priority="16">
      <formula>LEN(TRIM(M26))=0</formula>
    </cfRule>
  </conditionalFormatting>
  <conditionalFormatting sqref="M34">
    <cfRule type="cellIs" dxfId="15" priority="15" operator="equal">
      <formula>"Correct"</formula>
    </cfRule>
  </conditionalFormatting>
  <conditionalFormatting sqref="M34">
    <cfRule type="cellIs" dxfId="14" priority="14" operator="notEqual">
      <formula>"Correct"</formula>
    </cfRule>
  </conditionalFormatting>
  <conditionalFormatting sqref="M34">
    <cfRule type="containsBlanks" dxfId="13" priority="13">
      <formula>LEN(TRIM(M34))=0</formula>
    </cfRule>
  </conditionalFormatting>
  <conditionalFormatting sqref="M36">
    <cfRule type="cellIs" dxfId="12" priority="12" operator="equal">
      <formula>"Correct"</formula>
    </cfRule>
  </conditionalFormatting>
  <conditionalFormatting sqref="M36">
    <cfRule type="cellIs" dxfId="11" priority="11" operator="notEqual">
      <formula>"Correct"</formula>
    </cfRule>
  </conditionalFormatting>
  <conditionalFormatting sqref="M36">
    <cfRule type="containsBlanks" dxfId="10" priority="10">
      <formula>LEN(TRIM(M36))=0</formula>
    </cfRule>
  </conditionalFormatting>
  <conditionalFormatting sqref="P22">
    <cfRule type="cellIs" dxfId="9" priority="9" operator="equal">
      <formula>"Correct"</formula>
    </cfRule>
  </conditionalFormatting>
  <conditionalFormatting sqref="P22">
    <cfRule type="cellIs" dxfId="8" priority="8" operator="notEqual">
      <formula>"Correct"</formula>
    </cfRule>
  </conditionalFormatting>
  <conditionalFormatting sqref="P22">
    <cfRule type="containsBlanks" dxfId="7" priority="7">
      <formula>LEN(TRIM(P22))=0</formula>
    </cfRule>
  </conditionalFormatting>
  <conditionalFormatting sqref="P26:P34">
    <cfRule type="cellIs" dxfId="6" priority="6" operator="equal">
      <formula>"Correct"</formula>
    </cfRule>
  </conditionalFormatting>
  <conditionalFormatting sqref="P26:P34">
    <cfRule type="cellIs" dxfId="5" priority="5" operator="notEqual">
      <formula>"Correct"</formula>
    </cfRule>
  </conditionalFormatting>
  <conditionalFormatting sqref="P26:P34">
    <cfRule type="containsBlanks" dxfId="4" priority="4">
      <formula>LEN(TRIM(P26))=0</formula>
    </cfRule>
  </conditionalFormatting>
  <conditionalFormatting sqref="P36">
    <cfRule type="cellIs" dxfId="3" priority="3" operator="equal">
      <formula>"Correct"</formula>
    </cfRule>
  </conditionalFormatting>
  <conditionalFormatting sqref="P36">
    <cfRule type="cellIs" dxfId="2" priority="2" operator="notEqual">
      <formula>"Correct"</formula>
    </cfRule>
  </conditionalFormatting>
  <conditionalFormatting sqref="P36">
    <cfRule type="containsBlanks" dxfId="1" priority="1">
      <formula>LEN(TRIM(P36))=0</formula>
    </cfRule>
  </conditionalFormatting>
  <pageMargins left="0.23622047244094491" right="0.23622047244094491" top="0.47244094488188981" bottom="0.27559055118110237" header="0.23622047244094491" footer="0.15748031496062992"/>
  <pageSetup paperSize="9" scale="70" fitToWidth="0" orientation="landscape" r:id="rId1"/>
  <headerFooter>
    <oddFooter>Page &amp;P of &amp;N</oddFooter>
  </headerFooter>
  <colBreaks count="1" manualBreakCount="1">
    <brk id="13" max="3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39997558519241921"/>
  </sheetPr>
  <dimension ref="A1:BH49"/>
  <sheetViews>
    <sheetView topLeftCell="AM10" zoomScale="80" zoomScaleNormal="80" workbookViewId="0">
      <selection activeCell="AB23" sqref="AB23"/>
    </sheetView>
  </sheetViews>
  <sheetFormatPr defaultColWidth="9.09765625" defaultRowHeight="14.4" x14ac:dyDescent="0.3"/>
  <cols>
    <col min="1" max="1" width="45.09765625" style="33" customWidth="1"/>
    <col min="2" max="2" width="1.3984375" style="33" customWidth="1"/>
    <col min="3" max="3" width="14.09765625" style="33" customWidth="1"/>
    <col min="4" max="4" width="13.69921875" style="33" customWidth="1"/>
    <col min="5" max="5" width="12.59765625" style="33" customWidth="1"/>
    <col min="6" max="6" width="2.59765625" style="33" customWidth="1"/>
    <col min="7" max="16" width="12.59765625" style="33" customWidth="1"/>
    <col min="17" max="17" width="2.8984375" style="2" customWidth="1"/>
    <col min="18" max="21" width="12.59765625" style="33" customWidth="1"/>
    <col min="22" max="22" width="2.8984375" style="2" customWidth="1"/>
    <col min="23" max="28" width="12.59765625" style="33" customWidth="1"/>
    <col min="29" max="29" width="11.69921875" style="33" customWidth="1"/>
    <col min="30" max="31" width="12.59765625" style="33" customWidth="1"/>
    <col min="32" max="32" width="12.69921875" style="33" customWidth="1"/>
    <col min="33" max="34" width="13.59765625" style="33" customWidth="1"/>
    <col min="35" max="35" width="3.09765625" style="33" customWidth="1"/>
    <col min="36" max="38" width="15.69921875" style="33" customWidth="1"/>
    <col min="39" max="39" width="1.3984375" style="33" customWidth="1"/>
    <col min="40" max="40" width="16.59765625" style="33" customWidth="1"/>
    <col min="41" max="41" width="16.69921875" style="33" customWidth="1"/>
    <col min="42" max="42" width="16.296875" style="33" customWidth="1"/>
    <col min="43" max="43" width="20.59765625" style="33" customWidth="1"/>
    <col min="44" max="44" width="1.3984375" style="33" customWidth="1"/>
    <col min="45" max="45" width="17.69921875" style="33" customWidth="1"/>
    <col min="46" max="46" width="20" style="33" customWidth="1"/>
    <col min="47" max="48" width="14" style="33" customWidth="1"/>
    <col min="49" max="49" width="9.09765625" style="33"/>
    <col min="50" max="55" width="13.8984375" style="33" customWidth="1"/>
    <col min="56" max="16384" width="9.09765625" style="33"/>
  </cols>
  <sheetData>
    <row r="1" spans="1:60" x14ac:dyDescent="0.3">
      <c r="A1" s="130" t="s">
        <v>231</v>
      </c>
      <c r="G1" s="390" t="s">
        <v>115</v>
      </c>
      <c r="H1" s="390"/>
      <c r="I1" s="390"/>
      <c r="J1" s="390"/>
      <c r="K1" s="390"/>
      <c r="L1" s="390"/>
      <c r="M1" s="390"/>
      <c r="N1" s="390"/>
      <c r="O1" s="390"/>
    </row>
    <row r="2" spans="1:60" ht="15" customHeight="1" thickBot="1" x14ac:dyDescent="0.35">
      <c r="C2" s="27"/>
      <c r="D2" s="27"/>
      <c r="E2" s="27"/>
      <c r="G2" s="393" t="s">
        <v>113</v>
      </c>
      <c r="H2" s="394"/>
      <c r="I2" s="394"/>
      <c r="J2" s="394"/>
      <c r="K2" s="391" t="s">
        <v>114</v>
      </c>
      <c r="L2" s="392"/>
      <c r="M2" s="392"/>
      <c r="N2" s="392"/>
      <c r="O2" s="89"/>
      <c r="P2" s="27"/>
    </row>
    <row r="3" spans="1:60" ht="35.299999999999997" customHeight="1" thickBot="1" x14ac:dyDescent="0.35">
      <c r="C3" s="208" t="s">
        <v>24</v>
      </c>
      <c r="D3" s="209"/>
      <c r="E3" s="210"/>
      <c r="F3" s="209"/>
      <c r="G3" s="209"/>
      <c r="H3" s="209"/>
      <c r="I3" s="209"/>
      <c r="J3" s="209"/>
      <c r="K3" s="209"/>
      <c r="L3" s="209"/>
      <c r="M3" s="209"/>
      <c r="N3" s="209"/>
      <c r="O3" s="209"/>
      <c r="P3" s="211"/>
      <c r="Q3" s="183"/>
      <c r="R3" s="401" t="s">
        <v>0</v>
      </c>
      <c r="S3" s="402"/>
      <c r="T3" s="402"/>
      <c r="U3" s="400"/>
      <c r="V3" s="167"/>
      <c r="W3" s="401" t="s">
        <v>1</v>
      </c>
      <c r="X3" s="402"/>
      <c r="Y3" s="402"/>
      <c r="Z3" s="399"/>
      <c r="AA3" s="402"/>
      <c r="AB3" s="402"/>
      <c r="AC3" s="402"/>
      <c r="AD3" s="402"/>
      <c r="AE3" s="402"/>
      <c r="AF3" s="402"/>
      <c r="AG3" s="402"/>
      <c r="AH3" s="403"/>
      <c r="AJ3" s="404" t="s">
        <v>26</v>
      </c>
      <c r="AK3" s="405"/>
      <c r="AL3" s="406"/>
      <c r="AN3" s="395" t="s">
        <v>25</v>
      </c>
      <c r="AO3" s="396"/>
      <c r="AP3" s="396"/>
      <c r="AQ3" s="397"/>
      <c r="AS3" s="395" t="s">
        <v>2</v>
      </c>
      <c r="AT3" s="396"/>
      <c r="AU3" s="397"/>
      <c r="AV3" s="295"/>
      <c r="AX3" s="401" t="s">
        <v>51</v>
      </c>
      <c r="AY3" s="402"/>
      <c r="AZ3" s="402"/>
      <c r="BA3" s="402"/>
      <c r="BB3" s="402"/>
      <c r="BC3" s="403"/>
    </row>
    <row r="4" spans="1:60" ht="135.1" customHeight="1" thickBot="1" x14ac:dyDescent="0.35">
      <c r="A4" s="106" t="s">
        <v>3</v>
      </c>
      <c r="C4" s="202" t="s">
        <v>136</v>
      </c>
      <c r="D4" s="212" t="s">
        <v>165</v>
      </c>
      <c r="E4" s="213" t="s">
        <v>172</v>
      </c>
      <c r="G4" s="203" t="s">
        <v>151</v>
      </c>
      <c r="H4" s="204" t="s">
        <v>150</v>
      </c>
      <c r="I4" s="204" t="s">
        <v>149</v>
      </c>
      <c r="J4" s="204" t="s">
        <v>148</v>
      </c>
      <c r="K4" s="204" t="s">
        <v>147</v>
      </c>
      <c r="L4" s="204" t="s">
        <v>146</v>
      </c>
      <c r="M4" s="204" t="s">
        <v>145</v>
      </c>
      <c r="N4" s="205" t="s">
        <v>144</v>
      </c>
      <c r="O4" s="206" t="s">
        <v>152</v>
      </c>
      <c r="P4" s="207" t="s">
        <v>46</v>
      </c>
      <c r="Q4" s="184"/>
      <c r="R4" s="109" t="s">
        <v>137</v>
      </c>
      <c r="S4" s="110" t="s">
        <v>138</v>
      </c>
      <c r="T4" s="123" t="s">
        <v>139</v>
      </c>
      <c r="U4" s="182" t="s">
        <v>140</v>
      </c>
      <c r="V4" s="188"/>
      <c r="W4" s="109" t="s">
        <v>116</v>
      </c>
      <c r="X4" s="110" t="s">
        <v>117</v>
      </c>
      <c r="Y4" s="123" t="s">
        <v>118</v>
      </c>
      <c r="Z4" s="182" t="s">
        <v>122</v>
      </c>
      <c r="AA4" s="181" t="s">
        <v>119</v>
      </c>
      <c r="AB4" s="110" t="s">
        <v>120</v>
      </c>
      <c r="AC4" s="123" t="s">
        <v>121</v>
      </c>
      <c r="AD4" s="189" t="s">
        <v>123</v>
      </c>
      <c r="AE4" s="109" t="s">
        <v>124</v>
      </c>
      <c r="AF4" s="110" t="s">
        <v>125</v>
      </c>
      <c r="AG4" s="123" t="s">
        <v>126</v>
      </c>
      <c r="AH4" s="189" t="s">
        <v>127</v>
      </c>
      <c r="AI4" s="5"/>
      <c r="AJ4" s="109" t="s">
        <v>33</v>
      </c>
      <c r="AK4" s="110" t="s">
        <v>53</v>
      </c>
      <c r="AL4" s="111" t="s">
        <v>27</v>
      </c>
      <c r="AM4" s="1"/>
      <c r="AN4" s="109" t="s">
        <v>131</v>
      </c>
      <c r="AO4" s="110" t="s">
        <v>132</v>
      </c>
      <c r="AP4" s="123" t="s">
        <v>133</v>
      </c>
      <c r="AQ4" s="189" t="s">
        <v>134</v>
      </c>
      <c r="AR4" s="1"/>
      <c r="AS4" s="109" t="s">
        <v>135</v>
      </c>
      <c r="AT4" s="123" t="s">
        <v>141</v>
      </c>
      <c r="AU4" s="189" t="s">
        <v>142</v>
      </c>
      <c r="AV4" s="296" t="s">
        <v>224</v>
      </c>
      <c r="AX4" s="247" t="s">
        <v>41</v>
      </c>
      <c r="AY4" s="248" t="s">
        <v>38</v>
      </c>
      <c r="AZ4" s="248" t="s">
        <v>42</v>
      </c>
      <c r="BA4" s="248" t="s">
        <v>49</v>
      </c>
      <c r="BB4" s="248" t="s">
        <v>44</v>
      </c>
      <c r="BC4" s="249" t="s">
        <v>50</v>
      </c>
    </row>
    <row r="5" spans="1:60" ht="5.2" customHeight="1" x14ac:dyDescent="0.3">
      <c r="A5" s="25"/>
      <c r="Q5" s="27"/>
      <c r="V5" s="33"/>
      <c r="AX5" s="2"/>
      <c r="AY5" s="2"/>
      <c r="AZ5" s="2"/>
      <c r="BA5" s="2"/>
      <c r="BB5" s="2"/>
      <c r="BC5" s="2"/>
    </row>
    <row r="6" spans="1:60" ht="16.149999999999999" hidden="1" thickTop="1" x14ac:dyDescent="0.3">
      <c r="A6" s="24" t="s">
        <v>35</v>
      </c>
      <c r="B6" s="15"/>
      <c r="C6" s="15"/>
      <c r="D6" s="15"/>
      <c r="E6" s="15"/>
      <c r="Q6" s="27"/>
      <c r="V6" s="33"/>
      <c r="AW6" s="4" t="s">
        <v>48</v>
      </c>
      <c r="AX6" s="38"/>
      <c r="AY6" s="39"/>
      <c r="AZ6" s="39"/>
      <c r="BA6" s="39"/>
      <c r="BB6" s="39"/>
      <c r="BC6" s="42"/>
      <c r="BD6" s="27"/>
      <c r="BE6" s="27"/>
      <c r="BF6" s="27"/>
      <c r="BG6" s="27"/>
      <c r="BH6" s="27"/>
    </row>
    <row r="7" spans="1:60" ht="14.25" customHeight="1" thickBot="1" x14ac:dyDescent="0.35">
      <c r="A7" s="215" t="s">
        <v>109</v>
      </c>
      <c r="Q7" s="27"/>
      <c r="V7" s="33"/>
      <c r="AN7" s="271" t="s">
        <v>180</v>
      </c>
      <c r="AO7" s="271" t="s">
        <v>181</v>
      </c>
      <c r="AP7" s="271" t="s">
        <v>182</v>
      </c>
      <c r="AQ7" s="283" t="s">
        <v>183</v>
      </c>
      <c r="AS7" s="271" t="s">
        <v>184</v>
      </c>
      <c r="AT7" s="271" t="s">
        <v>185</v>
      </c>
      <c r="AU7" s="271" t="s">
        <v>186</v>
      </c>
      <c r="AV7" s="283"/>
      <c r="AW7" s="4" t="s">
        <v>48</v>
      </c>
      <c r="AX7" s="158"/>
      <c r="AY7" s="40"/>
      <c r="AZ7" s="40"/>
      <c r="BA7" s="40"/>
      <c r="BB7" s="40"/>
      <c r="BC7" s="43"/>
      <c r="BD7" s="27"/>
      <c r="BE7" s="27"/>
      <c r="BF7" s="27"/>
      <c r="BG7" s="27"/>
      <c r="BH7" s="27"/>
    </row>
    <row r="8" spans="1:60" x14ac:dyDescent="0.3">
      <c r="A8" s="216" t="s">
        <v>4</v>
      </c>
      <c r="B8" s="27"/>
      <c r="C8" s="161">
        <f>IF(ISNUMBER(Collation!E8),Collation!C8/Collation!E8,"-")</f>
        <v>0.66334556895647612</v>
      </c>
      <c r="D8" s="172">
        <f>IF(ISNUMBER(Collation!D8),Collation!D8/Collation!E8,"-")</f>
        <v>0.33665443104352388</v>
      </c>
      <c r="E8" s="227">
        <f>IF(ISNUMBER(Collation!E8),Collation!E8,"-")</f>
        <v>1907</v>
      </c>
      <c r="G8" s="161">
        <f>IF(Collation!$O8=0,"-",IF(ISNUMBER(Collation!G8),Collation!G8/Collation!$O8,"-"))</f>
        <v>0.23536036036036037</v>
      </c>
      <c r="H8" s="172">
        <f>IF(Collation!$O8=0,"-",IF(ISNUMBER(Collation!H8),Collation!H8/Collation!$O8,"-"))</f>
        <v>3.4909909909909907E-2</v>
      </c>
      <c r="I8" s="172">
        <f>IF(Collation!$O8=0,"-",IF(ISNUMBER(Collation!I8),Collation!I8/Collation!$O8,"-"))</f>
        <v>1.1261261261261261E-3</v>
      </c>
      <c r="J8" s="172">
        <f>IF(Collation!$O8=0,"-",IF(ISNUMBER(Collation!J8),Collation!J8/Collation!$O8,"-"))</f>
        <v>5.6306306306306304E-3</v>
      </c>
      <c r="K8" s="172">
        <f>IF(Collation!$O8=0,"-",IF(ISNUMBER(Collation!K8),Collation!K8/Collation!$O8,"-"))</f>
        <v>0.42229729729729731</v>
      </c>
      <c r="L8" s="172">
        <f>IF(Collation!$O8=0,"-",IF(ISNUMBER(Collation!L8),Collation!L8/Collation!$O8,"-"))</f>
        <v>7.6576576576576572E-2</v>
      </c>
      <c r="M8" s="172">
        <f>IF(Collation!$O8=0,"-",IF(ISNUMBER(Collation!M8),Collation!M8/Collation!$O8,"-"))</f>
        <v>1.0135135135135136E-2</v>
      </c>
      <c r="N8" s="172">
        <f>IF(Collation!$O8=0,"-",IF(ISNUMBER(Collation!N8),Collation!N8/Collation!$O8,"-"))</f>
        <v>0.21396396396396397</v>
      </c>
      <c r="O8" s="232">
        <f>IF(ISNUMBER(Collation!O8),Collation!O8,"-")</f>
        <v>888</v>
      </c>
      <c r="P8" s="223">
        <f>IF(ISNUMBER(Collation!E8),IF(Collation!P8="-","-",IF(AZ8="prison",Collation!P8/Collation!E8,"-")),"-")</f>
        <v>0.24750917671735712</v>
      </c>
      <c r="Q8" s="185"/>
      <c r="R8" s="161">
        <f>IF(Collation!$U8=0,"-",IF(ISNUMBER(Collation!R8),Collation!R8/Collation!$U8,"-"))</f>
        <v>0.65707434052757796</v>
      </c>
      <c r="S8" s="172">
        <f>IF(Collation!$U8=0,"-",IF(ISNUMBER(Collation!S8),Collation!S8/Collation!$U8,"-"))</f>
        <v>0.1223021582733813</v>
      </c>
      <c r="T8" s="172">
        <f>IF(Collation!$U8=0,"-",IF(ISNUMBER(Collation!T8),Collation!T8/Collation!$U8,"-"))</f>
        <v>0.22062350119904076</v>
      </c>
      <c r="U8" s="227">
        <f>IF(ISNUMBER(Collation!U8),Collation!U8,"-")</f>
        <v>1251</v>
      </c>
      <c r="V8" s="171"/>
      <c r="W8" s="161">
        <f>IF(Collation!$Z8=0,"-",IF(ISNUMBER(Collation!W8),Collation!W8/Collation!$Z8,"-"))</f>
        <v>0.19951338199513383</v>
      </c>
      <c r="X8" s="172">
        <f>IF(Collation!$Z8=0,"-",IF(ISNUMBER(Collation!X8),Collation!X8/Collation!$Z8,"-"))</f>
        <v>0.66788321167883213</v>
      </c>
      <c r="Y8" s="172">
        <f>IF(Collation!$Z8=0,"-",IF(ISNUMBER(Collation!Y8),Collation!Y8/Collation!$Z8,"-"))</f>
        <v>0.13260340632603407</v>
      </c>
      <c r="Z8" s="227">
        <f>IF(ISNUMBER(Collation!Z8),Collation!Z8,"-")</f>
        <v>822</v>
      </c>
      <c r="AA8" s="161">
        <f>IF(Collation!$AD8=0,"-",IF(ISNUMBER(Collation!AA8),Collation!AA8/Collation!$AD8,"-"))</f>
        <v>0.22875816993464052</v>
      </c>
      <c r="AB8" s="172">
        <f>IF(Collation!$AD8=0,"-",IF(ISNUMBER(Collation!AB8),Collation!AB8/Collation!$AD8,"-"))</f>
        <v>0.5163398692810458</v>
      </c>
      <c r="AC8" s="172">
        <f>IF(Collation!$AD8=0,"-",IF(ISNUMBER(Collation!AC8),Collation!AC8/Collation!$AD8,"-"))</f>
        <v>0.25490196078431371</v>
      </c>
      <c r="AD8" s="227">
        <f>IF(ISNUMBER(Collation!AD8),Collation!AD8,"-")</f>
        <v>153</v>
      </c>
      <c r="AE8" s="161">
        <f>IF(Collation!$AH8=0,"-",IF(ISNUMBER(Collation!AE8),Collation!AE8/Collation!$AH8,"-"))</f>
        <v>0.21376811594202899</v>
      </c>
      <c r="AF8" s="172">
        <f>IF(Collation!$AH8=0,"-",IF(ISNUMBER(Collation!AF8),Collation!AF8/Collation!$AH8,"-"))</f>
        <v>0.41666666666666669</v>
      </c>
      <c r="AG8" s="172">
        <f>IF(Collation!$AH8=0,"-",IF(ISNUMBER(Collation!AG8),Collation!AG8/Collation!$AH8,"-"))</f>
        <v>0.36956521739130432</v>
      </c>
      <c r="AH8" s="227">
        <f>IF(ISNUMBER(Collation!AH8),Collation!AH8,"-")</f>
        <v>276</v>
      </c>
      <c r="AI8" s="46" t="str">
        <f t="shared" ref="AI8:AI21" si="0">IF(SUM(AE8:AG8)=1,"P","O")</f>
        <v>P</v>
      </c>
      <c r="AJ8" s="116" t="str">
        <f>Collation!AJ8</f>
        <v>n/a</v>
      </c>
      <c r="AK8" s="239" t="str">
        <f>Collation!AK8</f>
        <v>n/a</v>
      </c>
      <c r="AL8" s="117" t="str">
        <f>Collation!AL8</f>
        <v>n/a</v>
      </c>
      <c r="AM8" s="32"/>
      <c r="AN8" s="161">
        <f>IF(Collation!$AQ8=0,"-",IF(ISNUMBER(Collation!AN8),Collation!AN8/Collation!$R8,"-"))</f>
        <v>0.77737226277372262</v>
      </c>
      <c r="AO8" s="172">
        <f>IF(Collation!$AQ8=0,"-",IF(ISNUMBER(Collation!AO8),Collation!AO8/Collation!$S8,"-"))</f>
        <v>0.83660130718954251</v>
      </c>
      <c r="AP8" s="172">
        <f>IF(Collation!$AQ8=0,"-",IF(ISNUMBER(Collation!AP8),Collation!AP8/Collation!$T8,"-"))</f>
        <v>9.0579710144927536E-2</v>
      </c>
      <c r="AQ8" s="270">
        <f>IF(ISNUMBER(Collation!AQ8),(Collation!AN8+Collation!AO8+Collation!AP8)/(Collation!$R8+Collation!$S8+Collation!$T8),"-")</f>
        <v>0.63309352517985606</v>
      </c>
      <c r="AR8" s="32"/>
      <c r="AS8" s="161">
        <f>IF(Collation!$AU8=0,"-",IF(ISNUMBER(Collation!AS8),Collation!AS8/Collation!$R8,"-"))</f>
        <v>0.22262773722627738</v>
      </c>
      <c r="AT8" s="172">
        <f>IF(Collation!$AU8=0,"-",IF(ISNUMBER(Collation!AT8),Collation!$AT8/(Collation!S8+Collation!T8),"-"))</f>
        <v>0.1351981351981352</v>
      </c>
      <c r="AU8" s="270">
        <f>IF(ISNUMBER(Collation!AU8),(Collation!AU8)/(Collation!R8+Collation!S8+Collation!T8),"-")</f>
        <v>0.19264588329336529</v>
      </c>
      <c r="AV8" s="270">
        <f>IF(ISNUMBER(Collation!U8),(Collation!AV8)/(Collation!U8),"-")</f>
        <v>0.17426059152677859</v>
      </c>
      <c r="AW8" s="4" t="s">
        <v>48</v>
      </c>
      <c r="AX8" s="193" t="s">
        <v>40</v>
      </c>
      <c r="AY8" s="194">
        <f t="shared" ref="AY8:AY21" si="1">IF(AX8="territorial",E8,"not territorial")</f>
        <v>1907</v>
      </c>
      <c r="AZ8" s="194" t="s">
        <v>43</v>
      </c>
      <c r="BA8" s="194">
        <f t="shared" ref="BA8:BA21" si="2">IF(AZ8="prison",E8,"no prison in board")</f>
        <v>1907</v>
      </c>
      <c r="BB8" s="194" t="s">
        <v>45</v>
      </c>
      <c r="BC8" s="195">
        <f t="shared" ref="BC8:BC21" si="3">IF(BB8="acute",E8,"not acute")</f>
        <v>1907</v>
      </c>
    </row>
    <row r="9" spans="1:60" x14ac:dyDescent="0.3">
      <c r="A9" s="217" t="s">
        <v>5</v>
      </c>
      <c r="B9" s="27"/>
      <c r="C9" s="162">
        <f>IF(ISNUMBER(Collation!E9),Collation!C9/Collation!E9,"-")</f>
        <v>0.65321100917431196</v>
      </c>
      <c r="D9" s="229">
        <f>IF(ISNUMBER(Collation!D9),Collation!D9/Collation!E9,"-")</f>
        <v>0.34678899082568809</v>
      </c>
      <c r="E9" s="228">
        <f>IF(ISNUMBER(Collation!E9),Collation!E9,"-")</f>
        <v>545</v>
      </c>
      <c r="G9" s="162">
        <f>IF(Collation!$O9=0,"-",IF(ISNUMBER(Collation!G9),Collation!G9/Collation!$O9,"-"))</f>
        <v>0</v>
      </c>
      <c r="H9" s="159">
        <f>IF(Collation!$O9=0,"-",IF(ISNUMBER(Collation!H9),Collation!H9/Collation!$O9,"-"))</f>
        <v>0</v>
      </c>
      <c r="I9" s="159">
        <f>IF(Collation!$O9=0,"-",IF(ISNUMBER(Collation!I9),Collation!I9/Collation!$O9,"-"))</f>
        <v>0</v>
      </c>
      <c r="J9" s="159">
        <f>IF(Collation!$O9=0,"-",IF(ISNUMBER(Collation!J9),Collation!J9/Collation!$O9,"-"))</f>
        <v>0</v>
      </c>
      <c r="K9" s="159">
        <f>IF(Collation!$O9=0,"-",IF(ISNUMBER(Collation!K9),Collation!K9/Collation!$O9,"-"))</f>
        <v>0.64550264550264547</v>
      </c>
      <c r="L9" s="159">
        <f>IF(Collation!$O9=0,"-",IF(ISNUMBER(Collation!L9),Collation!L9/Collation!$O9,"-"))</f>
        <v>3.7037037037037035E-2</v>
      </c>
      <c r="M9" s="159">
        <f>IF(Collation!$O9=0,"-",IF(ISNUMBER(Collation!M9),Collation!M9/Collation!$O9,"-"))</f>
        <v>0.31746031746031744</v>
      </c>
      <c r="N9" s="159">
        <f>IF(Collation!$O9=0,"-",IF(ISNUMBER(Collation!N9),Collation!N9/Collation!$O9,"-"))</f>
        <v>0</v>
      </c>
      <c r="O9" s="233">
        <f>IF(ISNUMBER(Collation!O9),Collation!O9,"-")</f>
        <v>189</v>
      </c>
      <c r="P9" s="224" t="str">
        <f>IF(ISNUMBER(Collation!E9),IF(Collation!P9="-","-",IF(AZ9="prison",Collation!P9/Collation!E9,"-")),"-")</f>
        <v>-</v>
      </c>
      <c r="Q9" s="186"/>
      <c r="R9" s="162">
        <f>IF(Collation!$U9=0,"-",IF(ISNUMBER(Collation!R9),Collation!R9/Collation!$U9,"-"))</f>
        <v>0.25730994152046782</v>
      </c>
      <c r="S9" s="159">
        <f>IF(Collation!$U9=0,"-",IF(ISNUMBER(Collation!S9),Collation!S9/Collation!$U9,"-"))</f>
        <v>0.73391812865497075</v>
      </c>
      <c r="T9" s="159">
        <f>IF(Collation!$U9=0,"-",IF(ISNUMBER(Collation!T9),Collation!T9/Collation!$U9,"-"))</f>
        <v>8.771929824561403E-3</v>
      </c>
      <c r="U9" s="164">
        <f>IF(ISNUMBER(Collation!U9),Collation!U9,"-")</f>
        <v>342</v>
      </c>
      <c r="V9" s="171"/>
      <c r="W9" s="162">
        <f>IF(Collation!$Z9=0,"-",IF(ISNUMBER(Collation!W9),Collation!W9/Collation!$Z9,"-"))</f>
        <v>0.56818181818181823</v>
      </c>
      <c r="X9" s="159">
        <f>IF(Collation!$Z9=0,"-",IF(ISNUMBER(Collation!X9),Collation!X9/Collation!$Z9,"-"))</f>
        <v>0.27272727272727271</v>
      </c>
      <c r="Y9" s="159">
        <f>IF(Collation!$Z9=0,"-",IF(ISNUMBER(Collation!Y9),Collation!Y9/Collation!$Z9,"-"))</f>
        <v>0.15909090909090909</v>
      </c>
      <c r="Z9" s="164">
        <f>IF(ISNUMBER(Collation!Z9),Collation!Z9,"-")</f>
        <v>88</v>
      </c>
      <c r="AA9" s="162">
        <f>IF(Collation!$AD9=0,"-",IF(ISNUMBER(Collation!AA9),Collation!AA9/Collation!$AD9,"-"))</f>
        <v>0.18326693227091634</v>
      </c>
      <c r="AB9" s="159">
        <f>IF(Collation!$AD9=0,"-",IF(ISNUMBER(Collation!AB9),Collation!AB9/Collation!$AD9,"-"))</f>
        <v>0.47410358565737054</v>
      </c>
      <c r="AC9" s="159">
        <f>IF(Collation!$AD9=0,"-",IF(ISNUMBER(Collation!AC9),Collation!AC9/Collation!$AD9,"-"))</f>
        <v>0.34262948207171312</v>
      </c>
      <c r="AD9" s="164">
        <f>IF(ISNUMBER(Collation!AD9),Collation!AD9,"-")</f>
        <v>251</v>
      </c>
      <c r="AE9" s="162">
        <f>IF(Collation!$AH9=0,"-",IF(ISNUMBER(Collation!AE9),Collation!AE9/Collation!$AH9,"-"))</f>
        <v>0.33333333333333331</v>
      </c>
      <c r="AF9" s="159">
        <f>IF(Collation!$AH9=0,"-",IF(ISNUMBER(Collation!AF9),Collation!AF9/Collation!$AH9,"-"))</f>
        <v>0.66666666666666663</v>
      </c>
      <c r="AG9" s="159">
        <f>IF(Collation!$AH9=0,"-",IF(ISNUMBER(Collation!AG9),Collation!AG9/Collation!$AH9,"-"))</f>
        <v>0</v>
      </c>
      <c r="AH9" s="164">
        <f>IF(ISNUMBER(Collation!AH9),Collation!AH9,"-")</f>
        <v>3</v>
      </c>
      <c r="AI9" s="46" t="str">
        <f t="shared" si="0"/>
        <v>P</v>
      </c>
      <c r="AJ9" s="118" t="str">
        <f>Collation!AJ9</f>
        <v>n/a</v>
      </c>
      <c r="AK9" s="31" t="str">
        <f>Collation!AK9</f>
        <v>n/a</v>
      </c>
      <c r="AL9" s="119" t="str">
        <f>Collation!AL9</f>
        <v>n/a</v>
      </c>
      <c r="AM9" s="32"/>
      <c r="AN9" s="273">
        <f>IF(Collation!$AQ9=0,"-",IF(ISNUMBER(Collation!AN9),Collation!AN9/Collation!$R9,"-"))</f>
        <v>0.875</v>
      </c>
      <c r="AO9" s="274">
        <f>IF(Collation!$AQ9=0,"-",IF(ISNUMBER(Collation!AO9),Collation!AO9/Collation!$S9,"-"))</f>
        <v>0.42629482071713148</v>
      </c>
      <c r="AP9" s="274">
        <f>IF(Collation!$AQ9=0,"-",IF(ISNUMBER(Collation!AP9),Collation!AP9/Collation!$T9,"-"))</f>
        <v>0.66666666666666663</v>
      </c>
      <c r="AQ9" s="275">
        <f>IF(ISNUMBER(Collation!AQ9),(Collation!AN9+Collation!AO9+Collation!AP9)/(Collation!$R9+Collation!$S9+Collation!$T9),"-")</f>
        <v>0.54385964912280704</v>
      </c>
      <c r="AR9" s="32"/>
      <c r="AS9" s="273">
        <f>IF(Collation!$AU9=0,"-",IF(ISNUMBER(Collation!AS9),Collation!AS9/Collation!$R9,"-"))</f>
        <v>0</v>
      </c>
      <c r="AT9" s="274">
        <f>IF(Collation!$AU9=0,"-",IF(ISNUMBER(Collation!AT9),Collation!$AT9/(Collation!S9+Collation!T9),"-"))</f>
        <v>1.1811023622047244E-2</v>
      </c>
      <c r="AU9" s="275">
        <f>IF(ISNUMBER(Collation!AU9),(Collation!AU9)/(Collation!R9+Collation!S9+Collation!T9),"-")</f>
        <v>8.771929824561403E-3</v>
      </c>
      <c r="AV9" s="275">
        <f>IF(ISNUMBER(Collation!U9),(Collation!AV9)/(Collation!U9),"-")</f>
        <v>0.44736842105263158</v>
      </c>
      <c r="AW9" s="4" t="s">
        <v>48</v>
      </c>
      <c r="AX9" s="196" t="s">
        <v>40</v>
      </c>
      <c r="AY9" s="190">
        <f t="shared" si="1"/>
        <v>545</v>
      </c>
      <c r="AZ9" s="190" t="s">
        <v>39</v>
      </c>
      <c r="BA9" s="191" t="str">
        <f t="shared" si="2"/>
        <v>no prison in board</v>
      </c>
      <c r="BB9" s="190" t="s">
        <v>45</v>
      </c>
      <c r="BC9" s="197">
        <f t="shared" si="3"/>
        <v>545</v>
      </c>
    </row>
    <row r="10" spans="1:60" x14ac:dyDescent="0.3">
      <c r="A10" s="217" t="s">
        <v>6</v>
      </c>
      <c r="B10" s="27"/>
      <c r="C10" s="162">
        <f>IF(ISNUMBER(Collation!E10),Collation!C10/Collation!E10,"-")</f>
        <v>0.86058519793459554</v>
      </c>
      <c r="D10" s="159">
        <f>IF(ISNUMBER(Collation!D10),Collation!D10/Collation!E10,"-")</f>
        <v>0.13941480206540446</v>
      </c>
      <c r="E10" s="228">
        <f>IF(ISNUMBER(Collation!E10),Collation!E10,"-")</f>
        <v>581</v>
      </c>
      <c r="G10" s="162">
        <f>IF(Collation!$O10=0,"-",IF(ISNUMBER(Collation!G10),Collation!G10/Collation!$O10,"-"))</f>
        <v>0</v>
      </c>
      <c r="H10" s="159">
        <f>IF(Collation!$O10=0,"-",IF(ISNUMBER(Collation!H10),Collation!H10/Collation!$O10,"-"))</f>
        <v>0</v>
      </c>
      <c r="I10" s="159">
        <f>IF(Collation!$O10=0,"-",IF(ISNUMBER(Collation!I10),Collation!I10/Collation!$O10,"-"))</f>
        <v>0</v>
      </c>
      <c r="J10" s="159">
        <f>IF(Collation!$O10=0,"-",IF(ISNUMBER(Collation!J10),Collation!J10/Collation!$O10,"-"))</f>
        <v>0</v>
      </c>
      <c r="K10" s="159">
        <f>IF(Collation!$O10=0,"-",IF(ISNUMBER(Collation!K10),Collation!K10/Collation!$O10,"-"))</f>
        <v>0.44444444444444442</v>
      </c>
      <c r="L10" s="159">
        <f>IF(Collation!$O10=0,"-",IF(ISNUMBER(Collation!L10),Collation!L10/Collation!$O10,"-"))</f>
        <v>9.8765432098765427E-2</v>
      </c>
      <c r="M10" s="159">
        <f>IF(Collation!$O10=0,"-",IF(ISNUMBER(Collation!M10),Collation!M10/Collation!$O10,"-"))</f>
        <v>0</v>
      </c>
      <c r="N10" s="159">
        <f>IF(Collation!$O10=0,"-",IF(ISNUMBER(Collation!N10),Collation!N10/Collation!$O10,"-"))</f>
        <v>0.4567901234567901</v>
      </c>
      <c r="O10" s="233">
        <f>IF(ISNUMBER(Collation!O10),Collation!O10,"-")</f>
        <v>81</v>
      </c>
      <c r="P10" s="224">
        <f>IF(ISNUMBER(Collation!E10),IF(Collation!P10="-","-",IF(AZ10="prison",Collation!P10/Collation!E10,"-")),"-")</f>
        <v>4.6471600688468159E-2</v>
      </c>
      <c r="Q10" s="186"/>
      <c r="R10" s="162">
        <f>IF(Collation!$U10=0,"-",IF(ISNUMBER(Collation!R10),Collation!R10/Collation!$U10,"-"))</f>
        <v>0.19681908548707752</v>
      </c>
      <c r="S10" s="159">
        <f>IF(Collation!$U10=0,"-",IF(ISNUMBER(Collation!S10),Collation!S10/Collation!$U10,"-"))</f>
        <v>0.73956262425447317</v>
      </c>
      <c r="T10" s="159">
        <f>IF(Collation!$U10=0,"-",IF(ISNUMBER(Collation!T10),Collation!T10/Collation!$U10,"-"))</f>
        <v>6.3618290258449298E-2</v>
      </c>
      <c r="U10" s="164">
        <f>IF(ISNUMBER(Collation!U10),Collation!U10,"-")</f>
        <v>503</v>
      </c>
      <c r="V10" s="171"/>
      <c r="W10" s="162">
        <f>IF(Collation!$Z10=0,"-",IF(ISNUMBER(Collation!W10),Collation!W10/Collation!$Z10,"-"))</f>
        <v>0.43434343434343436</v>
      </c>
      <c r="X10" s="159">
        <f>IF(Collation!$Z10=0,"-",IF(ISNUMBER(Collation!X10),Collation!X10/Collation!$Z10,"-"))</f>
        <v>0.35353535353535354</v>
      </c>
      <c r="Y10" s="159">
        <f>IF(Collation!$Z10=0,"-",IF(ISNUMBER(Collation!Y10),Collation!Y10/Collation!$Z10,"-"))</f>
        <v>0.21212121212121213</v>
      </c>
      <c r="Z10" s="164">
        <f>IF(ISNUMBER(Collation!Z10),Collation!Z10,"-")</f>
        <v>99</v>
      </c>
      <c r="AA10" s="162">
        <f>IF(Collation!$AD10=0,"-",IF(ISNUMBER(Collation!AA10),Collation!AA10/Collation!$AD10,"-"))</f>
        <v>0.26881720430107525</v>
      </c>
      <c r="AB10" s="159">
        <f>IF(Collation!$AD10=0,"-",IF(ISNUMBER(Collation!AB10),Collation!AB10/Collation!$AD10,"-"))</f>
        <v>0.33602150537634407</v>
      </c>
      <c r="AC10" s="159">
        <f>IF(Collation!$AD10=0,"-",IF(ISNUMBER(Collation!AC10),Collation!AC10/Collation!$AD10,"-"))</f>
        <v>0.39516129032258063</v>
      </c>
      <c r="AD10" s="164">
        <f>IF(ISNUMBER(Collation!AD10),Collation!AD10,"-")</f>
        <v>372</v>
      </c>
      <c r="AE10" s="162">
        <f>IF(Collation!$AH10=0,"-",IF(ISNUMBER(Collation!AE10),Collation!AE10/Collation!$AH10,"-"))</f>
        <v>0.3125</v>
      </c>
      <c r="AF10" s="159">
        <f>IF(Collation!$AH10=0,"-",IF(ISNUMBER(Collation!AF10),Collation!AF10/Collation!$AH10,"-"))</f>
        <v>0.5625</v>
      </c>
      <c r="AG10" s="159">
        <f>IF(Collation!$AH10=0,"-",IF(ISNUMBER(Collation!AG10),Collation!AG10/Collation!$AH10,"-"))</f>
        <v>0.125</v>
      </c>
      <c r="AH10" s="164">
        <f>IF(ISNUMBER(Collation!AH10),Collation!AH10,"-")</f>
        <v>32</v>
      </c>
      <c r="AI10" s="46" t="str">
        <f t="shared" si="0"/>
        <v>P</v>
      </c>
      <c r="AJ10" s="118" t="str">
        <f>Collation!AJ10</f>
        <v>n/a</v>
      </c>
      <c r="AK10" s="31" t="str">
        <f>Collation!AK10</f>
        <v>n/a</v>
      </c>
      <c r="AL10" s="119" t="str">
        <f>Collation!AL10</f>
        <v>n/a</v>
      </c>
      <c r="AM10" s="32"/>
      <c r="AN10" s="273">
        <f>IF(Collation!$AQ10=0,"-",IF(ISNUMBER(Collation!AN10),Collation!AN10/Collation!$R10,"-"))</f>
        <v>0.60606060606060608</v>
      </c>
      <c r="AO10" s="274">
        <f>IF(Collation!$AQ10=0,"-",IF(ISNUMBER(Collation!AO10),Collation!AO10/Collation!$S10,"-"))</f>
        <v>0.49731182795698925</v>
      </c>
      <c r="AP10" s="274">
        <f>IF(Collation!$AQ10=0,"-",IF(ISNUMBER(Collation!AP10),Collation!AP10/Collation!$T10,"-"))</f>
        <v>0.53125</v>
      </c>
      <c r="AQ10" s="275">
        <f>IF(ISNUMBER(Collation!AQ10),(Collation!AN10+Collation!AO10+Collation!AP10)/(Collation!$R10+Collation!$S10+Collation!$T10),"-")</f>
        <v>0.52087475149105367</v>
      </c>
      <c r="AR10" s="32"/>
      <c r="AS10" s="273">
        <f>IF(Collation!$AU10=0,"-",IF(ISNUMBER(Collation!AS10),Collation!AS10/Collation!$R10,"-"))</f>
        <v>0.1111111111111111</v>
      </c>
      <c r="AT10" s="274">
        <f>IF(Collation!$AU10=0,"-",IF(ISNUMBER(Collation!AT10),Collation!$AT10/(Collation!S10+Collation!T10),"-"))</f>
        <v>0.25495049504950495</v>
      </c>
      <c r="AU10" s="275">
        <f>IF(ISNUMBER(Collation!AU10),(Collation!AU10)/(Collation!R10+Collation!S10+Collation!T10),"-")</f>
        <v>0.22664015904572565</v>
      </c>
      <c r="AV10" s="275">
        <f>IF(ISNUMBER(Collation!U10),(Collation!AV10)/(Collation!U10),"-")</f>
        <v>0.25248508946322068</v>
      </c>
      <c r="AW10" s="4" t="s">
        <v>48</v>
      </c>
      <c r="AX10" s="196" t="s">
        <v>40</v>
      </c>
      <c r="AY10" s="190">
        <f t="shared" si="1"/>
        <v>581</v>
      </c>
      <c r="AZ10" s="190" t="s">
        <v>43</v>
      </c>
      <c r="BA10" s="190">
        <f t="shared" si="2"/>
        <v>581</v>
      </c>
      <c r="BB10" s="190" t="s">
        <v>45</v>
      </c>
      <c r="BC10" s="197">
        <f t="shared" si="3"/>
        <v>581</v>
      </c>
    </row>
    <row r="11" spans="1:60" x14ac:dyDescent="0.3">
      <c r="A11" s="217" t="s">
        <v>7</v>
      </c>
      <c r="C11" s="162">
        <f>IF(ISNUMBER(Collation!E11),Collation!C11/Collation!E11,"-")</f>
        <v>0.72454090150250416</v>
      </c>
      <c r="D11" s="159">
        <f>IF(ISNUMBER(Collation!D11),Collation!D11/Collation!E11,"-")</f>
        <v>0.27545909849749584</v>
      </c>
      <c r="E11" s="228">
        <f>IF(ISNUMBER(Collation!E11),Collation!E11,"-")</f>
        <v>1797</v>
      </c>
      <c r="G11" s="162">
        <f>IF(Collation!$O11=0,"-",IF(ISNUMBER(Collation!G11),Collation!G11/Collation!$O11,"-"))</f>
        <v>4.6464646464646465E-2</v>
      </c>
      <c r="H11" s="159">
        <f>IF(Collation!$O11=0,"-",IF(ISNUMBER(Collation!H11),Collation!H11/Collation!$O11,"-"))</f>
        <v>1.0101010101010102E-2</v>
      </c>
      <c r="I11" s="159">
        <f>IF(Collation!$O11=0,"-",IF(ISNUMBER(Collation!I11),Collation!I11/Collation!$O11,"-"))</f>
        <v>0</v>
      </c>
      <c r="J11" s="159">
        <f>IF(Collation!$O11=0,"-",IF(ISNUMBER(Collation!J11),Collation!J11/Collation!$O11,"-"))</f>
        <v>0</v>
      </c>
      <c r="K11" s="159">
        <f>IF(Collation!$O11=0,"-",IF(ISNUMBER(Collation!K11),Collation!K11/Collation!$O11,"-"))</f>
        <v>0.52929292929292926</v>
      </c>
      <c r="L11" s="159">
        <f>IF(Collation!$O11=0,"-",IF(ISNUMBER(Collation!L11),Collation!L11/Collation!$O11,"-"))</f>
        <v>1.4141414141414142E-2</v>
      </c>
      <c r="M11" s="159">
        <f>IF(Collation!$O11=0,"-",IF(ISNUMBER(Collation!M11),Collation!M11/Collation!$O11,"-"))</f>
        <v>4.0404040404040404E-3</v>
      </c>
      <c r="N11" s="159">
        <f>IF(Collation!$O11=0,"-",IF(ISNUMBER(Collation!N11),Collation!N11/Collation!$O11,"-"))</f>
        <v>0.39595959595959596</v>
      </c>
      <c r="O11" s="233">
        <f>IF(ISNUMBER(Collation!O11),Collation!O11,"-")</f>
        <v>495</v>
      </c>
      <c r="P11" s="224" t="str">
        <f>IF(ISNUMBER(Collation!E11),IF(Collation!P11="-","-",IF(AZ11="prison",Collation!P11/Collation!E11,"-")),"-")</f>
        <v>-</v>
      </c>
      <c r="Q11" s="186"/>
      <c r="R11" s="162">
        <f>IF(Collation!$U11=0,"-",IF(ISNUMBER(Collation!R11),Collation!R11/Collation!$U11,"-"))</f>
        <v>0.65358931552587651</v>
      </c>
      <c r="S11" s="159">
        <f>IF(Collation!$U11=0,"-",IF(ISNUMBER(Collation!S11),Collation!S11/Collation!$U11,"-"))</f>
        <v>0.24624373956594323</v>
      </c>
      <c r="T11" s="159">
        <f>IF(Collation!$U11=0,"-",IF(ISNUMBER(Collation!T11),Collation!T11/Collation!$U11,"-"))</f>
        <v>0.1001669449081803</v>
      </c>
      <c r="U11" s="164">
        <f>IF(ISNUMBER(Collation!U11),Collation!U11,"-")</f>
        <v>1198</v>
      </c>
      <c r="V11" s="171"/>
      <c r="W11" s="162">
        <f>IF(Collation!$Z11=0,"-",IF(ISNUMBER(Collation!W11),Collation!W11/Collation!$Z11,"-"))</f>
        <v>0.36143039591315451</v>
      </c>
      <c r="X11" s="159">
        <f>IF(Collation!$Z11=0,"-",IF(ISNUMBER(Collation!X11),Collation!X11/Collation!$Z11,"-"))</f>
        <v>0.44827586206896552</v>
      </c>
      <c r="Y11" s="159">
        <f>IF(Collation!$Z11=0,"-",IF(ISNUMBER(Collation!Y11),Collation!Y11/Collation!$Z11,"-"))</f>
        <v>0.19029374201787994</v>
      </c>
      <c r="Z11" s="164">
        <f>IF(ISNUMBER(Collation!Z11),Collation!Z11,"-")</f>
        <v>783</v>
      </c>
      <c r="AA11" s="162">
        <f>IF(Collation!$AD11=0,"-",IF(ISNUMBER(Collation!AA11),Collation!AA11/Collation!$AD11,"-"))</f>
        <v>0.21016949152542372</v>
      </c>
      <c r="AB11" s="159">
        <f>IF(Collation!$AD11=0,"-",IF(ISNUMBER(Collation!AB11),Collation!AB11/Collation!$AD11,"-"))</f>
        <v>0.3728813559322034</v>
      </c>
      <c r="AC11" s="159">
        <f>IF(Collation!$AD11=0,"-",IF(ISNUMBER(Collation!AC11),Collation!AC11/Collation!$AD11,"-"))</f>
        <v>0.41694915254237286</v>
      </c>
      <c r="AD11" s="164">
        <f>IF(ISNUMBER(Collation!AD11),Collation!AD11,"-")</f>
        <v>295</v>
      </c>
      <c r="AE11" s="162">
        <f>IF(Collation!$AH11=0,"-",IF(ISNUMBER(Collation!AE11),Collation!AE11/Collation!$AH11,"-"))</f>
        <v>0.26666666666666666</v>
      </c>
      <c r="AF11" s="159">
        <f>IF(Collation!$AH11=0,"-",IF(ISNUMBER(Collation!AF11),Collation!AF11/Collation!$AH11,"-"))</f>
        <v>0.40833333333333333</v>
      </c>
      <c r="AG11" s="159">
        <f>IF(Collation!$AH11=0,"-",IF(ISNUMBER(Collation!AG11),Collation!AG11/Collation!$AH11,"-"))</f>
        <v>0.32500000000000001</v>
      </c>
      <c r="AH11" s="164">
        <f>IF(ISNUMBER(Collation!AH11),Collation!AH11,"-")</f>
        <v>120</v>
      </c>
      <c r="AI11" s="46" t="str">
        <f t="shared" si="0"/>
        <v>P</v>
      </c>
      <c r="AJ11" s="240" t="str">
        <f>Collation!AJ11</f>
        <v>n/a</v>
      </c>
      <c r="AK11" s="34" t="str">
        <f>Collation!AK11</f>
        <v>n/a</v>
      </c>
      <c r="AL11" s="124" t="str">
        <f>Collation!AL11</f>
        <v>n/a</v>
      </c>
      <c r="AM11" s="12"/>
      <c r="AN11" s="273">
        <f>IF(Collation!$AQ11=0,"-",IF(ISNUMBER(Collation!AN11),Collation!AN11/Collation!$R11,"-"))</f>
        <v>0.71519795657726692</v>
      </c>
      <c r="AO11" s="274">
        <f>IF(Collation!$AQ11=0,"-",IF(ISNUMBER(Collation!AO11),Collation!AO11/Collation!$S11,"-"))</f>
        <v>0.44406779661016949</v>
      </c>
      <c r="AP11" s="274">
        <f>IF(Collation!$AQ11=0,"-",IF(ISNUMBER(Collation!AP11),Collation!AP11/Collation!$T11,"-"))</f>
        <v>0.14166666666666666</v>
      </c>
      <c r="AQ11" s="275">
        <f>IF(ISNUMBER(Collation!AQ11),(Collation!AN11+Collation!AO11+Collation!AP11)/(Collation!$R11+Collation!$S11+Collation!$T11),"-")</f>
        <v>0.59098497495826374</v>
      </c>
      <c r="AR11" s="12"/>
      <c r="AS11" s="273">
        <f>IF(Collation!$AU11=0,"-",IF(ISNUMBER(Collation!AS11),Collation!AS11/Collation!$R11,"-"))</f>
        <v>9.8339719029374204E-2</v>
      </c>
      <c r="AT11" s="274">
        <f>IF(Collation!$AU11=0,"-",IF(ISNUMBER(Collation!AT11),Collation!$AT11/(Collation!S11+Collation!T11),"-"))</f>
        <v>0.10843373493975904</v>
      </c>
      <c r="AU11" s="275">
        <f>IF(ISNUMBER(Collation!AU11),(Collation!AU11)/(Collation!R11+Collation!S11+Collation!T11),"-")</f>
        <v>0.1018363939899833</v>
      </c>
      <c r="AV11" s="275">
        <f>IF(ISNUMBER(Collation!U11),(Collation!AV11)/(Collation!U11),"-")</f>
        <v>0.30717863105175292</v>
      </c>
      <c r="AW11" s="4" t="s">
        <v>48</v>
      </c>
      <c r="AX11" s="196" t="s">
        <v>40</v>
      </c>
      <c r="AY11" s="190">
        <f t="shared" si="1"/>
        <v>1797</v>
      </c>
      <c r="AZ11" s="190" t="s">
        <v>39</v>
      </c>
      <c r="BA11" s="191" t="str">
        <f t="shared" si="2"/>
        <v>no prison in board</v>
      </c>
      <c r="BB11" s="190" t="s">
        <v>45</v>
      </c>
      <c r="BC11" s="197">
        <f t="shared" si="3"/>
        <v>1797</v>
      </c>
    </row>
    <row r="12" spans="1:60" x14ac:dyDescent="0.3">
      <c r="A12" s="217" t="s">
        <v>8</v>
      </c>
      <c r="B12" s="27"/>
      <c r="C12" s="162">
        <f>IF(ISNUMBER(Collation!E12),Collation!C12/Collation!E12,"-")</f>
        <v>0.88235294117647056</v>
      </c>
      <c r="D12" s="159">
        <f>IF(ISNUMBER(Collation!D12),Collation!D12/Collation!E12,"-")</f>
        <v>0.11764705882352941</v>
      </c>
      <c r="E12" s="228">
        <f>IF(ISNUMBER(Collation!E12),Collation!E12,"-")</f>
        <v>2057</v>
      </c>
      <c r="G12" s="162">
        <f>IF(Collation!$O12=0,"-",IF(ISNUMBER(Collation!G12),Collation!G12/Collation!$O12,"-"))</f>
        <v>0.13261648745519714</v>
      </c>
      <c r="H12" s="159">
        <f>IF(Collation!$O12=0,"-",IF(ISNUMBER(Collation!H12),Collation!H12/Collation!$O12,"-"))</f>
        <v>0</v>
      </c>
      <c r="I12" s="159">
        <f>IF(Collation!$O12=0,"-",IF(ISNUMBER(Collation!I12),Collation!I12/Collation!$O12,"-"))</f>
        <v>0</v>
      </c>
      <c r="J12" s="159">
        <f>IF(Collation!$O12=0,"-",IF(ISNUMBER(Collation!J12),Collation!J12/Collation!$O12,"-"))</f>
        <v>0</v>
      </c>
      <c r="K12" s="159">
        <f>IF(Collation!$O12=0,"-",IF(ISNUMBER(Collation!K12),Collation!K12/Collation!$O12,"-"))</f>
        <v>0.18996415770609318</v>
      </c>
      <c r="L12" s="159">
        <f>IF(Collation!$O12=0,"-",IF(ISNUMBER(Collation!L12),Collation!L12/Collation!$O12,"-"))</f>
        <v>1.0752688172043012E-2</v>
      </c>
      <c r="M12" s="159">
        <f>IF(Collation!$O12=0,"-",IF(ISNUMBER(Collation!M12),Collation!M12/Collation!$O12,"-"))</f>
        <v>3.5842293906810036E-3</v>
      </c>
      <c r="N12" s="159">
        <f>IF(Collation!$O12=0,"-",IF(ISNUMBER(Collation!N12),Collation!N12/Collation!$O12,"-"))</f>
        <v>0.6630824372759857</v>
      </c>
      <c r="O12" s="233">
        <f>IF(ISNUMBER(Collation!O12),Collation!O12,"-")</f>
        <v>279</v>
      </c>
      <c r="P12" s="224">
        <f>IF(ISNUMBER(Collation!E12),IF(Collation!P12="-","-",IF(AZ12="prison",Collation!P12/Collation!E12,"-")),"-")</f>
        <v>0.39961108410306273</v>
      </c>
      <c r="Q12" s="186"/>
      <c r="R12" s="162">
        <f>IF(Collation!$U12=0,"-",IF(ISNUMBER(Collation!R12),Collation!R12/Collation!$U12,"-"))</f>
        <v>0.53911564625850339</v>
      </c>
      <c r="S12" s="159">
        <f>IF(Collation!$U12=0,"-",IF(ISNUMBER(Collation!S12),Collation!S12/Collation!$U12,"-"))</f>
        <v>0.41269841269841268</v>
      </c>
      <c r="T12" s="159">
        <f>IF(Collation!$U12=0,"-",IF(ISNUMBER(Collation!T12),Collation!T12/Collation!$U12,"-"))</f>
        <v>4.8185941043083901E-2</v>
      </c>
      <c r="U12" s="164">
        <f>IF(ISNUMBER(Collation!U12),Collation!U12,"-")</f>
        <v>1764</v>
      </c>
      <c r="V12" s="171"/>
      <c r="W12" s="162">
        <f>IF(Collation!$Z12=0,"-",IF(ISNUMBER(Collation!W12),Collation!W12/Collation!$Z12,"-"))</f>
        <v>0.15141955835962145</v>
      </c>
      <c r="X12" s="159">
        <f>IF(Collation!$Z12=0,"-",IF(ISNUMBER(Collation!X12),Collation!X12/Collation!$Z12,"-"))</f>
        <v>0.7707676130389064</v>
      </c>
      <c r="Y12" s="159">
        <f>IF(Collation!$Z12=0,"-",IF(ISNUMBER(Collation!Y12),Collation!Y12/Collation!$Z12,"-"))</f>
        <v>7.7812828601472137E-2</v>
      </c>
      <c r="Z12" s="164">
        <f>IF(ISNUMBER(Collation!Z12),Collation!Z12,"-")</f>
        <v>951</v>
      </c>
      <c r="AA12" s="162">
        <f>IF(Collation!$AD12=0,"-",IF(ISNUMBER(Collation!AA12),Collation!AA12/Collation!$AD12,"-"))</f>
        <v>0.25686813186813184</v>
      </c>
      <c r="AB12" s="159">
        <f>IF(Collation!$AD12=0,"-",IF(ISNUMBER(Collation!AB12),Collation!AB12/Collation!$AD12,"-"))</f>
        <v>0.56730769230769229</v>
      </c>
      <c r="AC12" s="159">
        <f>IF(Collation!$AD12=0,"-",IF(ISNUMBER(Collation!AC12),Collation!AC12/Collation!$AD12,"-"))</f>
        <v>0.17582417582417584</v>
      </c>
      <c r="AD12" s="164">
        <f>IF(ISNUMBER(Collation!AD12),Collation!AD12,"-")</f>
        <v>728</v>
      </c>
      <c r="AE12" s="162">
        <f>IF(Collation!$AH12=0,"-",IF(ISNUMBER(Collation!AE12),Collation!AE12/Collation!$AH12,"-"))</f>
        <v>0.23529411764705882</v>
      </c>
      <c r="AF12" s="159">
        <f>IF(Collation!$AH12=0,"-",IF(ISNUMBER(Collation!AF12),Collation!AF12/Collation!$AH12,"-"))</f>
        <v>0.71764705882352942</v>
      </c>
      <c r="AG12" s="159">
        <f>IF(Collation!$AH12=0,"-",IF(ISNUMBER(Collation!AG12),Collation!AG12/Collation!$AH12,"-"))</f>
        <v>4.7058823529411764E-2</v>
      </c>
      <c r="AH12" s="164">
        <f>IF(ISNUMBER(Collation!AH12),Collation!AH12,"-")</f>
        <v>85</v>
      </c>
      <c r="AI12" s="46" t="str">
        <f t="shared" si="0"/>
        <v>P</v>
      </c>
      <c r="AJ12" s="241" t="str">
        <f>Collation!AJ12</f>
        <v>n/a</v>
      </c>
      <c r="AK12" s="26" t="str">
        <f>Collation!AK12</f>
        <v>n/a</v>
      </c>
      <c r="AL12" s="120" t="str">
        <f>Collation!AL12</f>
        <v>n/a</v>
      </c>
      <c r="AM12" s="32"/>
      <c r="AN12" s="273">
        <f>IF(Collation!$AQ12=0,"-",IF(ISNUMBER(Collation!AN12),Collation!AN12/Collation!$R12,"-"))</f>
        <v>0.84121976866456361</v>
      </c>
      <c r="AO12" s="274">
        <f>IF(Collation!$AQ12=0,"-",IF(ISNUMBER(Collation!AO12),Collation!AO12/Collation!$S12,"-"))</f>
        <v>0.71565934065934067</v>
      </c>
      <c r="AP12" s="274">
        <f>IF(Collation!$AQ12=0,"-",IF(ISNUMBER(Collation!AP12),Collation!AP12/Collation!$T12,"-"))</f>
        <v>1</v>
      </c>
      <c r="AQ12" s="275">
        <f>IF(ISNUMBER(Collation!AQ12),(Collation!AN12+Collation!AO12+Collation!AP12)/(Collation!$R12+Collation!$S12+Collation!$T12),"-")</f>
        <v>0.7970521541950113</v>
      </c>
      <c r="AR12" s="32"/>
      <c r="AS12" s="273">
        <f>IF(Collation!$AU12=0,"-",IF(ISNUMBER(Collation!AS12),Collation!AS12/Collation!$R12,"-"))</f>
        <v>7.9915878023133546E-2</v>
      </c>
      <c r="AT12" s="274">
        <f>IF(Collation!$AU12=0,"-",IF(ISNUMBER(Collation!AT12),Collation!$AT12/(Collation!S12+Collation!T12),"-"))</f>
        <v>0.26937269372693728</v>
      </c>
      <c r="AU12" s="275">
        <f>IF(ISNUMBER(Collation!AU12),(Collation!AU12)/(Collation!R12+Collation!S12+Collation!T12),"-")</f>
        <v>0.16723356009070295</v>
      </c>
      <c r="AV12" s="275">
        <f>IF(ISNUMBER(Collation!U12),(Collation!AV12)/(Collation!U12),"-")</f>
        <v>3.5714285714285712E-2</v>
      </c>
      <c r="AW12" s="4" t="s">
        <v>48</v>
      </c>
      <c r="AX12" s="196" t="s">
        <v>40</v>
      </c>
      <c r="AY12" s="190">
        <f t="shared" si="1"/>
        <v>2057</v>
      </c>
      <c r="AZ12" s="190" t="s">
        <v>43</v>
      </c>
      <c r="BA12" s="190">
        <f t="shared" si="2"/>
        <v>2057</v>
      </c>
      <c r="BB12" s="190" t="s">
        <v>45</v>
      </c>
      <c r="BC12" s="197">
        <f t="shared" si="3"/>
        <v>2057</v>
      </c>
    </row>
    <row r="13" spans="1:60" x14ac:dyDescent="0.3">
      <c r="A13" s="217" t="s">
        <v>9</v>
      </c>
      <c r="B13" s="27"/>
      <c r="C13" s="162">
        <f>IF(ISNUMBER(Collation!E13),Collation!C13/Collation!E13,"-")</f>
        <v>0.68163125428375604</v>
      </c>
      <c r="D13" s="159">
        <f>IF(ISNUMBER(Collation!D13),Collation!D13/Collation!E13,"-")</f>
        <v>0.31836874571624402</v>
      </c>
      <c r="E13" s="228">
        <f>IF(ISNUMBER(Collation!E13),Collation!E13,"-")</f>
        <v>2918</v>
      </c>
      <c r="G13" s="162">
        <f>IF(Collation!$O13=0,"-",IF(ISNUMBER(Collation!G13),Collation!G13/Collation!$O13,"-"))</f>
        <v>3.9827771797631861E-2</v>
      </c>
      <c r="H13" s="159">
        <f>IF(Collation!$O13=0,"-",IF(ISNUMBER(Collation!H13),Collation!H13/Collation!$O13,"-"))</f>
        <v>8.6114101184068884E-3</v>
      </c>
      <c r="I13" s="159">
        <f>IF(Collation!$O13=0,"-",IF(ISNUMBER(Collation!I13),Collation!I13/Collation!$O13,"-"))</f>
        <v>0</v>
      </c>
      <c r="J13" s="159">
        <f>IF(Collation!$O13=0,"-",IF(ISNUMBER(Collation!J13),Collation!J13/Collation!$O13,"-"))</f>
        <v>0</v>
      </c>
      <c r="K13" s="159">
        <f>IF(Collation!$O13=0,"-",IF(ISNUMBER(Collation!K13),Collation!K13/Collation!$O13,"-"))</f>
        <v>0.77610333692142086</v>
      </c>
      <c r="L13" s="159">
        <f>IF(Collation!$O13=0,"-",IF(ISNUMBER(Collation!L13),Collation!L13/Collation!$O13,"-"))</f>
        <v>5.8127018299246498E-2</v>
      </c>
      <c r="M13" s="159">
        <f>IF(Collation!$O13=0,"-",IF(ISNUMBER(Collation!M13),Collation!M13/Collation!$O13,"-"))</f>
        <v>1.5069967707212056E-2</v>
      </c>
      <c r="N13" s="159">
        <f>IF(Collation!$O13=0,"-",IF(ISNUMBER(Collation!N13),Collation!N13/Collation!$O13,"-"))</f>
        <v>0.10226049515608181</v>
      </c>
      <c r="O13" s="233">
        <f>IF(ISNUMBER(Collation!O13),Collation!O13,"-")</f>
        <v>929</v>
      </c>
      <c r="P13" s="224">
        <f>IF(ISNUMBER(Collation!E13),IF(Collation!P13="-","-",IF(AZ13="prison",Collation!P13/Collation!E13,"-")),"-")</f>
        <v>0.12337217272104181</v>
      </c>
      <c r="Q13" s="186"/>
      <c r="R13" s="162">
        <f>IF(Collation!$U13=0,"-",IF(ISNUMBER(Collation!R13),Collation!R13/Collation!$U13,"-"))</f>
        <v>0.34991974317817015</v>
      </c>
      <c r="S13" s="159">
        <f>IF(Collation!$U13=0,"-",IF(ISNUMBER(Collation!S13),Collation!S13/Collation!$U13,"-"))</f>
        <v>0.19689673622257892</v>
      </c>
      <c r="T13" s="159">
        <f>IF(Collation!$U13=0,"-",IF(ISNUMBER(Collation!T13),Collation!T13/Collation!$U13,"-"))</f>
        <v>0.45318352059925093</v>
      </c>
      <c r="U13" s="164">
        <f>IF(ISNUMBER(Collation!U13),Collation!U13,"-")</f>
        <v>1869</v>
      </c>
      <c r="V13" s="171"/>
      <c r="W13" s="162">
        <f>IF(Collation!$Z13=0,"-",IF(ISNUMBER(Collation!W13),Collation!W13/Collation!$Z13,"-"))</f>
        <v>0.52293577981651373</v>
      </c>
      <c r="X13" s="159">
        <f>IF(Collation!$Z13=0,"-",IF(ISNUMBER(Collation!X13),Collation!X13/Collation!$Z13,"-"))</f>
        <v>0.35321100917431192</v>
      </c>
      <c r="Y13" s="159">
        <f>IF(Collation!$Z13=0,"-",IF(ISNUMBER(Collation!Y13),Collation!Y13/Collation!$Z13,"-"))</f>
        <v>0.12385321100917432</v>
      </c>
      <c r="Z13" s="164">
        <f>IF(ISNUMBER(Collation!Z13),Collation!Z13,"-")</f>
        <v>654</v>
      </c>
      <c r="AA13" s="162">
        <f>IF(Collation!$AD13=0,"-",IF(ISNUMBER(Collation!AA13),Collation!AA13/Collation!$AD13,"-"))</f>
        <v>0.49184782608695654</v>
      </c>
      <c r="AB13" s="159">
        <f>IF(Collation!$AD13=0,"-",IF(ISNUMBER(Collation!AB13),Collation!AB13/Collation!$AD13,"-"))</f>
        <v>0.2608695652173913</v>
      </c>
      <c r="AC13" s="159">
        <f>IF(Collation!$AD13=0,"-",IF(ISNUMBER(Collation!AC13),Collation!AC13/Collation!$AD13,"-"))</f>
        <v>0.24728260869565216</v>
      </c>
      <c r="AD13" s="164">
        <f>IF(ISNUMBER(Collation!AD13),Collation!AD13,"-")</f>
        <v>368</v>
      </c>
      <c r="AE13" s="162">
        <f>IF(Collation!$AH13=0,"-",IF(ISNUMBER(Collation!AE13),Collation!AE13/Collation!$AH13,"-"))</f>
        <v>0.52302243211334121</v>
      </c>
      <c r="AF13" s="159">
        <f>IF(Collation!$AH13=0,"-",IF(ISNUMBER(Collation!AF13),Collation!AF13/Collation!$AH13,"-"))</f>
        <v>0.29279811097992914</v>
      </c>
      <c r="AG13" s="159">
        <f>IF(Collation!$AH13=0,"-",IF(ISNUMBER(Collation!AG13),Collation!AG13/Collation!$AH13,"-"))</f>
        <v>0.18417945690672963</v>
      </c>
      <c r="AH13" s="164">
        <f>IF(ISNUMBER(Collation!AH13),Collation!AH13,"-")</f>
        <v>847</v>
      </c>
      <c r="AI13" s="46" t="str">
        <f t="shared" si="0"/>
        <v>P</v>
      </c>
      <c r="AJ13" s="118" t="str">
        <f>Collation!AJ13</f>
        <v>n/a</v>
      </c>
      <c r="AK13" s="31" t="str">
        <f>Collation!AK13</f>
        <v>n/a</v>
      </c>
      <c r="AL13" s="119" t="str">
        <f>Collation!AL13</f>
        <v>n/a</v>
      </c>
      <c r="AM13" s="32"/>
      <c r="AN13" s="273">
        <f>IF(Collation!$AQ13=0,"-",IF(ISNUMBER(Collation!AN13),Collation!AN13/Collation!$R13,"-"))</f>
        <v>0.51681957186544347</v>
      </c>
      <c r="AO13" s="274">
        <f>IF(Collation!$AQ13=0,"-",IF(ISNUMBER(Collation!AO13),Collation!AO13/Collation!$S13,"-"))</f>
        <v>0.26902173913043476</v>
      </c>
      <c r="AP13" s="274">
        <f>IF(Collation!$AQ13=0,"-",IF(ISNUMBER(Collation!AP13),Collation!AP13/Collation!$T13,"-"))</f>
        <v>0.31168831168831168</v>
      </c>
      <c r="AQ13" s="275">
        <f>IF(ISNUMBER(Collation!AQ13),(Collation!AN13+Collation!AO13+Collation!AP13)/(Collation!$R13+Collation!$S13+Collation!$T13),"-")</f>
        <v>0.37506688068485822</v>
      </c>
      <c r="AR13" s="32"/>
      <c r="AS13" s="273">
        <f>IF(Collation!$AU13=0,"-",IF(ISNUMBER(Collation!AS13),Collation!AS13/Collation!$R13,"-"))</f>
        <v>0.10703363914373089</v>
      </c>
      <c r="AT13" s="274">
        <f>IF(Collation!$AU13=0,"-",IF(ISNUMBER(Collation!AT13),Collation!$AT13/(Collation!S13+Collation!T13),"-"))</f>
        <v>3.2098765432098768E-2</v>
      </c>
      <c r="AU13" s="275">
        <f>IF(ISNUMBER(Collation!AU13),(Collation!AU13)/(Collation!R13+Collation!S13+Collation!T13),"-")</f>
        <v>5.8319957196361689E-2</v>
      </c>
      <c r="AV13" s="275">
        <f>IF(ISNUMBER(Collation!U13),(Collation!AV13)/(Collation!U13),"-")</f>
        <v>0.5666131621187801</v>
      </c>
      <c r="AW13" s="4" t="s">
        <v>48</v>
      </c>
      <c r="AX13" s="196" t="s">
        <v>40</v>
      </c>
      <c r="AY13" s="190">
        <f t="shared" si="1"/>
        <v>2918</v>
      </c>
      <c r="AZ13" s="190" t="s">
        <v>43</v>
      </c>
      <c r="BA13" s="190">
        <f t="shared" si="2"/>
        <v>2918</v>
      </c>
      <c r="BB13" s="190" t="s">
        <v>45</v>
      </c>
      <c r="BC13" s="197">
        <f t="shared" si="3"/>
        <v>2918</v>
      </c>
    </row>
    <row r="14" spans="1:60" x14ac:dyDescent="0.3">
      <c r="A14" s="217" t="s">
        <v>10</v>
      </c>
      <c r="B14" s="27"/>
      <c r="C14" s="162">
        <f>IF(ISNUMBER(Collation!E14),Collation!C14/Collation!E14,"-")</f>
        <v>0.77698755397510799</v>
      </c>
      <c r="D14" s="159">
        <f>IF(ISNUMBER(Collation!D14),Collation!D14/Collation!E14,"-")</f>
        <v>0.22301244602489204</v>
      </c>
      <c r="E14" s="228">
        <f>IF(ISNUMBER(Collation!E14),Collation!E14,"-")</f>
        <v>7874</v>
      </c>
      <c r="G14" s="162">
        <f>IF(Collation!$O14=0,"-",IF(ISNUMBER(Collation!G14),Collation!G14/Collation!$O14,"-"))</f>
        <v>0</v>
      </c>
      <c r="H14" s="159">
        <f>IF(Collation!$O14=0,"-",IF(ISNUMBER(Collation!H14),Collation!H14/Collation!$O14,"-"))</f>
        <v>0</v>
      </c>
      <c r="I14" s="159">
        <f>IF(Collation!$O14=0,"-",IF(ISNUMBER(Collation!I14),Collation!I14/Collation!$O14,"-"))</f>
        <v>0</v>
      </c>
      <c r="J14" s="159">
        <f>IF(Collation!$O14=0,"-",IF(ISNUMBER(Collation!J14),Collation!J14/Collation!$O14,"-"))</f>
        <v>0</v>
      </c>
      <c r="K14" s="159">
        <f>IF(Collation!$O14=0,"-",IF(ISNUMBER(Collation!K14),Collation!K14/Collation!$O14,"-"))</f>
        <v>0.5130979498861048</v>
      </c>
      <c r="L14" s="159">
        <f>IF(Collation!$O14=0,"-",IF(ISNUMBER(Collation!L14),Collation!L14/Collation!$O14,"-"))</f>
        <v>4.9544419134396354E-2</v>
      </c>
      <c r="M14" s="159">
        <f>IF(Collation!$O14=0,"-",IF(ISNUMBER(Collation!M14),Collation!M14/Collation!$O14,"-"))</f>
        <v>2.5056947608200455E-2</v>
      </c>
      <c r="N14" s="159">
        <f>IF(Collation!$O14=0,"-",IF(ISNUMBER(Collation!N14),Collation!N14/Collation!$O14,"-"))</f>
        <v>0.41230068337129838</v>
      </c>
      <c r="O14" s="233">
        <f>IF(ISNUMBER(Collation!O14),Collation!O14,"-")</f>
        <v>1756</v>
      </c>
      <c r="P14" s="224">
        <f>IF(ISNUMBER(Collation!E14),IF(Collation!P14="-","-",IF(AZ14="prison",Collation!P14/Collation!E14,"-")),"-")</f>
        <v>0.22174244348488698</v>
      </c>
      <c r="Q14" s="186"/>
      <c r="R14" s="162">
        <f>IF(Collation!$U14=0,"-",IF(ISNUMBER(Collation!R14),Collation!R14/Collation!$U14,"-"))</f>
        <v>0.56744356762708759</v>
      </c>
      <c r="S14" s="159">
        <f>IF(Collation!$U14=0,"-",IF(ISNUMBER(Collation!S14),Collation!S14/Collation!$U14,"-"))</f>
        <v>0.31143329051202057</v>
      </c>
      <c r="T14" s="159">
        <f>IF(Collation!$U14=0,"-",IF(ISNUMBER(Collation!T14),Collation!T14/Collation!$U14,"-"))</f>
        <v>0.1211231418608919</v>
      </c>
      <c r="U14" s="164">
        <f>IF(ISNUMBER(Collation!U14),Collation!U14,"-")</f>
        <v>5449</v>
      </c>
      <c r="V14" s="171"/>
      <c r="W14" s="162">
        <f>IF(Collation!$Z14=0,"-",IF(ISNUMBER(Collation!W14),Collation!W14/Collation!$Z14,"-"))</f>
        <v>0.41752910737386806</v>
      </c>
      <c r="X14" s="159">
        <f>IF(Collation!$Z14=0,"-",IF(ISNUMBER(Collation!X14),Collation!X14/Collation!$Z14,"-"))</f>
        <v>0.48544631306597669</v>
      </c>
      <c r="Y14" s="159">
        <f>IF(Collation!$Z14=0,"-",IF(ISNUMBER(Collation!Y14),Collation!Y14/Collation!$Z14,"-"))</f>
        <v>9.7024579560155241E-2</v>
      </c>
      <c r="Z14" s="164">
        <f>IF(ISNUMBER(Collation!Z14),Collation!Z14,"-")</f>
        <v>3092</v>
      </c>
      <c r="AA14" s="162">
        <f>IF(Collation!$AD14=0,"-",IF(ISNUMBER(Collation!AA14),Collation!AA14/Collation!$AD14,"-"))</f>
        <v>0.24337065409546257</v>
      </c>
      <c r="AB14" s="159">
        <f>IF(Collation!$AD14=0,"-",IF(ISNUMBER(Collation!AB14),Collation!AB14/Collation!$AD14,"-"))</f>
        <v>0.43488509133765468</v>
      </c>
      <c r="AC14" s="159">
        <f>IF(Collation!$AD14=0,"-",IF(ISNUMBER(Collation!AC14),Collation!AC14/Collation!$AD14,"-"))</f>
        <v>0.32174425456688271</v>
      </c>
      <c r="AD14" s="164">
        <f>IF(ISNUMBER(Collation!AD14),Collation!AD14,"-")</f>
        <v>1697</v>
      </c>
      <c r="AE14" s="162">
        <f>IF(Collation!$AH14=0,"-",IF(ISNUMBER(Collation!AE14),Collation!AE14/Collation!$AH14,"-"))</f>
        <v>0.21818181818181817</v>
      </c>
      <c r="AF14" s="159">
        <f>IF(Collation!$AH14=0,"-",IF(ISNUMBER(Collation!AF14),Collation!AF14/Collation!$AH14,"-"))</f>
        <v>0.58636363636363631</v>
      </c>
      <c r="AG14" s="159">
        <f>IF(Collation!$AH14=0,"-",IF(ISNUMBER(Collation!AG14),Collation!AG14/Collation!$AH14,"-"))</f>
        <v>0.19545454545454546</v>
      </c>
      <c r="AH14" s="164">
        <f>IF(ISNUMBER(Collation!AH14),Collation!AH14,"-")</f>
        <v>660</v>
      </c>
      <c r="AI14" s="46" t="str">
        <f t="shared" si="0"/>
        <v>P</v>
      </c>
      <c r="AJ14" s="118" t="str">
        <f>Collation!AJ14</f>
        <v>n/a</v>
      </c>
      <c r="AK14" s="31" t="str">
        <f>Collation!AK14</f>
        <v>n/a</v>
      </c>
      <c r="AL14" s="119" t="str">
        <f>Collation!AL14</f>
        <v>n/a</v>
      </c>
      <c r="AM14" s="32"/>
      <c r="AN14" s="273">
        <f>IF(Collation!$AQ14=0,"-",IF(ISNUMBER(Collation!AN14),Collation!AN14/Collation!$R14,"-"))</f>
        <v>0.87710219922380339</v>
      </c>
      <c r="AO14" s="274">
        <f>IF(Collation!$AQ14=0,"-",IF(ISNUMBER(Collation!AO14),Collation!AO14/Collation!$S14,"-"))</f>
        <v>0.64702416028285215</v>
      </c>
      <c r="AP14" s="274">
        <f>IF(Collation!$AQ14=0,"-",IF(ISNUMBER(Collation!AP14),Collation!AP14/Collation!$T14,"-"))</f>
        <v>0.58636363636363631</v>
      </c>
      <c r="AQ14" s="275">
        <f>IF(ISNUMBER(Collation!AQ14),(Collation!AN14+Collation!AO14+Collation!AP14)/(Collation!$R14+Collation!$S14+Collation!$T14),"-")</f>
        <v>0.77023307028812626</v>
      </c>
      <c r="AR14" s="32"/>
      <c r="AS14" s="273">
        <f>IF(Collation!$AU14=0,"-",IF(ISNUMBER(Collation!AS14),Collation!AS14/Collation!$R14,"-"))</f>
        <v>9.7994825355756793E-2</v>
      </c>
      <c r="AT14" s="274">
        <f>IF(Collation!$AU14=0,"-",IF(ISNUMBER(Collation!AT14),Collation!$AT14/(Collation!S14+Collation!T14),"-"))</f>
        <v>9.6733135341535853E-2</v>
      </c>
      <c r="AU14" s="275">
        <f>IF(ISNUMBER(Collation!AU14),(Collation!AU14)/(Collation!R14+Collation!S14+Collation!T14),"-")</f>
        <v>9.7449073224444849E-2</v>
      </c>
      <c r="AV14" s="275">
        <f>IF(ISNUMBER(Collation!U14),(Collation!AV14)/(Collation!U14),"-")</f>
        <v>0.13231785648742889</v>
      </c>
      <c r="AW14" s="4" t="s">
        <v>48</v>
      </c>
      <c r="AX14" s="198" t="s">
        <v>40</v>
      </c>
      <c r="AY14" s="192">
        <f t="shared" si="1"/>
        <v>7874</v>
      </c>
      <c r="AZ14" s="192" t="s">
        <v>43</v>
      </c>
      <c r="BA14" s="192">
        <f t="shared" si="2"/>
        <v>7874</v>
      </c>
      <c r="BB14" s="190" t="s">
        <v>45</v>
      </c>
      <c r="BC14" s="197">
        <f t="shared" si="3"/>
        <v>7874</v>
      </c>
    </row>
    <row r="15" spans="1:60" x14ac:dyDescent="0.3">
      <c r="A15" s="217" t="s">
        <v>11</v>
      </c>
      <c r="C15" s="162">
        <f>IF(ISNUMBER(Collation!E15),Collation!C15/Collation!E15,"-")</f>
        <v>1</v>
      </c>
      <c r="D15" s="159">
        <f>IF(ISNUMBER(Collation!D15),Collation!D15/Collation!E15,"-")</f>
        <v>0</v>
      </c>
      <c r="E15" s="228">
        <f>IF(ISNUMBER(Collation!E15),Collation!E15,"-")</f>
        <v>843</v>
      </c>
      <c r="G15" s="162">
        <f>IF(Collation!$O15=0,"-",IF(ISNUMBER(Collation!G15),Collation!G15/Collation!$O15,"-"))</f>
        <v>0.75</v>
      </c>
      <c r="H15" s="159">
        <f>IF(Collation!$O15=0,"-",IF(ISNUMBER(Collation!H15),Collation!H15/Collation!$O15,"-"))</f>
        <v>0.25</v>
      </c>
      <c r="I15" s="159">
        <f>IF(Collation!$O15=0,"-",IF(ISNUMBER(Collation!I15),Collation!I15/Collation!$O15,"-"))</f>
        <v>0</v>
      </c>
      <c r="J15" s="159">
        <f>IF(Collation!$O15=0,"-",IF(ISNUMBER(Collation!J15),Collation!J15/Collation!$O15,"-"))</f>
        <v>0</v>
      </c>
      <c r="K15" s="159">
        <f>IF(Collation!$O15=0,"-",IF(ISNUMBER(Collation!K15),Collation!K15/Collation!$O15,"-"))</f>
        <v>0</v>
      </c>
      <c r="L15" s="159">
        <f>IF(Collation!$O15=0,"-",IF(ISNUMBER(Collation!L15),Collation!L15/Collation!$O15,"-"))</f>
        <v>0</v>
      </c>
      <c r="M15" s="159">
        <f>IF(Collation!$O15=0,"-",IF(ISNUMBER(Collation!M15),Collation!M15/Collation!$O15,"-"))</f>
        <v>0</v>
      </c>
      <c r="N15" s="159">
        <f>IF(Collation!$O15=0,"-",IF(ISNUMBER(Collation!N15),Collation!N15/Collation!$O15,"-"))</f>
        <v>0</v>
      </c>
      <c r="O15" s="233">
        <f>IF(ISNUMBER(Collation!O15),Collation!O15,"-")</f>
        <v>32</v>
      </c>
      <c r="P15" s="224">
        <f>IF(ISNUMBER(Collation!E15),IF(Collation!P15="-","-",IF(AZ15="prison",Collation!P15/Collation!E15,"-")),"-")</f>
        <v>4.9822064056939501E-2</v>
      </c>
      <c r="Q15" s="186"/>
      <c r="R15" s="162">
        <f>IF(Collation!$U15=0,"-",IF(ISNUMBER(Collation!R15),Collation!R15/Collation!$U15,"-"))</f>
        <v>0.22765196662693682</v>
      </c>
      <c r="S15" s="159">
        <f>IF(Collation!$U15=0,"-",IF(ISNUMBER(Collation!S15),Collation!S15/Collation!$U15,"-"))</f>
        <v>0.72586412395709177</v>
      </c>
      <c r="T15" s="159">
        <f>IF(Collation!$U15=0,"-",IF(ISNUMBER(Collation!T15),Collation!T15/Collation!$U15,"-"))</f>
        <v>4.6483909415971393E-2</v>
      </c>
      <c r="U15" s="164">
        <f>IF(ISNUMBER(Collation!U15),Collation!U15,"-")</f>
        <v>839</v>
      </c>
      <c r="V15" s="171"/>
      <c r="W15" s="162">
        <f>IF(Collation!$Z15=0,"-",IF(ISNUMBER(Collation!W15),Collation!W15/Collation!$Z15,"-"))</f>
        <v>0.43455497382198954</v>
      </c>
      <c r="X15" s="159">
        <f>IF(Collation!$Z15=0,"-",IF(ISNUMBER(Collation!X15),Collation!X15/Collation!$Z15,"-"))</f>
        <v>0.22513089005235601</v>
      </c>
      <c r="Y15" s="159">
        <f>IF(Collation!$Z15=0,"-",IF(ISNUMBER(Collation!Y15),Collation!Y15/Collation!$Z15,"-"))</f>
        <v>0.34031413612565448</v>
      </c>
      <c r="Z15" s="164">
        <f>IF(ISNUMBER(Collation!Z15),Collation!Z15,"-")</f>
        <v>191</v>
      </c>
      <c r="AA15" s="162">
        <f>IF(Collation!$AD15=0,"-",IF(ISNUMBER(Collation!AA15),Collation!AA15/Collation!$AD15,"-"))</f>
        <v>0.29556650246305421</v>
      </c>
      <c r="AB15" s="159">
        <f>IF(Collation!$AD15=0,"-",IF(ISNUMBER(Collation!AB15),Collation!AB15/Collation!$AD15,"-"))</f>
        <v>0.27586206896551724</v>
      </c>
      <c r="AC15" s="159">
        <f>IF(Collation!$AD15=0,"-",IF(ISNUMBER(Collation!AC15),Collation!AC15/Collation!$AD15,"-"))</f>
        <v>0.42857142857142855</v>
      </c>
      <c r="AD15" s="164">
        <f>IF(ISNUMBER(Collation!AD15),Collation!AD15,"-")</f>
        <v>609</v>
      </c>
      <c r="AE15" s="162">
        <f>IF(Collation!$AH15=0,"-",IF(ISNUMBER(Collation!AE15),Collation!AE15/Collation!$AH15,"-"))</f>
        <v>0.28205128205128205</v>
      </c>
      <c r="AF15" s="159">
        <f>IF(Collation!$AH15=0,"-",IF(ISNUMBER(Collation!AF15),Collation!AF15/Collation!$AH15,"-"))</f>
        <v>0.48717948717948717</v>
      </c>
      <c r="AG15" s="159">
        <f>IF(Collation!$AH15=0,"-",IF(ISNUMBER(Collation!AG15),Collation!AG15/Collation!$AH15,"-"))</f>
        <v>0.23076923076923078</v>
      </c>
      <c r="AH15" s="164">
        <f>IF(ISNUMBER(Collation!AH15),Collation!AH15,"-")</f>
        <v>39</v>
      </c>
      <c r="AI15" s="46" t="str">
        <f t="shared" si="0"/>
        <v>P</v>
      </c>
      <c r="AJ15" s="118" t="str">
        <f>Collation!AJ15</f>
        <v>n/a</v>
      </c>
      <c r="AK15" s="31" t="str">
        <f>Collation!AK15</f>
        <v>n/a</v>
      </c>
      <c r="AL15" s="119" t="str">
        <f>Collation!AL15</f>
        <v>n/a</v>
      </c>
      <c r="AM15" s="32"/>
      <c r="AN15" s="273">
        <f>IF(Collation!$AQ15=0,"-",IF(ISNUMBER(Collation!AN15),Collation!AN15/Collation!$R15,"-"))</f>
        <v>0.82198952879581155</v>
      </c>
      <c r="AO15" s="274">
        <f>IF(Collation!$AQ15=0,"-",IF(ISNUMBER(Collation!AO15),Collation!AO15/Collation!$S15,"-"))</f>
        <v>0.26600985221674878</v>
      </c>
      <c r="AP15" s="274">
        <f>IF(Collation!$AQ15=0,"-",IF(ISNUMBER(Collation!AP15),Collation!AP15/Collation!$T15,"-"))</f>
        <v>0.64102564102564108</v>
      </c>
      <c r="AQ15" s="275">
        <f>IF(ISNUMBER(Collation!AQ15),(Collation!AN15+Collation!AO15+Collation!AP15)/(Collation!$R15+Collation!$S15+Collation!$T15),"-")</f>
        <v>0.41001191895113231</v>
      </c>
      <c r="AR15" s="32"/>
      <c r="AS15" s="273">
        <f>IF(Collation!$AU15=0,"-",IF(ISNUMBER(Collation!AS15),Collation!AS15/Collation!$R15,"-"))</f>
        <v>4.712041884816754E-2</v>
      </c>
      <c r="AT15" s="274">
        <f>IF(Collation!$AU15=0,"-",IF(ISNUMBER(Collation!AT15),Collation!$AT15/(Collation!S15+Collation!T15),"-"))</f>
        <v>0</v>
      </c>
      <c r="AU15" s="275">
        <f>IF(ISNUMBER(Collation!AU15),(Collation!AU15)/(Collation!R15+Collation!S15+Collation!T15),"-")</f>
        <v>1.0727056019070322E-2</v>
      </c>
      <c r="AV15" s="275">
        <f>IF(ISNUMBER(Collation!U15),(Collation!AV15)/(Collation!U15),"-")</f>
        <v>0.57926102502979737</v>
      </c>
      <c r="AW15" s="4" t="s">
        <v>48</v>
      </c>
      <c r="AX15" s="196" t="s">
        <v>40</v>
      </c>
      <c r="AY15" s="190">
        <f t="shared" si="1"/>
        <v>843</v>
      </c>
      <c r="AZ15" s="190" t="s">
        <v>43</v>
      </c>
      <c r="BA15" s="190">
        <f t="shared" si="2"/>
        <v>843</v>
      </c>
      <c r="BB15" s="190" t="s">
        <v>45</v>
      </c>
      <c r="BC15" s="197">
        <f t="shared" si="3"/>
        <v>843</v>
      </c>
    </row>
    <row r="16" spans="1:60" x14ac:dyDescent="0.3">
      <c r="A16" s="217" t="s">
        <v>12</v>
      </c>
      <c r="B16" s="27"/>
      <c r="C16" s="162">
        <f>IF(ISNUMBER(Collation!E16),Collation!C16/Collation!E16,"-")</f>
        <v>0.64881101376720907</v>
      </c>
      <c r="D16" s="159">
        <f>IF(ISNUMBER(Collation!D16),Collation!D16/Collation!E16,"-")</f>
        <v>0.35118898623279099</v>
      </c>
      <c r="E16" s="228">
        <f>IF(ISNUMBER(Collation!E16),Collation!E16,"-")</f>
        <v>3995</v>
      </c>
      <c r="G16" s="162">
        <f>IF(Collation!$O16=0,"-",IF(ISNUMBER(Collation!G16),Collation!G16/Collation!$O16,"-"))</f>
        <v>0</v>
      </c>
      <c r="H16" s="159">
        <f>IF(Collation!$O16=0,"-",IF(ISNUMBER(Collation!H16),Collation!H16/Collation!$O16,"-"))</f>
        <v>0</v>
      </c>
      <c r="I16" s="159">
        <f>IF(Collation!$O16=0,"-",IF(ISNUMBER(Collation!I16),Collation!I16/Collation!$O16,"-"))</f>
        <v>0</v>
      </c>
      <c r="J16" s="159">
        <f>IF(Collation!$O16=0,"-",IF(ISNUMBER(Collation!J16),Collation!J16/Collation!$O16,"-"))</f>
        <v>0</v>
      </c>
      <c r="K16" s="159">
        <f>IF(Collation!$O16=0,"-",IF(ISNUMBER(Collation!K16),Collation!K16/Collation!$O16,"-"))</f>
        <v>0.6585887384176764</v>
      </c>
      <c r="L16" s="159">
        <f>IF(Collation!$O16=0,"-",IF(ISNUMBER(Collation!L16),Collation!L16/Collation!$O16,"-"))</f>
        <v>5.2031361368496079E-2</v>
      </c>
      <c r="M16" s="159">
        <f>IF(Collation!$O16=0,"-",IF(ISNUMBER(Collation!M16),Collation!M16/Collation!$O16,"-"))</f>
        <v>2.0669992872416252E-2</v>
      </c>
      <c r="N16" s="159">
        <f>IF(Collation!$O16=0,"-",IF(ISNUMBER(Collation!N16),Collation!N16/Collation!$O16,"-"))</f>
        <v>0.26870990734141126</v>
      </c>
      <c r="O16" s="233">
        <f>IF(ISNUMBER(Collation!O16),Collation!O16,"-")</f>
        <v>1403</v>
      </c>
      <c r="P16" s="224">
        <f>IF(ISNUMBER(Collation!E16),IF(Collation!P16="-","-",IF(AZ16="prison",Collation!P16/Collation!E16,"-")),"-")</f>
        <v>0.12090112640801001</v>
      </c>
      <c r="Q16" s="186"/>
      <c r="R16" s="162">
        <f>IF(Collation!$U16=0,"-",IF(ISNUMBER(Collation!R16),Collation!R16/Collation!$U16,"-"))</f>
        <v>0.58713692946058094</v>
      </c>
      <c r="S16" s="159">
        <f>IF(Collation!$U16=0,"-",IF(ISNUMBER(Collation!S16),Collation!S16/Collation!$U16,"-"))</f>
        <v>0.37510373443983402</v>
      </c>
      <c r="T16" s="159">
        <f>IF(Collation!$U16=0,"-",IF(ISNUMBER(Collation!T16),Collation!T16/Collation!$U16,"-"))</f>
        <v>3.775933609958506E-2</v>
      </c>
      <c r="U16" s="164">
        <f>IF(ISNUMBER(Collation!U16),Collation!U16,"-")</f>
        <v>2410</v>
      </c>
      <c r="V16" s="171"/>
      <c r="W16" s="162">
        <f>IF(Collation!$Z16=0,"-",IF(ISNUMBER(Collation!W16),Collation!W16/Collation!$Z16,"-"))</f>
        <v>0.27067137809187281</v>
      </c>
      <c r="X16" s="159">
        <f>IF(Collation!$Z16=0,"-",IF(ISNUMBER(Collation!X16),Collation!X16/Collation!$Z16,"-"))</f>
        <v>0.55618374558303885</v>
      </c>
      <c r="Y16" s="159">
        <f>IF(Collation!$Z16=0,"-",IF(ISNUMBER(Collation!Y16),Collation!Y16/Collation!$Z16,"-"))</f>
        <v>0.17314487632508835</v>
      </c>
      <c r="Z16" s="164">
        <f>IF(ISNUMBER(Collation!Z16),Collation!Z16,"-")</f>
        <v>1415</v>
      </c>
      <c r="AA16" s="162">
        <f>IF(Collation!$AD16=0,"-",IF(ISNUMBER(Collation!AA16),Collation!AA16/Collation!$AD16,"-"))</f>
        <v>0.19690265486725664</v>
      </c>
      <c r="AB16" s="159">
        <f>IF(Collation!$AD16=0,"-",IF(ISNUMBER(Collation!AB16),Collation!AB16/Collation!$AD16,"-"))</f>
        <v>0.40154867256637167</v>
      </c>
      <c r="AC16" s="159">
        <f>IF(Collation!$AD16=0,"-",IF(ISNUMBER(Collation!AC16),Collation!AC16/Collation!$AD16,"-"))</f>
        <v>0.40154867256637167</v>
      </c>
      <c r="AD16" s="164">
        <f>IF(ISNUMBER(Collation!AD16),Collation!AD16,"-")</f>
        <v>904</v>
      </c>
      <c r="AE16" s="162">
        <f>IF(Collation!$AH16=0,"-",IF(ISNUMBER(Collation!AE16),Collation!AE16/Collation!$AH16,"-"))</f>
        <v>0.21978021978021978</v>
      </c>
      <c r="AF16" s="159">
        <f>IF(Collation!$AH16=0,"-",IF(ISNUMBER(Collation!AF16),Collation!AF16/Collation!$AH16,"-"))</f>
        <v>0.49450549450549453</v>
      </c>
      <c r="AG16" s="159">
        <f>IF(Collation!$AH16=0,"-",IF(ISNUMBER(Collation!AG16),Collation!AG16/Collation!$AH16,"-"))</f>
        <v>0.2857142857142857</v>
      </c>
      <c r="AH16" s="164">
        <f>IF(ISNUMBER(Collation!AH16),Collation!AH16,"-")</f>
        <v>91</v>
      </c>
      <c r="AI16" s="46" t="str">
        <f t="shared" si="0"/>
        <v>P</v>
      </c>
      <c r="AJ16" s="118" t="str">
        <f>Collation!AJ16</f>
        <v>n/a</v>
      </c>
      <c r="AK16" s="31" t="str">
        <f>Collation!AK16</f>
        <v>n/a</v>
      </c>
      <c r="AL16" s="119" t="str">
        <f>Collation!AL16</f>
        <v>n/a</v>
      </c>
      <c r="AM16" s="32"/>
      <c r="AN16" s="273">
        <f>IF(Collation!$AQ16=0,"-",IF(ISNUMBER(Collation!AN16),Collation!AN16/Collation!$R16,"-"))</f>
        <v>0.80706713780918726</v>
      </c>
      <c r="AO16" s="274">
        <f>IF(Collation!$AQ16=0,"-",IF(ISNUMBER(Collation!AO16),Collation!AO16/Collation!$S16,"-"))</f>
        <v>0.62389380530973448</v>
      </c>
      <c r="AP16" s="274">
        <f>IF(Collation!$AQ16=0,"-",IF(ISNUMBER(Collation!AP16),Collation!AP16/Collation!$T16,"-"))</f>
        <v>0.86813186813186816</v>
      </c>
      <c r="AQ16" s="275">
        <f>IF(ISNUMBER(Collation!AQ16),(Collation!AN16+Collation!AO16+Collation!AP16)/(Collation!$R16+Collation!$S16+Collation!$T16),"-")</f>
        <v>0.74066390041493779</v>
      </c>
      <c r="AR16" s="32"/>
      <c r="AS16" s="273">
        <f>IF(Collation!$AU16=0,"-",IF(ISNUMBER(Collation!AS16),Collation!AS16/Collation!$R16,"-"))</f>
        <v>2.1201413427561839E-2</v>
      </c>
      <c r="AT16" s="274">
        <f>IF(Collation!$AU16=0,"-",IF(ISNUMBER(Collation!AT16),Collation!$AT16/(Collation!S16+Collation!T16),"-"))</f>
        <v>0.15979899497487438</v>
      </c>
      <c r="AU16" s="275">
        <f>IF(ISNUMBER(Collation!AU16),(Collation!AU16)/(Collation!R16+Collation!S16+Collation!T16),"-")</f>
        <v>7.8423236514522821E-2</v>
      </c>
      <c r="AV16" s="275">
        <f>IF(ISNUMBER(Collation!U16),(Collation!AV16)/(Collation!U16),"-")</f>
        <v>0.18091286307053941</v>
      </c>
      <c r="AW16" s="4" t="s">
        <v>48</v>
      </c>
      <c r="AX16" s="196" t="s">
        <v>40</v>
      </c>
      <c r="AY16" s="190">
        <f t="shared" si="1"/>
        <v>3995</v>
      </c>
      <c r="AZ16" s="190" t="s">
        <v>43</v>
      </c>
      <c r="BA16" s="190">
        <f t="shared" si="2"/>
        <v>3995</v>
      </c>
      <c r="BB16" s="190" t="s">
        <v>45</v>
      </c>
      <c r="BC16" s="197">
        <f t="shared" si="3"/>
        <v>3995</v>
      </c>
    </row>
    <row r="17" spans="1:60" x14ac:dyDescent="0.3">
      <c r="A17" s="217" t="s">
        <v>13</v>
      </c>
      <c r="C17" s="162">
        <f>IF(ISNUMBER(Collation!E17),Collation!C17/Collation!E17,"-")</f>
        <v>0.65927630202886423</v>
      </c>
      <c r="D17" s="159">
        <f>IF(ISNUMBER(Collation!D17),Collation!D17/Collation!E17,"-")</f>
        <v>0.34072369797113572</v>
      </c>
      <c r="E17" s="228">
        <f>IF(ISNUMBER(Collation!E17),Collation!E17,"-")</f>
        <v>4781</v>
      </c>
      <c r="G17" s="162">
        <f>IF(Collation!$O17=0,"-",IF(ISNUMBER(Collation!G17),Collation!G17/Collation!$O17,"-"))</f>
        <v>2.2857142857142857E-2</v>
      </c>
      <c r="H17" s="159">
        <f>IF(Collation!$O17=0,"-",IF(ISNUMBER(Collation!H17),Collation!H17/Collation!$O17,"-"))</f>
        <v>2.4E-2</v>
      </c>
      <c r="I17" s="159">
        <f>IF(Collation!$O17=0,"-",IF(ISNUMBER(Collation!I17),Collation!I17/Collation!$O17,"-"))</f>
        <v>0.02</v>
      </c>
      <c r="J17" s="159">
        <f>IF(Collation!$O17=0,"-",IF(ISNUMBER(Collation!J17),Collation!J17/Collation!$O17,"-"))</f>
        <v>2.2857142857142859E-3</v>
      </c>
      <c r="K17" s="159">
        <f>IF(Collation!$O17=0,"-",IF(ISNUMBER(Collation!K17),Collation!K17/Collation!$O17,"-"))</f>
        <v>0.56342857142857139</v>
      </c>
      <c r="L17" s="159">
        <f>IF(Collation!$O17=0,"-",IF(ISNUMBER(Collation!L17),Collation!L17/Collation!$O17,"-"))</f>
        <v>5.2571428571428575E-2</v>
      </c>
      <c r="M17" s="159">
        <f>IF(Collation!$O17=0,"-",IF(ISNUMBER(Collation!M17),Collation!M17/Collation!$O17,"-"))</f>
        <v>6.8571428571428568E-3</v>
      </c>
      <c r="N17" s="159">
        <f>IF(Collation!$O17=0,"-",IF(ISNUMBER(Collation!N17),Collation!N17/Collation!$O17,"-"))</f>
        <v>0.308</v>
      </c>
      <c r="O17" s="233">
        <f>IF(ISNUMBER(Collation!O17),Collation!O17,"-")</f>
        <v>1750</v>
      </c>
      <c r="P17" s="224">
        <f>IF(ISNUMBER(Collation!E17),IF(Collation!P17="-","-",IF(AZ17="prison",Collation!P17/Collation!E17,"-")),"-")</f>
        <v>0.27023635222756748</v>
      </c>
      <c r="Q17" s="186"/>
      <c r="R17" s="162">
        <f>IF(Collation!$U17=0,"-",IF(ISNUMBER(Collation!R17),Collation!R17/Collation!$U17,"-"))</f>
        <v>0.42011247105524313</v>
      </c>
      <c r="S17" s="159">
        <f>IF(Collation!$U17=0,"-",IF(ISNUMBER(Collation!S17),Collation!S17/Collation!$U17,"-"))</f>
        <v>0.56731723453522986</v>
      </c>
      <c r="T17" s="159">
        <f>IF(Collation!$U17=0,"-",IF(ISNUMBER(Collation!T17),Collation!T17/Collation!$U17,"-"))</f>
        <v>1.257029440952696E-2</v>
      </c>
      <c r="U17" s="164">
        <f>IF(ISNUMBER(Collation!U17),Collation!U17,"-")</f>
        <v>3023</v>
      </c>
      <c r="V17" s="171"/>
      <c r="W17" s="162">
        <f>IF(Collation!$Z17=0,"-",IF(ISNUMBER(Collation!W17),Collation!W17/Collation!$Z17,"-"))</f>
        <v>9.1338582677165353E-2</v>
      </c>
      <c r="X17" s="159">
        <f>IF(Collation!$Z17=0,"-",IF(ISNUMBER(Collation!X17),Collation!X17/Collation!$Z17,"-"))</f>
        <v>0.81968503937007875</v>
      </c>
      <c r="Y17" s="159">
        <f>IF(Collation!$Z17=0,"-",IF(ISNUMBER(Collation!Y17),Collation!Y17/Collation!$Z17,"-"))</f>
        <v>8.8976377952755911E-2</v>
      </c>
      <c r="Z17" s="164">
        <f>IF(ISNUMBER(Collation!Z17),Collation!Z17,"-")</f>
        <v>1270</v>
      </c>
      <c r="AA17" s="162">
        <f>IF(Collation!$AD17=0,"-",IF(ISNUMBER(Collation!AA17),Collation!AA17/Collation!$AD17,"-"))</f>
        <v>0.44897959183673469</v>
      </c>
      <c r="AB17" s="159">
        <f>IF(Collation!$AD17=0,"-",IF(ISNUMBER(Collation!AB17),Collation!AB17/Collation!$AD17,"-"))</f>
        <v>0.26180758017492711</v>
      </c>
      <c r="AC17" s="159">
        <f>IF(Collation!$AD17=0,"-",IF(ISNUMBER(Collation!AC17),Collation!AC17/Collation!$AD17,"-"))</f>
        <v>0.28921282798833819</v>
      </c>
      <c r="AD17" s="164">
        <f>IF(ISNUMBER(Collation!AD17),Collation!AD17,"-")</f>
        <v>1715</v>
      </c>
      <c r="AE17" s="162">
        <f>IF(Collation!$AH17=0,"-",IF(ISNUMBER(Collation!AE17),Collation!AE17/Collation!$AH17,"-"))</f>
        <v>0.36842105263157893</v>
      </c>
      <c r="AF17" s="159">
        <f>IF(Collation!$AH17=0,"-",IF(ISNUMBER(Collation!AF17),Collation!AF17/Collation!$AH17,"-"))</f>
        <v>0.44736842105263158</v>
      </c>
      <c r="AG17" s="159">
        <f>IF(Collation!$AH17=0,"-",IF(ISNUMBER(Collation!AG17),Collation!AG17/Collation!$AH17,"-"))</f>
        <v>0.18421052631578946</v>
      </c>
      <c r="AH17" s="164">
        <f>IF(ISNUMBER(Collation!AH17),Collation!AH17,"-")</f>
        <v>38</v>
      </c>
      <c r="AI17" s="46" t="str">
        <f t="shared" si="0"/>
        <v>P</v>
      </c>
      <c r="AJ17" s="118" t="str">
        <f>Collation!AJ17</f>
        <v>n/a</v>
      </c>
      <c r="AK17" s="31" t="str">
        <f>Collation!AK17</f>
        <v>n/a</v>
      </c>
      <c r="AL17" s="119" t="str">
        <f>Collation!AL17</f>
        <v>n/a</v>
      </c>
      <c r="AM17" s="32"/>
      <c r="AN17" s="273">
        <f>IF(Collation!$AQ17=0,"-",IF(ISNUMBER(Collation!AN17),Collation!AN17/Collation!$R17,"-"))</f>
        <v>0.77716535433070866</v>
      </c>
      <c r="AO17" s="274">
        <f>IF(Collation!$AQ17=0,"-",IF(ISNUMBER(Collation!AO17),Collation!AO17/Collation!$S17,"-"))</f>
        <v>0.44956268221574341</v>
      </c>
      <c r="AP17" s="274">
        <f>IF(Collation!$AQ17=0,"-",IF(ISNUMBER(Collation!AP17),Collation!AP17/Collation!$T17,"-"))</f>
        <v>0.5</v>
      </c>
      <c r="AQ17" s="275">
        <f>IF(ISNUMBER(Collation!AQ17),(Collation!AN17+Collation!AO17+Collation!AP17)/(Collation!$R17+Collation!$S17+Collation!$T17),"-")</f>
        <v>0.58782666225603708</v>
      </c>
      <c r="AR17" s="12"/>
      <c r="AS17" s="273">
        <f>IF(Collation!$AU17=0,"-",IF(ISNUMBER(Collation!AS17),Collation!AS17/Collation!$R17,"-"))</f>
        <v>7.874015748031496E-4</v>
      </c>
      <c r="AT17" s="274">
        <f>IF(Collation!$AU17=0,"-",IF(ISNUMBER(Collation!AT17),Collation!$AT17/(Collation!S17+Collation!T17),"-"))</f>
        <v>0.26754135767256132</v>
      </c>
      <c r="AU17" s="275">
        <f>IF(ISNUMBER(Collation!AU17),(Collation!AU17)/(Collation!R17+Collation!S17+Collation!T17),"-")</f>
        <v>0.1554746940125703</v>
      </c>
      <c r="AV17" s="275">
        <f>IF(ISNUMBER(Collation!U17),(Collation!AV17)/(Collation!U17),"-")</f>
        <v>0.25669864373139267</v>
      </c>
      <c r="AW17" s="4" t="s">
        <v>48</v>
      </c>
      <c r="AX17" s="196" t="s">
        <v>40</v>
      </c>
      <c r="AY17" s="190">
        <f t="shared" si="1"/>
        <v>4781</v>
      </c>
      <c r="AZ17" s="190" t="s">
        <v>43</v>
      </c>
      <c r="BA17" s="190">
        <f t="shared" si="2"/>
        <v>4781</v>
      </c>
      <c r="BB17" s="190" t="s">
        <v>45</v>
      </c>
      <c r="BC17" s="197">
        <f t="shared" si="3"/>
        <v>4781</v>
      </c>
    </row>
    <row r="18" spans="1:60" x14ac:dyDescent="0.3">
      <c r="A18" s="217" t="s">
        <v>14</v>
      </c>
      <c r="C18" s="162">
        <f>IF(ISNUMBER(Collation!E18),Collation!C18/Collation!E18,"-")</f>
        <v>0.86524822695035464</v>
      </c>
      <c r="D18" s="159">
        <f>IF(ISNUMBER(Collation!D18),Collation!D18/Collation!E18,"-")</f>
        <v>0.13475177304964539</v>
      </c>
      <c r="E18" s="228">
        <f>IF(ISNUMBER(Collation!E18),Collation!E18,"-")</f>
        <v>141</v>
      </c>
      <c r="G18" s="162">
        <f>IF(Collation!$O18=0,"-",IF(ISNUMBER(Collation!G18),Collation!G18/Collation!$O18,"-"))</f>
        <v>0.25925925925925924</v>
      </c>
      <c r="H18" s="159">
        <f>IF(Collation!$O18=0,"-",IF(ISNUMBER(Collation!H18),Collation!H18/Collation!$O18,"-"))</f>
        <v>3.7037037037037035E-2</v>
      </c>
      <c r="I18" s="159">
        <f>IF(Collation!$O18=0,"-",IF(ISNUMBER(Collation!I18),Collation!I18/Collation!$O18,"-"))</f>
        <v>0</v>
      </c>
      <c r="J18" s="159">
        <f>IF(Collation!$O18=0,"-",IF(ISNUMBER(Collation!J18),Collation!J18/Collation!$O18,"-"))</f>
        <v>0</v>
      </c>
      <c r="K18" s="159">
        <f>IF(Collation!$O18=0,"-",IF(ISNUMBER(Collation!K18),Collation!K18/Collation!$O18,"-"))</f>
        <v>0.48148148148148145</v>
      </c>
      <c r="L18" s="159">
        <f>IF(Collation!$O18=0,"-",IF(ISNUMBER(Collation!L18),Collation!L18/Collation!$O18,"-"))</f>
        <v>0.14814814814814814</v>
      </c>
      <c r="M18" s="159">
        <f>IF(Collation!$O18=0,"-",IF(ISNUMBER(Collation!M18),Collation!M18/Collation!$O18,"-"))</f>
        <v>3.7037037037037035E-2</v>
      </c>
      <c r="N18" s="159">
        <f>IF(Collation!$O18=0,"-",IF(ISNUMBER(Collation!N18),Collation!N18/Collation!$O18,"-"))</f>
        <v>3.7037037037037035E-2</v>
      </c>
      <c r="O18" s="233">
        <f>IF(ISNUMBER(Collation!O18),Collation!O18,"-")</f>
        <v>27</v>
      </c>
      <c r="P18" s="224" t="str">
        <f>IF(ISNUMBER(Collation!E18),IF(Collation!P18="-","-",IF(AZ18="prison",Collation!P18/Collation!E18,"-")),"-")</f>
        <v>-</v>
      </c>
      <c r="Q18" s="186"/>
      <c r="R18" s="162">
        <f>IF(Collation!$U18=0,"-",IF(ISNUMBER(Collation!R18),Collation!R18/Collation!$U18,"-"))</f>
        <v>0.60330578512396693</v>
      </c>
      <c r="S18" s="159">
        <f>IF(Collation!$U18=0,"-",IF(ISNUMBER(Collation!S18),Collation!S18/Collation!$U18,"-"))</f>
        <v>0.38016528925619836</v>
      </c>
      <c r="T18" s="159">
        <f>IF(Collation!$U18=0,"-",IF(ISNUMBER(Collation!T18),Collation!T18/Collation!$U18,"-"))</f>
        <v>1.6528925619834711E-2</v>
      </c>
      <c r="U18" s="164">
        <f>IF(ISNUMBER(Collation!U18),Collation!U18,"-")</f>
        <v>121</v>
      </c>
      <c r="V18" s="171"/>
      <c r="W18" s="162">
        <f>IF(Collation!$Z18=0,"-",IF(ISNUMBER(Collation!W18),Collation!W18/Collation!$Z18,"-"))</f>
        <v>0.39726027397260272</v>
      </c>
      <c r="X18" s="159">
        <f>IF(Collation!$Z18=0,"-",IF(ISNUMBER(Collation!X18),Collation!X18/Collation!$Z18,"-"))</f>
        <v>0.32876712328767121</v>
      </c>
      <c r="Y18" s="159">
        <f>IF(Collation!$Z18=0,"-",IF(ISNUMBER(Collation!Y18),Collation!Y18/Collation!$Z18,"-"))</f>
        <v>0.27397260273972601</v>
      </c>
      <c r="Z18" s="164">
        <f>IF(ISNUMBER(Collation!Z18),Collation!Z18,"-")</f>
        <v>73</v>
      </c>
      <c r="AA18" s="162">
        <f>IF(Collation!$AD18=0,"-",IF(ISNUMBER(Collation!AA18),Collation!AA18/Collation!$AD18,"-"))</f>
        <v>0.41304347826086957</v>
      </c>
      <c r="AB18" s="159">
        <f>IF(Collation!$AD18=0,"-",IF(ISNUMBER(Collation!AB18),Collation!AB18/Collation!$AD18,"-"))</f>
        <v>0.2608695652173913</v>
      </c>
      <c r="AC18" s="159">
        <f>IF(Collation!$AD18=0,"-",IF(ISNUMBER(Collation!AC18),Collation!AC18/Collation!$AD18,"-"))</f>
        <v>0.32608695652173914</v>
      </c>
      <c r="AD18" s="164">
        <f>IF(ISNUMBER(Collation!AD18),Collation!AD18,"-")</f>
        <v>46</v>
      </c>
      <c r="AE18" s="162">
        <f>IF(Collation!$AH18=0,"-",IF(ISNUMBER(Collation!AE18),Collation!AE18/Collation!$AH18,"-"))</f>
        <v>0.5</v>
      </c>
      <c r="AF18" s="159">
        <f>IF(Collation!$AH18=0,"-",IF(ISNUMBER(Collation!AF18),Collation!AF18/Collation!$AH18,"-"))</f>
        <v>0</v>
      </c>
      <c r="AG18" s="159">
        <f>IF(Collation!$AH18=0,"-",IF(ISNUMBER(Collation!AG18),Collation!AG18/Collation!$AH18,"-"))</f>
        <v>0.5</v>
      </c>
      <c r="AH18" s="164">
        <f>IF(ISNUMBER(Collation!AH18),Collation!AH18,"-")</f>
        <v>2</v>
      </c>
      <c r="AI18" s="46" t="str">
        <f t="shared" si="0"/>
        <v>P</v>
      </c>
      <c r="AJ18" s="242" t="str">
        <f>Collation!AJ18</f>
        <v>n/a</v>
      </c>
      <c r="AK18" s="28" t="str">
        <f>Collation!AK18</f>
        <v>n/a</v>
      </c>
      <c r="AL18" s="243" t="str">
        <f>Collation!AL18</f>
        <v>n/a</v>
      </c>
      <c r="AM18" s="32"/>
      <c r="AN18" s="273">
        <f>IF(Collation!$AQ18=0,"-",IF(ISNUMBER(Collation!AN18),Collation!AN18/Collation!$R18,"-"))</f>
        <v>0.8904109589041096</v>
      </c>
      <c r="AO18" s="274">
        <f>IF(Collation!$AQ18=0,"-",IF(ISNUMBER(Collation!AO18),Collation!AO18/Collation!$S18,"-"))</f>
        <v>2.1739130434782608E-2</v>
      </c>
      <c r="AP18" s="274">
        <f>IF(Collation!$AQ18=0,"-",IF(ISNUMBER(Collation!AP18),Collation!AP18/Collation!$T18,"-"))</f>
        <v>9</v>
      </c>
      <c r="AQ18" s="275">
        <f>IF(ISNUMBER(Collation!AQ18),(Collation!AN18+Collation!AO18+Collation!AP18)/(Collation!$R18+Collation!$S18+Collation!$T18),"-")</f>
        <v>0.69421487603305787</v>
      </c>
      <c r="AR18" s="29"/>
      <c r="AS18" s="273" t="str">
        <f>IF(Collation!$AU18=0,"-",IF(ISNUMBER(Collation!AS18),Collation!AS18/Collation!$R18,"-"))</f>
        <v>-</v>
      </c>
      <c r="AT18" s="274" t="str">
        <f>IF(Collation!$AU18=0,"-",IF(ISNUMBER(Collation!AT18),Collation!$AT18/(Collation!S18+Collation!T18),"-"))</f>
        <v>-</v>
      </c>
      <c r="AU18" s="275">
        <f>IF(ISNUMBER(Collation!AU18),(Collation!AU18)/(Collation!R18+Collation!S18+Collation!T18),"-")</f>
        <v>0</v>
      </c>
      <c r="AV18" s="275">
        <f>IF(ISNUMBER(Collation!U18),(Collation!AV18)/(Collation!U18),"-")</f>
        <v>0.30578512396694213</v>
      </c>
      <c r="AW18" s="4" t="s">
        <v>48</v>
      </c>
      <c r="AX18" s="196" t="s">
        <v>40</v>
      </c>
      <c r="AY18" s="190">
        <f t="shared" si="1"/>
        <v>141</v>
      </c>
      <c r="AZ18" s="190" t="s">
        <v>39</v>
      </c>
      <c r="BA18" s="191" t="str">
        <f t="shared" si="2"/>
        <v>no prison in board</v>
      </c>
      <c r="BB18" s="190" t="s">
        <v>45</v>
      </c>
      <c r="BC18" s="197">
        <f t="shared" si="3"/>
        <v>141</v>
      </c>
    </row>
    <row r="19" spans="1:60" x14ac:dyDescent="0.3">
      <c r="A19" s="217" t="s">
        <v>15</v>
      </c>
      <c r="C19" s="162">
        <f>IF(ISNUMBER(Collation!E19),Collation!C19/Collation!E19,"-")</f>
        <v>0.96296296296296291</v>
      </c>
      <c r="D19" s="159">
        <f>IF(ISNUMBER(Collation!D19),Collation!D19/Collation!E19,"-")</f>
        <v>3.7037037037037035E-2</v>
      </c>
      <c r="E19" s="228">
        <f>IF(ISNUMBER(Collation!E19),Collation!E19,"-")</f>
        <v>54</v>
      </c>
      <c r="G19" s="162">
        <f>IF(Collation!$O19=0,"-",IF(ISNUMBER(Collation!G19),Collation!G19/Collation!$O19,"-"))</f>
        <v>0.84210526315789469</v>
      </c>
      <c r="H19" s="159">
        <f>IF(Collation!$O19=0,"-",IF(ISNUMBER(Collation!H19),Collation!H19/Collation!$O19,"-"))</f>
        <v>5.2631578947368418E-2</v>
      </c>
      <c r="I19" s="159">
        <f>IF(Collation!$O19=0,"-",IF(ISNUMBER(Collation!I19),Collation!I19/Collation!$O19,"-"))</f>
        <v>0</v>
      </c>
      <c r="J19" s="159">
        <f>IF(Collation!$O19=0,"-",IF(ISNUMBER(Collation!J19),Collation!J19/Collation!$O19,"-"))</f>
        <v>0</v>
      </c>
      <c r="K19" s="159">
        <f>IF(Collation!$O19=0,"-",IF(ISNUMBER(Collation!K19),Collation!K19/Collation!$O19,"-"))</f>
        <v>0.10526315789473684</v>
      </c>
      <c r="L19" s="159">
        <f>IF(Collation!$O19=0,"-",IF(ISNUMBER(Collation!L19),Collation!L19/Collation!$O19,"-"))</f>
        <v>0</v>
      </c>
      <c r="M19" s="159">
        <f>IF(Collation!$O19=0,"-",IF(ISNUMBER(Collation!M19),Collation!M19/Collation!$O19,"-"))</f>
        <v>0</v>
      </c>
      <c r="N19" s="159">
        <f>IF(Collation!$O19=0,"-",IF(ISNUMBER(Collation!N19),Collation!N19/Collation!$O19,"-"))</f>
        <v>0</v>
      </c>
      <c r="O19" s="233">
        <f>IF(ISNUMBER(Collation!O19),Collation!O19,"-")</f>
        <v>19</v>
      </c>
      <c r="P19" s="224" t="str">
        <f>IF(ISNUMBER(Collation!E19),IF(Collation!P19="-","-",IF(AZ19="prison",Collation!P19/Collation!E19,"-")),"-")</f>
        <v>-</v>
      </c>
      <c r="Q19" s="186"/>
      <c r="R19" s="162">
        <f>IF(Collation!$U19=0,"-",IF(ISNUMBER(Collation!R19),Collation!R19/Collation!$U19,"-"))</f>
        <v>0.56862745098039214</v>
      </c>
      <c r="S19" s="159">
        <f>IF(Collation!$U19=0,"-",IF(ISNUMBER(Collation!S19),Collation!S19/Collation!$U19,"-"))</f>
        <v>0.41176470588235292</v>
      </c>
      <c r="T19" s="159">
        <f>IF(Collation!$U19=0,"-",IF(ISNUMBER(Collation!T19),Collation!T19/Collation!$U19,"-"))</f>
        <v>1.9607843137254902E-2</v>
      </c>
      <c r="U19" s="164">
        <f>IF(ISNUMBER(Collation!U19),Collation!U19,"-")</f>
        <v>51</v>
      </c>
      <c r="V19" s="171"/>
      <c r="W19" s="162">
        <f>IF(Collation!$Z19=0,"-",IF(ISNUMBER(Collation!W19),Collation!W19/Collation!$Z19,"-"))</f>
        <v>0.48275862068965519</v>
      </c>
      <c r="X19" s="159">
        <f>IF(Collation!$Z19=0,"-",IF(ISNUMBER(Collation!X19),Collation!X19/Collation!$Z19,"-"))</f>
        <v>0.13793103448275862</v>
      </c>
      <c r="Y19" s="159">
        <f>IF(Collation!$Z19=0,"-",IF(ISNUMBER(Collation!Y19),Collation!Y19/Collation!$Z19,"-"))</f>
        <v>0.37931034482758619</v>
      </c>
      <c r="Z19" s="164">
        <f>IF(ISNUMBER(Collation!Z19),Collation!Z19,"-")</f>
        <v>29</v>
      </c>
      <c r="AA19" s="162">
        <f>IF(Collation!$AD19=0,"-",IF(ISNUMBER(Collation!AA19),Collation!AA19/Collation!$AD19,"-"))</f>
        <v>0.23809523809523808</v>
      </c>
      <c r="AB19" s="159">
        <f>IF(Collation!$AD19=0,"-",IF(ISNUMBER(Collation!AB19),Collation!AB19/Collation!$AD19,"-"))</f>
        <v>0.19047619047619047</v>
      </c>
      <c r="AC19" s="159">
        <f>IF(Collation!$AD19=0,"-",IF(ISNUMBER(Collation!AC19),Collation!AC19/Collation!$AD19,"-"))</f>
        <v>0.5714285714285714</v>
      </c>
      <c r="AD19" s="164">
        <f>IF(ISNUMBER(Collation!AD19),Collation!AD19,"-")</f>
        <v>21</v>
      </c>
      <c r="AE19" s="162">
        <f>IF(Collation!$AH19=0,"-",IF(ISNUMBER(Collation!AE19),Collation!AE19/Collation!$AH19,"-"))</f>
        <v>0</v>
      </c>
      <c r="AF19" s="159">
        <f>IF(Collation!$AH19=0,"-",IF(ISNUMBER(Collation!AF19),Collation!AF19/Collation!$AH19,"-"))</f>
        <v>0</v>
      </c>
      <c r="AG19" s="159">
        <f>IF(Collation!$AH19=0,"-",IF(ISNUMBER(Collation!AG19),Collation!AG19/Collation!$AH19,"-"))</f>
        <v>1</v>
      </c>
      <c r="AH19" s="164">
        <f>IF(ISNUMBER(Collation!AH19),Collation!AH19,"-")</f>
        <v>1</v>
      </c>
      <c r="AI19" s="46" t="str">
        <f t="shared" si="0"/>
        <v>P</v>
      </c>
      <c r="AJ19" s="118" t="str">
        <f>Collation!AJ19</f>
        <v>n/a</v>
      </c>
      <c r="AK19" s="31" t="str">
        <f>Collation!AK19</f>
        <v>n/a</v>
      </c>
      <c r="AL19" s="119" t="str">
        <f>Collation!AL19</f>
        <v>n/a</v>
      </c>
      <c r="AM19" s="32"/>
      <c r="AN19" s="273">
        <f>IF(Collation!$AQ19=0,"-",IF(ISNUMBER(Collation!AN19),Collation!AN19/Collation!$R19,"-"))</f>
        <v>0.93103448275862066</v>
      </c>
      <c r="AO19" s="274">
        <f>IF(Collation!$AQ19=0,"-",IF(ISNUMBER(Collation!AO19),Collation!AO19/Collation!$S19,"-"))</f>
        <v>0.19047619047619047</v>
      </c>
      <c r="AP19" s="274">
        <f>IF(Collation!$AQ19=0,"-",IF(ISNUMBER(Collation!AP19),Collation!AP19/Collation!$T19,"-"))</f>
        <v>1</v>
      </c>
      <c r="AQ19" s="275">
        <f>IF(ISNUMBER(Collation!AQ19),(Collation!AN19+Collation!AO19+Collation!AP19)/(Collation!$R19+Collation!$S19+Collation!$T19),"-")</f>
        <v>0.62745098039215685</v>
      </c>
      <c r="AR19" s="32"/>
      <c r="AS19" s="273">
        <f>IF(Collation!$AU19=0,"-",IF(ISNUMBER(Collation!AS19),Collation!AS19/Collation!$R19,"-"))</f>
        <v>6.8965517241379309E-2</v>
      </c>
      <c r="AT19" s="274">
        <f>IF(Collation!$AU19=0,"-",IF(ISNUMBER(Collation!AT19),Collation!$AT19/(Collation!S19+Collation!T19),"-"))</f>
        <v>0.77272727272727271</v>
      </c>
      <c r="AU19" s="275">
        <f>IF(ISNUMBER(Collation!AU19),(Collation!AU19)/(Collation!R19+Collation!S19+Collation!T19),"-")</f>
        <v>0.37254901960784315</v>
      </c>
      <c r="AV19" s="275">
        <f>IF(ISNUMBER(Collation!U19),(Collation!AV19)/(Collation!U19),"-")</f>
        <v>0</v>
      </c>
      <c r="AW19" s="4" t="s">
        <v>48</v>
      </c>
      <c r="AX19" s="196" t="s">
        <v>40</v>
      </c>
      <c r="AY19" s="190">
        <f t="shared" si="1"/>
        <v>54</v>
      </c>
      <c r="AZ19" s="190" t="s">
        <v>39</v>
      </c>
      <c r="BA19" s="191" t="str">
        <f t="shared" si="2"/>
        <v>no prison in board</v>
      </c>
      <c r="BB19" s="190" t="s">
        <v>39</v>
      </c>
      <c r="BC19" s="197" t="str">
        <f t="shared" si="3"/>
        <v>not acute</v>
      </c>
    </row>
    <row r="20" spans="1:60" x14ac:dyDescent="0.3">
      <c r="A20" s="217" t="s">
        <v>16</v>
      </c>
      <c r="B20" s="27"/>
      <c r="C20" s="162">
        <f>IF(ISNUMBER(Collation!E20),Collation!C20/Collation!E20,"-")</f>
        <v>0.7994175464142701</v>
      </c>
      <c r="D20" s="159">
        <f>IF(ISNUMBER(Collation!D20),Collation!D20/Collation!E20,"-")</f>
        <v>0.20058245358572988</v>
      </c>
      <c r="E20" s="228">
        <f>IF(ISNUMBER(Collation!E20),Collation!E20,"-")</f>
        <v>2747</v>
      </c>
      <c r="G20" s="162">
        <f>IF(Collation!$O20=0,"-",IF(ISNUMBER(Collation!G20),Collation!G20/Collation!$O20,"-"))</f>
        <v>6.9256756756756757E-2</v>
      </c>
      <c r="H20" s="159">
        <f>IF(Collation!$O20=0,"-",IF(ISNUMBER(Collation!H20),Collation!H20/Collation!$O20,"-"))</f>
        <v>0</v>
      </c>
      <c r="I20" s="159">
        <f>IF(Collation!$O20=0,"-",IF(ISNUMBER(Collation!I20),Collation!I20/Collation!$O20,"-"))</f>
        <v>0</v>
      </c>
      <c r="J20" s="159">
        <f>IF(Collation!$O20=0,"-",IF(ISNUMBER(Collation!J20),Collation!J20/Collation!$O20,"-"))</f>
        <v>0</v>
      </c>
      <c r="K20" s="159">
        <f>IF(Collation!$O20=0,"-",IF(ISNUMBER(Collation!K20),Collation!K20/Collation!$O20,"-"))</f>
        <v>0.46452702702702703</v>
      </c>
      <c r="L20" s="159">
        <f>IF(Collation!$O20=0,"-",IF(ISNUMBER(Collation!L20),Collation!L20/Collation!$O20,"-"))</f>
        <v>8.2770270270270271E-2</v>
      </c>
      <c r="M20" s="159">
        <f>IF(Collation!$O20=0,"-",IF(ISNUMBER(Collation!M20),Collation!M20/Collation!$O20,"-"))</f>
        <v>0.10304054054054054</v>
      </c>
      <c r="N20" s="159">
        <f>IF(Collation!$O20=0,"-",IF(ISNUMBER(Collation!N20),Collation!N20/Collation!$O20,"-"))</f>
        <v>0.28040540540540543</v>
      </c>
      <c r="O20" s="233">
        <f>IF(ISNUMBER(Collation!O20),Collation!O20,"-")</f>
        <v>592</v>
      </c>
      <c r="P20" s="224">
        <f>IF(ISNUMBER(Collation!E20),IF(Collation!P20="-","-",IF(AZ20="prison",Collation!P20/Collation!E20,"-")),"-")</f>
        <v>0.21113942482708409</v>
      </c>
      <c r="Q20" s="186"/>
      <c r="R20" s="162">
        <f>IF(Collation!$U20=0,"-",IF(ISNUMBER(Collation!R20),Collation!R20/Collation!$U20,"-"))</f>
        <v>0.47286821705426357</v>
      </c>
      <c r="S20" s="159">
        <f>IF(Collation!$U20=0,"-",IF(ISNUMBER(Collation!S20),Collation!S20/Collation!$U20,"-"))</f>
        <v>0.35610465116279072</v>
      </c>
      <c r="T20" s="159">
        <f>IF(Collation!$U20=0,"-",IF(ISNUMBER(Collation!T20),Collation!T20/Collation!$U20,"-"))</f>
        <v>0.17102713178294573</v>
      </c>
      <c r="U20" s="164">
        <f>IF(ISNUMBER(Collation!U20),Collation!U20,"-")</f>
        <v>2064</v>
      </c>
      <c r="V20" s="171"/>
      <c r="W20" s="162">
        <f>IF(Collation!$Z20=0,"-",IF(ISNUMBER(Collation!W20),Collation!W20/Collation!$Z20,"-"))</f>
        <v>0.32274590163934425</v>
      </c>
      <c r="X20" s="159">
        <f>IF(Collation!$Z20=0,"-",IF(ISNUMBER(Collation!X20),Collation!X20/Collation!$Z20,"-"))</f>
        <v>0.39856557377049179</v>
      </c>
      <c r="Y20" s="159">
        <f>IF(Collation!$Z20=0,"-",IF(ISNUMBER(Collation!Y20),Collation!Y20/Collation!$Z20,"-"))</f>
        <v>0.27868852459016391</v>
      </c>
      <c r="Z20" s="164">
        <f>IF(ISNUMBER(Collation!Z20),Collation!Z20,"-")</f>
        <v>976</v>
      </c>
      <c r="AA20" s="162">
        <f>IF(Collation!$AD20=0,"-",IF(ISNUMBER(Collation!AA20),Collation!AA20/Collation!$AD20,"-"))</f>
        <v>0.25170068027210885</v>
      </c>
      <c r="AB20" s="159">
        <f>IF(Collation!$AD20=0,"-",IF(ISNUMBER(Collation!AB20),Collation!AB20/Collation!$AD20,"-"))</f>
        <v>0.23401360544217686</v>
      </c>
      <c r="AC20" s="159">
        <f>IF(Collation!$AD20=0,"-",IF(ISNUMBER(Collation!AC20),Collation!AC20/Collation!$AD20,"-"))</f>
        <v>0.51428571428571423</v>
      </c>
      <c r="AD20" s="164">
        <f>IF(ISNUMBER(Collation!AD20),Collation!AD20,"-")</f>
        <v>735</v>
      </c>
      <c r="AE20" s="162">
        <f>IF(Collation!$AH20=0,"-",IF(ISNUMBER(Collation!AE20),Collation!AE20/Collation!$AH20,"-"))</f>
        <v>0.25212464589235128</v>
      </c>
      <c r="AF20" s="159">
        <f>IF(Collation!$AH20=0,"-",IF(ISNUMBER(Collation!AF20),Collation!AF20/Collation!$AH20,"-"))</f>
        <v>0.34560906515580736</v>
      </c>
      <c r="AG20" s="159">
        <f>IF(Collation!$AH20=0,"-",IF(ISNUMBER(Collation!AG20),Collation!AG20/Collation!$AH20,"-"))</f>
        <v>0.40226628895184136</v>
      </c>
      <c r="AH20" s="164">
        <f>IF(ISNUMBER(Collation!AH20),Collation!AH20,"-")</f>
        <v>353</v>
      </c>
      <c r="AI20" s="46" t="str">
        <f t="shared" si="0"/>
        <v>P</v>
      </c>
      <c r="AJ20" s="118" t="str">
        <f>Collation!AJ20</f>
        <v>n/a</v>
      </c>
      <c r="AK20" s="31" t="str">
        <f>Collation!AK20</f>
        <v>n/a</v>
      </c>
      <c r="AL20" s="119" t="str">
        <f>Collation!AL20</f>
        <v>n/a</v>
      </c>
      <c r="AM20" s="32"/>
      <c r="AN20" s="273">
        <f>IF(Collation!$AQ20=0,"-",IF(ISNUMBER(Collation!AN20),Collation!AN20/Collation!$R20,"-"))</f>
        <v>0.91598360655737709</v>
      </c>
      <c r="AO20" s="274">
        <f>IF(Collation!$AQ20=0,"-",IF(ISNUMBER(Collation!AO20),Collation!AO20/Collation!$S20,"-"))</f>
        <v>0.42176870748299322</v>
      </c>
      <c r="AP20" s="274">
        <f>IF(Collation!$AQ20=0,"-",IF(ISNUMBER(Collation!AP20),Collation!AP20/Collation!$T20,"-"))</f>
        <v>0.53541076487252126</v>
      </c>
      <c r="AQ20" s="275">
        <f>IF(ISNUMBER(Collation!AQ20),(Collation!AN20+Collation!AO20+Collation!AP20)/(Collation!$R20+Collation!$S20+Collation!$T20),"-")</f>
        <v>0.67490310077519378</v>
      </c>
      <c r="AR20" s="32"/>
      <c r="AS20" s="273">
        <f>IF(Collation!$AU20=0,"-",IF(ISNUMBER(Collation!AS20),Collation!AS20/Collation!$R20,"-"))</f>
        <v>7.6844262295081969E-2</v>
      </c>
      <c r="AT20" s="274">
        <f>IF(Collation!$AU20=0,"-",IF(ISNUMBER(Collation!AT20),Collation!$AT20/(Collation!S20+Collation!T20),"-"))</f>
        <v>5.6066176470588237E-2</v>
      </c>
      <c r="AU20" s="275">
        <f>IF(ISNUMBER(Collation!AU20),(Collation!AU20)/(Collation!R20+Collation!S20+Collation!T20),"-")</f>
        <v>6.589147286821706E-2</v>
      </c>
      <c r="AV20" s="275">
        <f>IF(ISNUMBER(Collation!U20),(Collation!AV20)/(Collation!U20),"-")</f>
        <v>0.25920542635658916</v>
      </c>
      <c r="AW20" s="4" t="s">
        <v>48</v>
      </c>
      <c r="AX20" s="196" t="s">
        <v>40</v>
      </c>
      <c r="AY20" s="190">
        <f t="shared" si="1"/>
        <v>2747</v>
      </c>
      <c r="AZ20" s="190" t="s">
        <v>43</v>
      </c>
      <c r="BA20" s="190">
        <f t="shared" si="2"/>
        <v>2747</v>
      </c>
      <c r="BB20" s="190" t="s">
        <v>45</v>
      </c>
      <c r="BC20" s="197">
        <f t="shared" si="3"/>
        <v>2747</v>
      </c>
    </row>
    <row r="21" spans="1:60" ht="15" thickBot="1" x14ac:dyDescent="0.35">
      <c r="A21" s="217" t="s">
        <v>17</v>
      </c>
      <c r="C21" s="162">
        <f>IF(ISNUMBER(Collation!E21),Collation!C21/Collation!E21,"-")</f>
        <v>0.82894736842105265</v>
      </c>
      <c r="D21" s="173">
        <f>IF(ISNUMBER(Collation!D21),Collation!D21/Collation!E21,"-")</f>
        <v>0.17105263157894737</v>
      </c>
      <c r="E21" s="230">
        <f>IF(ISNUMBER(Collation!E21),Collation!E21,"-")</f>
        <v>76</v>
      </c>
      <c r="G21" s="163">
        <f>IF(Collation!$O21=0,"-",IF(ISNUMBER(Collation!G21),Collation!G21/Collation!$O21,"-"))</f>
        <v>0</v>
      </c>
      <c r="H21" s="173">
        <f>IF(Collation!$O21=0,"-",IF(ISNUMBER(Collation!H21),Collation!H21/Collation!$O21,"-"))</f>
        <v>0</v>
      </c>
      <c r="I21" s="173">
        <f>IF(Collation!$O21=0,"-",IF(ISNUMBER(Collation!I21),Collation!I21/Collation!$O21,"-"))</f>
        <v>0</v>
      </c>
      <c r="J21" s="173">
        <f>IF(Collation!$O21=0,"-",IF(ISNUMBER(Collation!J21),Collation!J21/Collation!$O21,"-"))</f>
        <v>0</v>
      </c>
      <c r="K21" s="173">
        <f>IF(Collation!$O21=0,"-",IF(ISNUMBER(Collation!K21),Collation!K21/Collation!$O21,"-"))</f>
        <v>0.69230769230769229</v>
      </c>
      <c r="L21" s="173">
        <f>IF(Collation!$O21=0,"-",IF(ISNUMBER(Collation!L21),Collation!L21/Collation!$O21,"-"))</f>
        <v>0.15384615384615385</v>
      </c>
      <c r="M21" s="173">
        <f>IF(Collation!$O21=0,"-",IF(ISNUMBER(Collation!M21),Collation!M21/Collation!$O21,"-"))</f>
        <v>7.6923076923076927E-2</v>
      </c>
      <c r="N21" s="173">
        <f>IF(Collation!$O21=0,"-",IF(ISNUMBER(Collation!N21),Collation!N21/Collation!$O21,"-"))</f>
        <v>7.6923076923076927E-2</v>
      </c>
      <c r="O21" s="234">
        <f>IF(ISNUMBER(Collation!O21),Collation!O21,"-")</f>
        <v>13</v>
      </c>
      <c r="P21" s="225" t="str">
        <f>IF(Collation!P21="-","-",IF(AZ21="prison",Collation!P21/Collation!E21,"-"))</f>
        <v>-</v>
      </c>
      <c r="Q21" s="186"/>
      <c r="R21" s="163">
        <f>IF(Collation!$U21=0,"-",IF(ISNUMBER(Collation!R21),Collation!R21/Collation!$U21,"-"))</f>
        <v>0.25396825396825395</v>
      </c>
      <c r="S21" s="173">
        <f>IF(Collation!$U21=0,"-",IF(ISNUMBER(Collation!S21),Collation!S21/Collation!$U21,"-"))</f>
        <v>0.73015873015873012</v>
      </c>
      <c r="T21" s="173">
        <f>IF(Collation!$U21=0,"-",IF(ISNUMBER(Collation!T21),Collation!T21/Collation!$U21,"-"))</f>
        <v>1.5873015873015872E-2</v>
      </c>
      <c r="U21" s="165">
        <f>IF(ISNUMBER(Collation!U21),Collation!U21,"-")</f>
        <v>63</v>
      </c>
      <c r="V21" s="171"/>
      <c r="W21" s="163">
        <f>IF(Collation!$Z21=0,"-",IF(ISNUMBER(Collation!W21),Collation!W21/Collation!$Z21,"-"))</f>
        <v>0.4375</v>
      </c>
      <c r="X21" s="173">
        <f>IF(Collation!$Z21=0,"-",IF(ISNUMBER(Collation!X21),Collation!X21/Collation!$Z21,"-"))</f>
        <v>0.5625</v>
      </c>
      <c r="Y21" s="173">
        <f>IF(Collation!$Z21=0,"-",IF(ISNUMBER(Collation!Y21),Collation!Y21/Collation!$Z21,"-"))</f>
        <v>0</v>
      </c>
      <c r="Z21" s="165">
        <f>IF(ISNUMBER(Collation!Z21),Collation!Z21,"-")</f>
        <v>16</v>
      </c>
      <c r="AA21" s="163">
        <f>IF(Collation!$AD21=0,"-",IF(ISNUMBER(Collation!AA21),Collation!AA21/Collation!$AD21,"-"))</f>
        <v>0.2608695652173913</v>
      </c>
      <c r="AB21" s="173">
        <f>IF(Collation!$AD21=0,"-",IF(ISNUMBER(Collation!AB21),Collation!AB21/Collation!$AD21,"-"))</f>
        <v>0.45652173913043476</v>
      </c>
      <c r="AC21" s="173">
        <f>IF(Collation!$AD21=0,"-",IF(ISNUMBER(Collation!AC21),Collation!AC21/Collation!$AD21,"-"))</f>
        <v>0.28260869565217389</v>
      </c>
      <c r="AD21" s="165">
        <f>IF(ISNUMBER(Collation!AD21),Collation!AD21,"-")</f>
        <v>46</v>
      </c>
      <c r="AE21" s="163">
        <f>IF(Collation!$AH21=0,"-",IF(ISNUMBER(Collation!AE21),Collation!AE21/Collation!$AH21,"-"))</f>
        <v>0</v>
      </c>
      <c r="AF21" s="173">
        <f>IF(Collation!$AH21=0,"-",IF(ISNUMBER(Collation!AF21),Collation!AF21/Collation!$AH21,"-"))</f>
        <v>1</v>
      </c>
      <c r="AG21" s="173">
        <f>IF(Collation!$AH21=0,"-",IF(ISNUMBER(Collation!AG21),Collation!AG21/Collation!$AH21,"-"))</f>
        <v>0</v>
      </c>
      <c r="AH21" s="165">
        <f>IF(ISNUMBER(Collation!AH21),Collation!AH21,"-")</f>
        <v>1</v>
      </c>
      <c r="AI21" s="46" t="str">
        <f t="shared" si="0"/>
        <v>P</v>
      </c>
      <c r="AJ21" s="125" t="str">
        <f>Collation!AJ21</f>
        <v>n/a</v>
      </c>
      <c r="AK21" s="126" t="str">
        <f>Collation!AK21</f>
        <v>n/a</v>
      </c>
      <c r="AL21" s="127" t="str">
        <f>Collation!AL21</f>
        <v>n/a</v>
      </c>
      <c r="AM21" s="12"/>
      <c r="AN21" s="276">
        <f>IF(Collation!$AQ21=0,"-",IF(ISNUMBER(Collation!AN21),Collation!AN21/Collation!$R21,"-"))</f>
        <v>0.875</v>
      </c>
      <c r="AO21" s="277">
        <f>IF(Collation!$AQ21=0,"-",IF(ISNUMBER(Collation!AO21),Collation!AO21/Collation!$S21,"-"))</f>
        <v>0.54347826086956519</v>
      </c>
      <c r="AP21" s="277">
        <f>IF(Collation!$AQ21=0,"-",IF(ISNUMBER(Collation!AP21),Collation!AP21/Collation!$T21,"-"))</f>
        <v>0</v>
      </c>
      <c r="AQ21" s="278">
        <f>IF(ISNUMBER(Collation!AQ21),(Collation!AN21+Collation!AO21+Collation!AP21)/(Collation!$R21+Collation!$S21+Collation!$T21),"-")</f>
        <v>0.61904761904761907</v>
      </c>
      <c r="AR21" s="12"/>
      <c r="AS21" s="276">
        <f>IF(Collation!$AU21=0,"-",IF(ISNUMBER(Collation!AS21),Collation!AS21/Collation!$R21,"-"))</f>
        <v>6.25E-2</v>
      </c>
      <c r="AT21" s="277">
        <f>IF(Collation!$AU21=0,"-",IF(ISNUMBER(Collation!AT21),Collation!$AT21/(Collation!S21+Collation!T21),"-"))</f>
        <v>0.21276595744680851</v>
      </c>
      <c r="AU21" s="278">
        <f>IF(ISNUMBER(Collation!AU21),(Collation!AU21)/(Collation!R21+Collation!S21+Collation!T21),"-")</f>
        <v>0.17460317460317459</v>
      </c>
      <c r="AV21" s="278">
        <f>IF(ISNUMBER(Collation!U21),(Collation!AV21)/(Collation!U21),"-")</f>
        <v>0.20634920634920634</v>
      </c>
      <c r="AW21" s="4" t="s">
        <v>48</v>
      </c>
      <c r="AX21" s="196" t="s">
        <v>40</v>
      </c>
      <c r="AY21" s="190">
        <f t="shared" si="1"/>
        <v>76</v>
      </c>
      <c r="AZ21" s="190" t="s">
        <v>39</v>
      </c>
      <c r="BA21" s="191" t="str">
        <f t="shared" si="2"/>
        <v>no prison in board</v>
      </c>
      <c r="BB21" s="190" t="s">
        <v>45</v>
      </c>
      <c r="BC21" s="197">
        <f t="shared" si="3"/>
        <v>76</v>
      </c>
    </row>
    <row r="22" spans="1:60" ht="15" thickBot="1" x14ac:dyDescent="0.35">
      <c r="A22" s="218" t="s">
        <v>112</v>
      </c>
      <c r="C22" s="260">
        <f>IF(ISNUMBER(Collation!E22),Collation!C22/Collation!E22,"-")</f>
        <v>0.73772925188019522</v>
      </c>
      <c r="D22" s="261">
        <f>IF(ISNUMBER(Collation!D22),Collation!D22/Collation!E22,"-")</f>
        <v>0.26227074811980472</v>
      </c>
      <c r="E22" s="220">
        <f>IF(ISNUMBER(Collation!E22),Collation!E22,"-")</f>
        <v>30316</v>
      </c>
      <c r="G22" s="177">
        <f>IF(Collation!$O22=0,"-",IF(ISNUMBER(Collation!G22),Collation!G22/Collation!$O22,"-"))</f>
        <v>5.1342718561457473E-2</v>
      </c>
      <c r="H22" s="178">
        <f>IF(Collation!$O22=0,"-",IF(ISNUMBER(Collation!H22),Collation!H22/Collation!$O22,"-"))</f>
        <v>1.1356914704838518E-2</v>
      </c>
      <c r="I22" s="178">
        <f>IF(Collation!$O22=0,"-",IF(ISNUMBER(Collation!I22),Collation!I22/Collation!$O22,"-"))</f>
        <v>4.2588430143144446E-3</v>
      </c>
      <c r="J22" s="178">
        <f>IF(Collation!$O22=0,"-",IF(ISNUMBER(Collation!J22),Collation!J22/Collation!$O22,"-"))</f>
        <v>1.0647107535786111E-3</v>
      </c>
      <c r="K22" s="178">
        <f>IF(Collation!$O22=0,"-",IF(ISNUMBER(Collation!K22),Collation!K22/Collation!$O22,"-"))</f>
        <v>0.55353129066603568</v>
      </c>
      <c r="L22" s="178">
        <f>IF(Collation!$O22=0,"-",IF(ISNUMBER(Collation!L22),Collation!L22/Collation!$O22,"-"))</f>
        <v>5.3708742458298826E-2</v>
      </c>
      <c r="M22" s="178">
        <f>IF(Collation!$O22=0,"-",IF(ISNUMBER(Collation!M22),Collation!M22/Collation!$O22,"-"))</f>
        <v>2.7682479593043891E-2</v>
      </c>
      <c r="N22" s="178">
        <f>IF(Collation!$O22=0,"-",IF(ISNUMBER(Collation!N22),Collation!N22/Collation!$O22,"-"))</f>
        <v>0.29705430024843249</v>
      </c>
      <c r="O22" s="235">
        <f>IF(ISNUMBER(Collation!O22),Collation!O22,"-")</f>
        <v>8453</v>
      </c>
      <c r="P22" s="259">
        <f>IF(Collation!E22=" ","-",IF(Collation!P22=0,"-",IF(AZ23="prison",Collation!P22/Collation!E22,"-")))</f>
        <v>0.19210977701543738</v>
      </c>
      <c r="Q22" s="187"/>
      <c r="R22" s="177">
        <f>IF(Collation!$U22=0,"-",IF(ISNUMBER(Collation!R22),Collation!R22/Collation!$U22,"-"))</f>
        <v>0.4993077767699432</v>
      </c>
      <c r="S22" s="178">
        <f>IF(Collation!$U22=0,"-",IF(ISNUMBER(Collation!S22),Collation!S22/Collation!$U22,"-"))</f>
        <v>0.37905189287248769</v>
      </c>
      <c r="T22" s="178">
        <f>IF(Collation!$U22=0,"-",IF(ISNUMBER(Collation!T22),Collation!T22/Collation!$U22,"-"))</f>
        <v>0.1216403303575691</v>
      </c>
      <c r="U22" s="220">
        <f>IF(ISNUMBER(Collation!U22),Collation!U22,"-")</f>
        <v>20947</v>
      </c>
      <c r="V22" s="171"/>
      <c r="W22" s="177">
        <f>IF(Collation!$Z22=0,"-",IF(ISNUMBER(Collation!W22),Collation!W22/Collation!$Z22,"-"))</f>
        <v>0.31207572425662111</v>
      </c>
      <c r="X22" s="178">
        <f>IF(Collation!$Z22=0,"-",IF(ISNUMBER(Collation!X22),Collation!X22/Collation!$Z22,"-"))</f>
        <v>0.54699302036523567</v>
      </c>
      <c r="Y22" s="178">
        <f>IF(Collation!$Z22=0,"-",IF(ISNUMBER(Collation!Y22),Collation!Y22/Collation!$Z22,"-"))</f>
        <v>0.14093125537814322</v>
      </c>
      <c r="Z22" s="220">
        <f>IF(ISNUMBER(Collation!Z22),Collation!Z22,"-")</f>
        <v>10459</v>
      </c>
      <c r="AA22" s="177">
        <f>IF(Collation!$AD22=0,"-",IF(ISNUMBER(Collation!AA22),Collation!AA22/Collation!$AD22,"-"))</f>
        <v>0.29886649874055415</v>
      </c>
      <c r="AB22" s="178">
        <f>IF(Collation!$AD22=0,"-",IF(ISNUMBER(Collation!AB22),Collation!AB22/Collation!$AD22,"-"))</f>
        <v>0.36133501259445844</v>
      </c>
      <c r="AC22" s="178">
        <f>IF(Collation!$AD22=0,"-",IF(ISNUMBER(Collation!AC22),Collation!AC22/Collation!$AD22,"-"))</f>
        <v>0.33979848866498741</v>
      </c>
      <c r="AD22" s="220">
        <f>IF(ISNUMBER(Collation!AD22),Collation!AD22,"-")</f>
        <v>7940</v>
      </c>
      <c r="AE22" s="177">
        <f>IF(Collation!$AH22=0,"-",IF(ISNUMBER(Collation!AE22),Collation!AE22/Collation!$AH22,"-"))</f>
        <v>0.33124018838304553</v>
      </c>
      <c r="AF22" s="178">
        <f>IF(Collation!$AH22=0,"-",IF(ISNUMBER(Collation!AF22),Collation!AF22/Collation!$AH22,"-"))</f>
        <v>0.42543171114599687</v>
      </c>
      <c r="AG22" s="178">
        <f>IF(Collation!$AH22=0,"-",IF(ISNUMBER(Collation!AG22),Collation!AG22/Collation!$AH22,"-"))</f>
        <v>0.24332810047095763</v>
      </c>
      <c r="AH22" s="220">
        <f>IF(ISNUMBER(Collation!AH22),Collation!AH22,"-")</f>
        <v>2548</v>
      </c>
      <c r="AI22" s="46" t="str">
        <f t="shared" ref="AI22" si="4">IF(SUM(AE22:AG22)=1,"P","O")</f>
        <v>P</v>
      </c>
      <c r="AJ22" s="236" t="s">
        <v>52</v>
      </c>
      <c r="AK22" s="237" t="s">
        <v>52</v>
      </c>
      <c r="AL22" s="238" t="s">
        <v>52</v>
      </c>
      <c r="AM22" s="36"/>
      <c r="AN22" s="177">
        <f>IF(Collation!$AQ22=0,"-",IF(ISNUMBER(Collation!AN22),Collation!AN22/Collation!$R22,"-"))</f>
        <v>0.8100200784013768</v>
      </c>
      <c r="AO22" s="178">
        <f>IF(Collation!$AQ22=0,"-",IF(ISNUMBER(Collation!AO22),Collation!AO22/Collation!$S22,"-"))</f>
        <v>0.51712846347607055</v>
      </c>
      <c r="AP22" s="178">
        <f>IF(Collation!$AQ22=0,"-",IF(ISNUMBER(Collation!AP22),Collation!AP22/Collation!$T22,"-"))</f>
        <v>0.44270015698587128</v>
      </c>
      <c r="AQ22" s="259">
        <f>IF(ISNUMBER(Collation!AQ22),(Collation!AN22+Collation!AO22+Collation!AP22)/(Collation!$R22+Collation!$S22+Collation!$T22),"-")</f>
        <v>0.65431804076956124</v>
      </c>
      <c r="AR22" s="36"/>
      <c r="AS22" s="177">
        <f>IF(Collation!$AU22=0,"-",IF(ISNUMBER(Collation!AS22),Collation!AS22/Collation!$R22,"-"))</f>
        <v>8.0122382636963377E-2</v>
      </c>
      <c r="AT22" s="178">
        <f>IF(Collation!$AU22=0,"-",IF(ISNUMBER(Collation!AT22),Collation!$AT22/(Collation!S22+Collation!T22),"-"))</f>
        <v>0.134534706331045</v>
      </c>
      <c r="AU22" s="259">
        <f>IF(ISNUMBER(Collation!AU22),(Collation!AU22)/(Collation!R22+Collation!S22+Collation!T22),"-")</f>
        <v>0.1073662099584666</v>
      </c>
      <c r="AV22" s="299">
        <f>IF(ISNUMBER(Collation!U22),(Collation!AV22)/(Collation!U22),"-")</f>
        <v>0.23831574927197213</v>
      </c>
      <c r="AX22" s="199">
        <f>COUNTIF(AX8:AX21,"Territorial")</f>
        <v>14</v>
      </c>
      <c r="AY22" s="200">
        <f>SUM(AY8:AY21)</f>
        <v>30316</v>
      </c>
      <c r="AZ22" s="200">
        <f>COUNTIF(AZ8:AZ21,"Prison")</f>
        <v>9</v>
      </c>
      <c r="BA22" s="200">
        <f>SUM(BA8:BA21)</f>
        <v>27703</v>
      </c>
      <c r="BB22" s="200">
        <f>COUNTIF(BB8:BB21,"Acute")</f>
        <v>13</v>
      </c>
      <c r="BC22" s="201">
        <f>SUM(BC8:BC21)</f>
        <v>30262</v>
      </c>
    </row>
    <row r="23" spans="1:60" x14ac:dyDescent="0.3">
      <c r="AZ23" s="41" t="s">
        <v>43</v>
      </c>
    </row>
    <row r="25" spans="1:60" ht="15" thickBot="1" x14ac:dyDescent="0.35">
      <c r="A25" s="231" t="s">
        <v>110</v>
      </c>
      <c r="B25" s="2"/>
    </row>
    <row r="26" spans="1:60" x14ac:dyDescent="0.3">
      <c r="A26" s="216" t="s">
        <v>234</v>
      </c>
      <c r="B26" s="2"/>
      <c r="C26" s="161">
        <f>IF(ISNUMBER(Collation!E26),Collation!C26/Collation!E26,"-")</f>
        <v>1</v>
      </c>
      <c r="D26" s="172" t="str">
        <f>IF(ISNUMBER(Collation!D26),Collation!D26/Collation!E26,"-")</f>
        <v>-</v>
      </c>
      <c r="E26" s="227">
        <f>IF(ISNUMBER(Collation!E26),Collation!E26,"-")</f>
        <v>116</v>
      </c>
      <c r="G26" s="161" t="s">
        <v>52</v>
      </c>
      <c r="H26" s="172" t="s">
        <v>52</v>
      </c>
      <c r="I26" s="172" t="s">
        <v>52</v>
      </c>
      <c r="J26" s="172" t="s">
        <v>52</v>
      </c>
      <c r="K26" s="172" t="s">
        <v>52</v>
      </c>
      <c r="L26" s="172" t="s">
        <v>52</v>
      </c>
      <c r="M26" s="172" t="s">
        <v>52</v>
      </c>
      <c r="N26" s="172" t="s">
        <v>52</v>
      </c>
      <c r="O26" s="180" t="str">
        <f>Collation!O26</f>
        <v>n/a</v>
      </c>
      <c r="P26" s="262" t="s">
        <v>52</v>
      </c>
      <c r="Q26" s="168"/>
      <c r="R26" s="161">
        <f>IF(Collation!$U26=0,"-",IF(ISNUMBER(Collation!R26),Collation!R26/Collation!$U26,"-"))</f>
        <v>0.59482758620689657</v>
      </c>
      <c r="S26" s="172">
        <f>IF(Collation!$U26=0,"-",IF(ISNUMBER(Collation!S26),Collation!S26/Collation!$U26,"-"))</f>
        <v>0.35344827586206895</v>
      </c>
      <c r="T26" s="172">
        <f>IF(Collation!$U26=0,"-",IF(ISNUMBER(Collation!T26),Collation!T26/Collation!$U26,"-"))</f>
        <v>5.1724137931034482E-2</v>
      </c>
      <c r="U26" s="227">
        <f>IF(ISNUMBER(Collation!U26),Collation!U26,"-")</f>
        <v>116</v>
      </c>
      <c r="V26" s="171"/>
      <c r="W26" s="161">
        <f>IF(Collation!$Z26=0,"-",IF(ISNUMBER(Collation!W26),Collation!W26/Collation!$Z26,"-"))</f>
        <v>0.44927536231884058</v>
      </c>
      <c r="X26" s="172">
        <f>IF(Collation!$Z26=0,"-",IF(ISNUMBER(Collation!X26),Collation!X26/Collation!$Z26,"-"))</f>
        <v>0.37681159420289856</v>
      </c>
      <c r="Y26" s="172">
        <f>IF(Collation!$Z26=0,"-",IF(ISNUMBER(Collation!Y26),Collation!Y26/Collation!$Z26,"-"))</f>
        <v>0.17391304347826086</v>
      </c>
      <c r="Z26" s="227">
        <f>IF(ISNUMBER(Collation!Z26),Collation!Z26,"-")</f>
        <v>69</v>
      </c>
      <c r="AA26" s="161">
        <f>IF(Collation!$AD26=0,"-",IF(ISNUMBER(Collation!AA26),Collation!AA26/Collation!$AD26,"-"))</f>
        <v>0.1951219512195122</v>
      </c>
      <c r="AB26" s="172">
        <f>IF(Collation!$AD26=0,"-",IF(ISNUMBER(Collation!AB26),Collation!AB26/Collation!$AD26,"-"))</f>
        <v>0.6097560975609756</v>
      </c>
      <c r="AC26" s="172">
        <f>IF(Collation!$AD26=0,"-",IF(ISNUMBER(Collation!AC26),Collation!AC26/Collation!$AD26,"-"))</f>
        <v>0.1951219512195122</v>
      </c>
      <c r="AD26" s="227">
        <f>IF(ISNUMBER(Collation!AD26),Collation!AD26,"-")</f>
        <v>41</v>
      </c>
      <c r="AE26" s="161">
        <f>IF(Collation!$AH26=0,"-",IF(ISNUMBER(Collation!AE26),Collation!AE26/Collation!$AH26,"-"))</f>
        <v>0.33333333333333331</v>
      </c>
      <c r="AF26" s="172">
        <f>IF(Collation!$AH26=0,"-",IF(ISNUMBER(Collation!AF26),Collation!AF26/Collation!$AH26,"-"))</f>
        <v>0.16666666666666666</v>
      </c>
      <c r="AG26" s="172">
        <f>IF(Collation!$AH26=0,"-",IF(ISNUMBER(Collation!AG26),Collation!AG26/Collation!$AH26,"-"))</f>
        <v>0.5</v>
      </c>
      <c r="AH26" s="227">
        <f>IF(ISNUMBER(Collation!AH26),Collation!AH26,"-")</f>
        <v>6</v>
      </c>
      <c r="AI26" s="46" t="str">
        <f t="shared" ref="AI26:AI33" si="5">IF(SUM(AE26:AG26)=1,"P","O")</f>
        <v>P</v>
      </c>
      <c r="AJ26" s="116" t="str">
        <f>Collation!AJ26</f>
        <v>n/a</v>
      </c>
      <c r="AK26" s="239" t="str">
        <f>Collation!AK26</f>
        <v>n/a</v>
      </c>
      <c r="AL26" s="117" t="str">
        <f>Collation!AL26</f>
        <v>n/a</v>
      </c>
      <c r="AM26" s="32"/>
      <c r="AN26" s="279">
        <f>IF(Collation!$AQ26=0,"-",IF(ISNUMBER(Collation!AN26),Collation!AN26/Collation!$R26,"-"))</f>
        <v>0.71014492753623193</v>
      </c>
      <c r="AO26" s="280">
        <f>IF(Collation!$AQ26=0,"-",IF(ISNUMBER(Collation!AO26),Collation!AO26/Collation!$S26,"-"))</f>
        <v>0.36585365853658536</v>
      </c>
      <c r="AP26" s="280">
        <f>IF(Collation!$AQ26=0,"-",IF(ISNUMBER(Collation!AP26),Collation!AP26/Collation!$T26,"-"))</f>
        <v>0.5</v>
      </c>
      <c r="AQ26" s="270">
        <f>IF(ISNUMBER(Collation!AQ26),(Collation!AN26+Collation!AO26+Collation!AP26)/(Collation!$R26+Collation!$S26+Collation!$T26),"-")</f>
        <v>0.57758620689655171</v>
      </c>
      <c r="AR26" s="32"/>
      <c r="AS26" s="279">
        <f>IF(Collation!$AU26=0,"-",IF(ISNUMBER(Collation!AS26),Collation!AS26/Collation!$R26,"-"))</f>
        <v>0.28985507246376813</v>
      </c>
      <c r="AT26" s="280">
        <f>IF(Collation!$AU26=0,"-",IF(ISNUMBER(Collation!AT26),Collation!$AT26/(Collation!S26+Collation!T26),"-"))</f>
        <v>0.61702127659574468</v>
      </c>
      <c r="AU26" s="270">
        <f>IF(ISNUMBER(Collation!AU26),(Collation!AU26)/(Collation!R26+Collation!S26+Collation!T26),"-")</f>
        <v>0.42241379310344829</v>
      </c>
      <c r="AV26" s="270">
        <f>IF(ISNUMBER(Collation!U26),(Collation!AV26)/(Collation!U26),"-")</f>
        <v>0</v>
      </c>
      <c r="AW26" s="4" t="s">
        <v>48</v>
      </c>
      <c r="AX26" s="193" t="s">
        <v>39</v>
      </c>
      <c r="AY26" s="194" t="str">
        <f t="shared" ref="AY26:AY33" si="6">IF(AX26="territorial",E26,"not territorial")</f>
        <v>not territorial</v>
      </c>
      <c r="AZ26" s="194" t="s">
        <v>39</v>
      </c>
      <c r="BA26" s="251" t="str">
        <f t="shared" ref="BA26:BA33" si="7">IF(AZ26="prison",E26,"no prison in board")</f>
        <v>no prison in board</v>
      </c>
      <c r="BB26" s="194" t="s">
        <v>45</v>
      </c>
      <c r="BC26" s="195">
        <f t="shared" ref="BC26:BC33" si="8">IF(BB26="acute",E26,"not acute")</f>
        <v>116</v>
      </c>
      <c r="BD26" s="27"/>
      <c r="BE26" s="27"/>
      <c r="BF26" s="27"/>
      <c r="BG26" s="27"/>
      <c r="BH26" s="27"/>
    </row>
    <row r="27" spans="1:60" x14ac:dyDescent="0.3">
      <c r="A27" s="217" t="s">
        <v>23</v>
      </c>
      <c r="B27" s="2"/>
      <c r="C27" s="162">
        <f>IF(ISNUMBER(Collation!E27),Collation!C27/Collation!E27,"-")</f>
        <v>1</v>
      </c>
      <c r="D27" s="229" t="str">
        <f>IF(ISNUMBER(Collation!D27),Collation!D27/Collation!E27,"-")</f>
        <v>-</v>
      </c>
      <c r="E27" s="228">
        <f>IF(ISNUMBER(Collation!E27),Collation!E27,"-")</f>
        <v>9</v>
      </c>
      <c r="G27" s="162" t="s">
        <v>52</v>
      </c>
      <c r="H27" s="159" t="s">
        <v>52</v>
      </c>
      <c r="I27" s="159" t="s">
        <v>52</v>
      </c>
      <c r="J27" s="159" t="s">
        <v>52</v>
      </c>
      <c r="K27" s="159" t="s">
        <v>52</v>
      </c>
      <c r="L27" s="159" t="s">
        <v>52</v>
      </c>
      <c r="M27" s="159" t="s">
        <v>52</v>
      </c>
      <c r="N27" s="159" t="s">
        <v>52</v>
      </c>
      <c r="O27" s="174" t="str">
        <f>Collation!O27</f>
        <v>n/a</v>
      </c>
      <c r="P27" s="263" t="s">
        <v>52</v>
      </c>
      <c r="Q27" s="168"/>
      <c r="R27" s="162">
        <f>IF(Collation!$U27=0,"-",IF(ISNUMBER(Collation!R27),Collation!R27/Collation!$U27,"-"))</f>
        <v>0.22222222222222221</v>
      </c>
      <c r="S27" s="159">
        <f>IF(Collation!$U27=0,"-",IF(ISNUMBER(Collation!S27),Collation!S27/Collation!$U27,"-"))</f>
        <v>0.66666666666666663</v>
      </c>
      <c r="T27" s="159">
        <f>IF(Collation!$U27=0,"-",IF(ISNUMBER(Collation!T27),Collation!T27/Collation!$U27,"-"))</f>
        <v>0.1111111111111111</v>
      </c>
      <c r="U27" s="164">
        <f>IF(ISNUMBER(Collation!U27),Collation!U27,"-")</f>
        <v>9</v>
      </c>
      <c r="V27" s="171"/>
      <c r="W27" s="162">
        <f>IF(Collation!$Z27=0,"-",IF(ISNUMBER(Collation!W27),Collation!W27/Collation!$Z27,"-"))</f>
        <v>0.5</v>
      </c>
      <c r="X27" s="159">
        <f>IF(Collation!$Z27=0,"-",IF(ISNUMBER(Collation!X27),Collation!X27/Collation!$Z27,"-"))</f>
        <v>0.5</v>
      </c>
      <c r="Y27" s="159">
        <f>IF(Collation!$Z27=0,"-",IF(ISNUMBER(Collation!Y27),Collation!Y27/Collation!$Z27,"-"))</f>
        <v>0</v>
      </c>
      <c r="Z27" s="164">
        <f>IF(ISNUMBER(Collation!Z27),Collation!Z27,"-")</f>
        <v>2</v>
      </c>
      <c r="AA27" s="162">
        <f>IF(Collation!$AD27=0,"-",IF(ISNUMBER(Collation!AA27),Collation!AA27/Collation!$AD27,"-"))</f>
        <v>0</v>
      </c>
      <c r="AB27" s="159">
        <f>IF(Collation!$AD27=0,"-",IF(ISNUMBER(Collation!AB27),Collation!AB27/Collation!$AD27,"-"))</f>
        <v>0.5</v>
      </c>
      <c r="AC27" s="159">
        <f>IF(Collation!$AD27=0,"-",IF(ISNUMBER(Collation!AC27),Collation!AC27/Collation!$AD27,"-"))</f>
        <v>0.5</v>
      </c>
      <c r="AD27" s="164">
        <f>IF(ISNUMBER(Collation!AD27),Collation!AD27,"-")</f>
        <v>6</v>
      </c>
      <c r="AE27" s="162">
        <f>IF(Collation!$AH27=0,"-",IF(ISNUMBER(Collation!AE27),Collation!AE27/Collation!$AH27,"-"))</f>
        <v>0</v>
      </c>
      <c r="AF27" s="159">
        <f>IF(Collation!$AH27=0,"-",IF(ISNUMBER(Collation!AF27),Collation!AF27/Collation!$AH27,"-"))</f>
        <v>1</v>
      </c>
      <c r="AG27" s="159">
        <f>IF(Collation!$AH27=0,"-",IF(ISNUMBER(Collation!AG27),Collation!AG27/Collation!$AH27,"-"))</f>
        <v>0</v>
      </c>
      <c r="AH27" s="164">
        <f>IF(ISNUMBER(Collation!AH27),Collation!AH27,"-")</f>
        <v>1</v>
      </c>
      <c r="AI27" s="46" t="str">
        <f t="shared" si="5"/>
        <v>P</v>
      </c>
      <c r="AJ27" s="118" t="str">
        <f>Collation!AJ27</f>
        <v>n/a</v>
      </c>
      <c r="AK27" s="31" t="str">
        <f>Collation!AK27</f>
        <v>n/a</v>
      </c>
      <c r="AL27" s="119" t="str">
        <f>Collation!AL27</f>
        <v>n/a</v>
      </c>
      <c r="AM27" s="32"/>
      <c r="AN27" s="273">
        <f>IF(Collation!$AQ27=0,"-",IF(ISNUMBER(Collation!AN27),Collation!AN27/Collation!$R27,"-"))</f>
        <v>1</v>
      </c>
      <c r="AO27" s="274">
        <f>IF(Collation!$AQ27=0,"-",IF(ISNUMBER(Collation!AO27),Collation!AO27/Collation!$S27,"-"))</f>
        <v>0.66666666666666663</v>
      </c>
      <c r="AP27" s="274">
        <f>IF(Collation!$AQ27=0,"-",IF(ISNUMBER(Collation!AP27),Collation!AP27/Collation!$T27,"-"))</f>
        <v>1</v>
      </c>
      <c r="AQ27" s="275">
        <f>IF(ISNUMBER(Collation!AQ27),(Collation!AN27+Collation!AO27+Collation!AP27)/(Collation!$R27+Collation!$S27+Collation!$T27),"-")</f>
        <v>0.77777777777777779</v>
      </c>
      <c r="AR27" s="32"/>
      <c r="AS27" s="273">
        <f>IF(Collation!$AU27=0,"-",IF(ISNUMBER(Collation!AS27),Collation!AS27/Collation!$R27,"-"))</f>
        <v>0</v>
      </c>
      <c r="AT27" s="274">
        <f>IF(Collation!$AU27=0,"-",IF(ISNUMBER(Collation!AT27),Collation!$AT27/(Collation!S27+Collation!T27),"-"))</f>
        <v>0.2857142857142857</v>
      </c>
      <c r="AU27" s="275">
        <f>IF(ISNUMBER(Collation!AU27),(Collation!AU27)/(Collation!R27+Collation!S27+Collation!T27),"-")</f>
        <v>0.22222222222222221</v>
      </c>
      <c r="AV27" s="275">
        <f>IF(ISNUMBER(Collation!U27),(Collation!AV27)/(Collation!U27),"-")</f>
        <v>0</v>
      </c>
      <c r="AW27" s="4" t="s">
        <v>48</v>
      </c>
      <c r="AX27" s="196" t="s">
        <v>39</v>
      </c>
      <c r="AY27" s="190" t="str">
        <f t="shared" si="6"/>
        <v>not territorial</v>
      </c>
      <c r="AZ27" s="190" t="s">
        <v>39</v>
      </c>
      <c r="BA27" s="191" t="str">
        <f t="shared" si="7"/>
        <v>no prison in board</v>
      </c>
      <c r="BB27" s="190" t="s">
        <v>39</v>
      </c>
      <c r="BC27" s="197" t="str">
        <f t="shared" si="8"/>
        <v>not acute</v>
      </c>
    </row>
    <row r="28" spans="1:60" x14ac:dyDescent="0.3">
      <c r="A28" s="217" t="s">
        <v>18</v>
      </c>
      <c r="B28" s="62"/>
      <c r="C28" s="162">
        <f>IF(ISNUMBER(Collation!E28),Collation!C28/Collation!E28,"-")</f>
        <v>1</v>
      </c>
      <c r="D28" s="159" t="str">
        <f>IF(ISNUMBER(Collation!D28),Collation!D28/Collation!E28,"-")</f>
        <v>-</v>
      </c>
      <c r="E28" s="228">
        <f>IF(ISNUMBER(Collation!E28),Collation!E28,"-")</f>
        <v>3</v>
      </c>
      <c r="G28" s="162" t="s">
        <v>52</v>
      </c>
      <c r="H28" s="159" t="s">
        <v>52</v>
      </c>
      <c r="I28" s="159" t="s">
        <v>52</v>
      </c>
      <c r="J28" s="159" t="s">
        <v>52</v>
      </c>
      <c r="K28" s="159" t="s">
        <v>52</v>
      </c>
      <c r="L28" s="159" t="s">
        <v>52</v>
      </c>
      <c r="M28" s="159" t="s">
        <v>52</v>
      </c>
      <c r="N28" s="159" t="s">
        <v>52</v>
      </c>
      <c r="O28" s="174" t="str">
        <f>Collation!O28</f>
        <v>n/a</v>
      </c>
      <c r="P28" s="263" t="s">
        <v>52</v>
      </c>
      <c r="Q28" s="168"/>
      <c r="R28" s="162">
        <f>IF(Collation!$U28=0,"-",IF(ISNUMBER(Collation!R28),Collation!R28/Collation!$U28,"-"))</f>
        <v>0.33333333333333331</v>
      </c>
      <c r="S28" s="159">
        <f>IF(Collation!$U28=0,"-",IF(ISNUMBER(Collation!S28),Collation!S28/Collation!$U28,"-"))</f>
        <v>0.66666666666666663</v>
      </c>
      <c r="T28" s="159">
        <f>IF(Collation!$U28=0,"-",IF(ISNUMBER(Collation!T28),Collation!T28/Collation!$U28,"-"))</f>
        <v>0</v>
      </c>
      <c r="U28" s="164">
        <f>IF(ISNUMBER(Collation!U28),Collation!U28,"-")</f>
        <v>3</v>
      </c>
      <c r="V28" s="171"/>
      <c r="W28" s="162">
        <f>IF(Collation!$Z28=0,"-",IF(ISNUMBER(Collation!W28),Collation!W28/Collation!$Z28,"-"))</f>
        <v>1</v>
      </c>
      <c r="X28" s="159">
        <f>IF(Collation!$Z28=0,"-",IF(ISNUMBER(Collation!X28),Collation!X28/Collation!$Z28,"-"))</f>
        <v>0</v>
      </c>
      <c r="Y28" s="159">
        <f>IF(Collation!$Z28=0,"-",IF(ISNUMBER(Collation!Y28),Collation!Y28/Collation!$Z28,"-"))</f>
        <v>0</v>
      </c>
      <c r="Z28" s="164">
        <f>IF(ISNUMBER(Collation!Z28),Collation!Z28,"-")</f>
        <v>1</v>
      </c>
      <c r="AA28" s="162">
        <f>IF(Collation!$AD28=0,"-",IF(ISNUMBER(Collation!AA28),Collation!AA28/Collation!$AD28,"-"))</f>
        <v>1</v>
      </c>
      <c r="AB28" s="159">
        <f>IF(Collation!$AD28=0,"-",IF(ISNUMBER(Collation!AB28),Collation!AB28/Collation!$AD28,"-"))</f>
        <v>0</v>
      </c>
      <c r="AC28" s="159">
        <f>IF(Collation!$AD28=0,"-",IF(ISNUMBER(Collation!AC28),Collation!AC28/Collation!$AD28,"-"))</f>
        <v>0</v>
      </c>
      <c r="AD28" s="164">
        <f>IF(ISNUMBER(Collation!AD28),Collation!AD28,"-")</f>
        <v>2</v>
      </c>
      <c r="AE28" s="162" t="str">
        <f>IF(Collation!$AH28=0,"-",IF(ISNUMBER(Collation!AE28),Collation!AE28/Collation!$AH28,"-"))</f>
        <v>-</v>
      </c>
      <c r="AF28" s="159" t="str">
        <f>IF(Collation!$AH28=0,"-",IF(ISNUMBER(Collation!AF28),Collation!AF28/Collation!$AH28,"-"))</f>
        <v>-</v>
      </c>
      <c r="AG28" s="159" t="str">
        <f>IF(Collation!$AH28=0,"-",IF(ISNUMBER(Collation!AG28),Collation!AG28/Collation!$AH28,"-"))</f>
        <v>-</v>
      </c>
      <c r="AH28" s="164">
        <f>IF(ISNUMBER(Collation!AH28),Collation!AH28,"-")</f>
        <v>0</v>
      </c>
      <c r="AI28" s="46" t="str">
        <f t="shared" si="5"/>
        <v>O</v>
      </c>
      <c r="AJ28" s="118" t="str">
        <f>Collation!AJ28</f>
        <v>n/a</v>
      </c>
      <c r="AK28" s="31" t="str">
        <f>Collation!AK28</f>
        <v>n/a</v>
      </c>
      <c r="AL28" s="119" t="str">
        <f>Collation!AL28</f>
        <v>n/a</v>
      </c>
      <c r="AM28" s="35"/>
      <c r="AN28" s="273">
        <f>IF(Collation!$AQ28=0,"-",IF(ISNUMBER(Collation!AN28),Collation!AN28/Collation!$R28,"-"))</f>
        <v>1</v>
      </c>
      <c r="AO28" s="274">
        <f>IF(Collation!$AQ28=0,"-",IF(ISNUMBER(Collation!AO28),Collation!AO28/Collation!$S28,"-"))</f>
        <v>1</v>
      </c>
      <c r="AP28" s="274" t="e">
        <f>IF(Collation!$AQ28=0,"-",IF(ISNUMBER(Collation!AP28),Collation!AP28/Collation!$T28,"-"))</f>
        <v>#DIV/0!</v>
      </c>
      <c r="AQ28" s="275">
        <f>IF(ISNUMBER(Collation!AQ28),(Collation!AN28+Collation!AO28+Collation!AP28)/(Collation!$R28+Collation!$S28+Collation!$T28),"-")</f>
        <v>1</v>
      </c>
      <c r="AR28" s="32"/>
      <c r="AS28" s="273" t="str">
        <f>IF(Collation!$AU28=0,"-",IF(ISNUMBER(Collation!AS28),Collation!AS28/Collation!$R28,"-"))</f>
        <v>-</v>
      </c>
      <c r="AT28" s="274" t="str">
        <f>IF(Collation!$AU28=0,"-",IF(ISNUMBER(Collation!AT28),Collation!$AT28/(Collation!S28+Collation!T28),"-"))</f>
        <v>-</v>
      </c>
      <c r="AU28" s="275">
        <f>IF(ISNUMBER(Collation!AU28),(Collation!AU28)/(Collation!R28+Collation!S28+Collation!T28),"-")</f>
        <v>0</v>
      </c>
      <c r="AV28" s="275">
        <f>IF(ISNUMBER(Collation!U28),(Collation!AV28)/(Collation!U28),"-")</f>
        <v>0</v>
      </c>
      <c r="AW28" s="4" t="s">
        <v>48</v>
      </c>
      <c r="AX28" s="196" t="s">
        <v>39</v>
      </c>
      <c r="AY28" s="190" t="str">
        <f t="shared" si="6"/>
        <v>not territorial</v>
      </c>
      <c r="AZ28" s="190" t="s">
        <v>39</v>
      </c>
      <c r="BA28" s="191" t="str">
        <f t="shared" si="7"/>
        <v>no prison in board</v>
      </c>
      <c r="BB28" s="190" t="s">
        <v>39</v>
      </c>
      <c r="BC28" s="197" t="str">
        <f t="shared" si="8"/>
        <v>not acute</v>
      </c>
    </row>
    <row r="29" spans="1:60" x14ac:dyDescent="0.3">
      <c r="A29" s="217" t="s">
        <v>19</v>
      </c>
      <c r="B29" s="62"/>
      <c r="C29" s="162" t="e">
        <f>IF(ISNUMBER(Collation!E29),Collation!C29/Collation!E29,"-")</f>
        <v>#DIV/0!</v>
      </c>
      <c r="D29" s="159" t="e">
        <f>IF(ISNUMBER(Collation!D29),Collation!D29/Collation!E29,"-")</f>
        <v>#DIV/0!</v>
      </c>
      <c r="E29" s="228">
        <f>IF(ISNUMBER(Collation!E29),Collation!E29,"-")</f>
        <v>0</v>
      </c>
      <c r="G29" s="162" t="s">
        <v>52</v>
      </c>
      <c r="H29" s="159" t="s">
        <v>52</v>
      </c>
      <c r="I29" s="159" t="s">
        <v>52</v>
      </c>
      <c r="J29" s="159" t="s">
        <v>52</v>
      </c>
      <c r="K29" s="159" t="s">
        <v>52</v>
      </c>
      <c r="L29" s="159" t="s">
        <v>52</v>
      </c>
      <c r="M29" s="159" t="s">
        <v>52</v>
      </c>
      <c r="N29" s="159" t="s">
        <v>52</v>
      </c>
      <c r="O29" s="174" t="str">
        <f>Collation!O29</f>
        <v>n/a</v>
      </c>
      <c r="P29" s="263" t="s">
        <v>52</v>
      </c>
      <c r="Q29" s="168"/>
      <c r="R29" s="162" t="str">
        <f>IF(Collation!$U29=0,"-",IF(ISNUMBER(Collation!R29),Collation!R29/Collation!$U29,"-"))</f>
        <v>-</v>
      </c>
      <c r="S29" s="159" t="str">
        <f>IF(Collation!$U29=0,"-",IF(ISNUMBER(Collation!S29),Collation!S29/Collation!$U29,"-"))</f>
        <v>-</v>
      </c>
      <c r="T29" s="159" t="str">
        <f>IF(Collation!$U29=0,"-",IF(ISNUMBER(Collation!T29),Collation!T29/Collation!$U29,"-"))</f>
        <v>-</v>
      </c>
      <c r="U29" s="164">
        <f>IF(ISNUMBER(Collation!U29),Collation!U29,"-")</f>
        <v>0</v>
      </c>
      <c r="V29" s="171"/>
      <c r="W29" s="162" t="str">
        <f>IF(Collation!$Z29=0,"-",IF(ISNUMBER(Collation!W29),Collation!W29/Collation!$Z29,"-"))</f>
        <v>-</v>
      </c>
      <c r="X29" s="159" t="str">
        <f>IF(Collation!$Z29=0,"-",IF(ISNUMBER(Collation!X29),Collation!X29/Collation!$Z29,"-"))</f>
        <v>-</v>
      </c>
      <c r="Y29" s="159" t="str">
        <f>IF(Collation!$Z29=0,"-",IF(ISNUMBER(Collation!Y29),Collation!Y29/Collation!$Z29,"-"))</f>
        <v>-</v>
      </c>
      <c r="Z29" s="164">
        <f>IF(ISNUMBER(Collation!Z29),Collation!Z29,"-")</f>
        <v>0</v>
      </c>
      <c r="AA29" s="162" t="str">
        <f>IF(Collation!$AD29=0,"-",IF(ISNUMBER(Collation!AA29),Collation!AA29/Collation!$AD29,"-"))</f>
        <v>-</v>
      </c>
      <c r="AB29" s="159" t="str">
        <f>IF(Collation!$AD29=0,"-",IF(ISNUMBER(Collation!AB29),Collation!AB29/Collation!$AD29,"-"))</f>
        <v>-</v>
      </c>
      <c r="AC29" s="159" t="str">
        <f>IF(Collation!$AD29=0,"-",IF(ISNUMBER(Collation!AC29),Collation!AC29/Collation!$AD29,"-"))</f>
        <v>-</v>
      </c>
      <c r="AD29" s="164">
        <f>IF(ISNUMBER(Collation!AD29),Collation!AD29,"-")</f>
        <v>0</v>
      </c>
      <c r="AE29" s="162" t="str">
        <f>IF(Collation!$AH29=0,"-",IF(ISNUMBER(Collation!AE29),Collation!AE29/Collation!$AH29,"-"))</f>
        <v>-</v>
      </c>
      <c r="AF29" s="159" t="str">
        <f>IF(Collation!$AH29=0,"-",IF(ISNUMBER(Collation!AF29),Collation!AF29/Collation!$AH29,"-"))</f>
        <v>-</v>
      </c>
      <c r="AG29" s="159" t="str">
        <f>IF(Collation!$AH29=0,"-",IF(ISNUMBER(Collation!AG29),Collation!AG29/Collation!$AH29,"-"))</f>
        <v>-</v>
      </c>
      <c r="AH29" s="164">
        <f>IF(ISNUMBER(Collation!AH29),Collation!AH29,"-")</f>
        <v>0</v>
      </c>
      <c r="AI29" s="46" t="str">
        <f t="shared" si="5"/>
        <v>O</v>
      </c>
      <c r="AJ29" s="118" t="str">
        <f>Collation!AJ29</f>
        <v>n/a</v>
      </c>
      <c r="AK29" s="31" t="str">
        <f>Collation!AK29</f>
        <v>n/a</v>
      </c>
      <c r="AL29" s="119" t="str">
        <f>Collation!AL29</f>
        <v>n/a</v>
      </c>
      <c r="AM29" s="32"/>
      <c r="AN29" s="273" t="str">
        <f>IF(Collation!$AQ29=0,"-",IF(ISNUMBER(Collation!AN29),Collation!AN29/Collation!$R29,"-"))</f>
        <v>-</v>
      </c>
      <c r="AO29" s="274" t="str">
        <f>IF(Collation!$AQ29=0,"-",IF(ISNUMBER(Collation!AO29),Collation!AO29/Collation!$S29,"-"))</f>
        <v>-</v>
      </c>
      <c r="AP29" s="274" t="str">
        <f>IF(Collation!$AQ29=0,"-",IF(ISNUMBER(Collation!AP29),Collation!AP29/Collation!$T29,"-"))</f>
        <v>-</v>
      </c>
      <c r="AQ29" s="275" t="e">
        <f>IF(ISNUMBER(Collation!AQ29),(Collation!AN29+Collation!AO29+Collation!AP29)/(Collation!$R29+Collation!$S29+Collation!$T29),"-")</f>
        <v>#DIV/0!</v>
      </c>
      <c r="AR29" s="32"/>
      <c r="AS29" s="273" t="str">
        <f>IF(Collation!$AU29=0,"-",IF(ISNUMBER(Collation!AS29),Collation!AS29/Collation!$R29,"-"))</f>
        <v>-</v>
      </c>
      <c r="AT29" s="274" t="str">
        <f>IF(Collation!$AU29=0,"-",IF(ISNUMBER(Collation!AT29),Collation!$AT29/(Collation!S29+Collation!T29),"-"))</f>
        <v>-</v>
      </c>
      <c r="AU29" s="275" t="e">
        <f>IF(ISNUMBER(Collation!AU29),(Collation!AU29)/(Collation!R29+Collation!S29+Collation!T29),"-")</f>
        <v>#DIV/0!</v>
      </c>
      <c r="AV29" s="275" t="e">
        <f>IF(ISNUMBER(Collation!U29),(Collation!AV29)/(Collation!U29),"-")</f>
        <v>#DIV/0!</v>
      </c>
      <c r="AW29" s="4" t="s">
        <v>48</v>
      </c>
      <c r="AX29" s="196" t="s">
        <v>39</v>
      </c>
      <c r="AY29" s="190" t="str">
        <f t="shared" si="6"/>
        <v>not territorial</v>
      </c>
      <c r="AZ29" s="190" t="s">
        <v>39</v>
      </c>
      <c r="BA29" s="191" t="str">
        <f t="shared" si="7"/>
        <v>no prison in board</v>
      </c>
      <c r="BB29" s="190" t="s">
        <v>39</v>
      </c>
      <c r="BC29" s="197" t="str">
        <f t="shared" si="8"/>
        <v>not acute</v>
      </c>
    </row>
    <row r="30" spans="1:60" x14ac:dyDescent="0.3">
      <c r="A30" s="217" t="s">
        <v>22</v>
      </c>
      <c r="B30" s="62"/>
      <c r="C30" s="162">
        <f>IF(ISNUMBER(Collation!E30),Collation!C30/Collation!E30,"-")</f>
        <v>1</v>
      </c>
      <c r="D30" s="159" t="str">
        <f>IF(ISNUMBER(Collation!D30),Collation!D30/Collation!E30,"-")</f>
        <v>-</v>
      </c>
      <c r="E30" s="228">
        <f>IF(ISNUMBER(Collation!E30),Collation!E30,"-")</f>
        <v>426</v>
      </c>
      <c r="G30" s="162" t="s">
        <v>52</v>
      </c>
      <c r="H30" s="159" t="s">
        <v>52</v>
      </c>
      <c r="I30" s="159" t="s">
        <v>52</v>
      </c>
      <c r="J30" s="159" t="s">
        <v>52</v>
      </c>
      <c r="K30" s="159" t="s">
        <v>52</v>
      </c>
      <c r="L30" s="159" t="s">
        <v>52</v>
      </c>
      <c r="M30" s="159" t="s">
        <v>52</v>
      </c>
      <c r="N30" s="159" t="s">
        <v>52</v>
      </c>
      <c r="O30" s="174" t="str">
        <f>Collation!O30</f>
        <v>n/a</v>
      </c>
      <c r="P30" s="263" t="s">
        <v>52</v>
      </c>
      <c r="Q30" s="168"/>
      <c r="R30" s="162">
        <f>IF(Collation!$U30=0,"-",IF(ISNUMBER(Collation!R30),Collation!R30/Collation!$U30,"-"))</f>
        <v>0.15962441314553991</v>
      </c>
      <c r="S30" s="159">
        <f>IF(Collation!$U30=0,"-",IF(ISNUMBER(Collation!S30),Collation!S30/Collation!$U30,"-"))</f>
        <v>0.84037558685446012</v>
      </c>
      <c r="T30" s="159">
        <f>IF(Collation!$U30=0,"-",IF(ISNUMBER(Collation!T30),Collation!T30/Collation!$U30,"-"))</f>
        <v>0</v>
      </c>
      <c r="U30" s="164">
        <f>IF(ISNUMBER(Collation!U30),Collation!U30,"-")</f>
        <v>426</v>
      </c>
      <c r="V30" s="171"/>
      <c r="W30" s="162">
        <f>IF(Collation!$Z30=0,"-",IF(ISNUMBER(Collation!W30),Collation!W30/Collation!$Z30,"-"))</f>
        <v>0</v>
      </c>
      <c r="X30" s="159">
        <f>IF(Collation!$Z30=0,"-",IF(ISNUMBER(Collation!X30),Collation!X30/Collation!$Z30,"-"))</f>
        <v>1</v>
      </c>
      <c r="Y30" s="159">
        <f>IF(Collation!$Z30=0,"-",IF(ISNUMBER(Collation!Y30),Collation!Y30/Collation!$Z30,"-"))</f>
        <v>0</v>
      </c>
      <c r="Z30" s="164">
        <f>IF(ISNUMBER(Collation!Z30),Collation!Z30,"-")</f>
        <v>53</v>
      </c>
      <c r="AA30" s="162">
        <f>IF(Collation!$AD30=0,"-",IF(ISNUMBER(Collation!AA30),Collation!AA30/Collation!$AD30,"-"))</f>
        <v>0.52278820375335122</v>
      </c>
      <c r="AB30" s="159">
        <f>IF(Collation!$AD30=0,"-",IF(ISNUMBER(Collation!AB30),Collation!AB30/Collation!$AD30,"-"))</f>
        <v>0.27613941018766758</v>
      </c>
      <c r="AC30" s="159">
        <f>IF(Collation!$AD30=0,"-",IF(ISNUMBER(Collation!AC30),Collation!AC30/Collation!$AD30,"-"))</f>
        <v>0.20107238605898123</v>
      </c>
      <c r="AD30" s="164">
        <f>IF(ISNUMBER(Collation!AD30),Collation!AD30,"-")</f>
        <v>373</v>
      </c>
      <c r="AE30" s="162" t="str">
        <f>IF(Collation!$AH30=0,"-",IF(ISNUMBER(Collation!AE30),Collation!AE30/Collation!$AH30,"-"))</f>
        <v>-</v>
      </c>
      <c r="AF30" s="159" t="str">
        <f>IF(Collation!$AH30=0,"-",IF(ISNUMBER(Collation!AF30),Collation!AF30/Collation!$AH30,"-"))</f>
        <v>-</v>
      </c>
      <c r="AG30" s="159" t="str">
        <f>IF(Collation!$AH30=0,"-",IF(ISNUMBER(Collation!AG30),Collation!AG30/Collation!$AH30,"-"))</f>
        <v>-</v>
      </c>
      <c r="AH30" s="164">
        <f>IF(ISNUMBER(Collation!AH30),Collation!AH30,"-")</f>
        <v>0</v>
      </c>
      <c r="AI30" s="46" t="str">
        <f t="shared" si="5"/>
        <v>O</v>
      </c>
      <c r="AJ30" s="118" t="str">
        <f>Collation!AJ30</f>
        <v>n/a</v>
      </c>
      <c r="AK30" s="31" t="str">
        <f>Collation!AK30</f>
        <v>n/a</v>
      </c>
      <c r="AL30" s="119" t="str">
        <f>Collation!AL30</f>
        <v>n/a</v>
      </c>
      <c r="AM30" s="32"/>
      <c r="AN30" s="273">
        <f>IF(Collation!$AQ30=0,"-",IF(ISNUMBER(Collation!AN30),Collation!AN30/Collation!$R30,"-"))</f>
        <v>1</v>
      </c>
      <c r="AO30" s="274">
        <f>IF(Collation!$AQ30=0,"-",IF(ISNUMBER(Collation!AO30),Collation!AO30/Collation!$S30,"-"))</f>
        <v>0.994413407821229</v>
      </c>
      <c r="AP30" s="274" t="e">
        <f>IF(Collation!$AQ30=0,"-",IF(ISNUMBER(Collation!AP30),Collation!AP30/Collation!$T30,"-"))</f>
        <v>#DIV/0!</v>
      </c>
      <c r="AQ30" s="275">
        <f>IF(ISNUMBER(Collation!AQ30),(Collation!AN30+Collation!AO30+Collation!AP30)/(Collation!$R30+Collation!$S30+Collation!$T30),"-")</f>
        <v>0.99530516431924887</v>
      </c>
      <c r="AR30" s="32"/>
      <c r="AS30" s="273">
        <f>IF(Collation!$AU30=0,"-",IF(ISNUMBER(Collation!AS30),Collation!AS30/Collation!$R30,"-"))</f>
        <v>0</v>
      </c>
      <c r="AT30" s="274">
        <f>IF(Collation!$AU30=0,"-",IF(ISNUMBER(Collation!AT30),Collation!$AT30/(Collation!S30+Collation!T30),"-"))</f>
        <v>5.5865921787709499E-3</v>
      </c>
      <c r="AU30" s="275">
        <f>IF(ISNUMBER(Collation!AU30),(Collation!AU30)/(Collation!R30+Collation!S30+Collation!T30),"-")</f>
        <v>4.6948356807511738E-3</v>
      </c>
      <c r="AV30" s="275">
        <f>IF(ISNUMBER(Collation!U30),(Collation!AV30)/(Collation!U30),"-")</f>
        <v>0</v>
      </c>
      <c r="AW30" s="4" t="s">
        <v>48</v>
      </c>
      <c r="AX30" s="196" t="s">
        <v>39</v>
      </c>
      <c r="AY30" s="190" t="str">
        <f t="shared" si="6"/>
        <v>not territorial</v>
      </c>
      <c r="AZ30" s="190" t="s">
        <v>39</v>
      </c>
      <c r="BA30" s="191" t="str">
        <f t="shared" si="7"/>
        <v>no prison in board</v>
      </c>
      <c r="BB30" s="190" t="s">
        <v>39</v>
      </c>
      <c r="BC30" s="197" t="str">
        <f t="shared" si="8"/>
        <v>not acute</v>
      </c>
    </row>
    <row r="31" spans="1:60" x14ac:dyDescent="0.3">
      <c r="A31" s="217" t="s">
        <v>20</v>
      </c>
      <c r="B31" s="2"/>
      <c r="C31" s="162">
        <f>IF(ISNUMBER(Collation!E31),Collation!C31/Collation!E31,"-")</f>
        <v>1</v>
      </c>
      <c r="D31" s="159" t="str">
        <f>IF(ISNUMBER(Collation!D31),Collation!D31/Collation!E31,"-")</f>
        <v>-</v>
      </c>
      <c r="E31" s="228">
        <f>IF(ISNUMBER(Collation!E31),Collation!E31,"-")</f>
        <v>355</v>
      </c>
      <c r="G31" s="162" t="s">
        <v>52</v>
      </c>
      <c r="H31" s="159" t="s">
        <v>52</v>
      </c>
      <c r="I31" s="159" t="s">
        <v>52</v>
      </c>
      <c r="J31" s="159" t="s">
        <v>52</v>
      </c>
      <c r="K31" s="159" t="s">
        <v>52</v>
      </c>
      <c r="L31" s="159" t="s">
        <v>52</v>
      </c>
      <c r="M31" s="159" t="s">
        <v>52</v>
      </c>
      <c r="N31" s="159" t="s">
        <v>52</v>
      </c>
      <c r="O31" s="174" t="str">
        <f>Collation!O31</f>
        <v>n/a</v>
      </c>
      <c r="P31" s="263" t="s">
        <v>52</v>
      </c>
      <c r="Q31" s="168"/>
      <c r="R31" s="162">
        <f>IF(Collation!$U31=0,"-",IF(ISNUMBER(Collation!R31),Collation!R31/Collation!$U31,"-"))</f>
        <v>0.89014084507042257</v>
      </c>
      <c r="S31" s="159">
        <f>IF(Collation!$U31=0,"-",IF(ISNUMBER(Collation!S31),Collation!S31/Collation!$U31,"-"))</f>
        <v>0.10985915492957747</v>
      </c>
      <c r="T31" s="159">
        <f>IF(Collation!$U31=0,"-",IF(ISNUMBER(Collation!T31),Collation!T31/Collation!$U31,"-"))</f>
        <v>0</v>
      </c>
      <c r="U31" s="164">
        <f>IF(ISNUMBER(Collation!U31),Collation!U31,"-")</f>
        <v>355</v>
      </c>
      <c r="V31" s="171"/>
      <c r="W31" s="162">
        <f>IF(Collation!$Z31=0,"-",IF(ISNUMBER(Collation!W31),Collation!W31/Collation!$Z31,"-"))</f>
        <v>0.30379746835443039</v>
      </c>
      <c r="X31" s="159">
        <f>IF(Collation!$Z31=0,"-",IF(ISNUMBER(Collation!X31),Collation!X31/Collation!$Z31,"-"))</f>
        <v>0.50632911392405067</v>
      </c>
      <c r="Y31" s="159">
        <f>IF(Collation!$Z31=0,"-",IF(ISNUMBER(Collation!Y31),Collation!Y31/Collation!$Z31,"-"))</f>
        <v>0.189873417721519</v>
      </c>
      <c r="Z31" s="164">
        <f>IF(ISNUMBER(Collation!Z31),Collation!Z31,"-")</f>
        <v>316</v>
      </c>
      <c r="AA31" s="162">
        <f>IF(Collation!$AD31=0,"-",IF(ISNUMBER(Collation!AA31),Collation!AA31/Collation!$AD31,"-"))</f>
        <v>0.35897435897435898</v>
      </c>
      <c r="AB31" s="159">
        <f>IF(Collation!$AD31=0,"-",IF(ISNUMBER(Collation!AB31),Collation!AB31/Collation!$AD31,"-"))</f>
        <v>0.4358974358974359</v>
      </c>
      <c r="AC31" s="159">
        <f>IF(Collation!$AD31=0,"-",IF(ISNUMBER(Collation!AC31),Collation!AC31/Collation!$AD31,"-"))</f>
        <v>0.20512820512820512</v>
      </c>
      <c r="AD31" s="164">
        <f>IF(ISNUMBER(Collation!AD31),Collation!AD31,"-")</f>
        <v>39</v>
      </c>
      <c r="AE31" s="162" t="str">
        <f>IF(Collation!$AH31=0,"-",IF(ISNUMBER(Collation!AE31),Collation!AE31/Collation!$AH31,"-"))</f>
        <v>-</v>
      </c>
      <c r="AF31" s="159" t="str">
        <f>IF(Collation!$AH31=0,"-",IF(ISNUMBER(Collation!AF31),Collation!AF31/Collation!$AH31,"-"))</f>
        <v>-</v>
      </c>
      <c r="AG31" s="159" t="str">
        <f>IF(Collation!$AH31=0,"-",IF(ISNUMBER(Collation!AG31),Collation!AG31/Collation!$AH31,"-"))</f>
        <v>-</v>
      </c>
      <c r="AH31" s="164">
        <f>IF(ISNUMBER(Collation!AH31),Collation!AH31,"-")</f>
        <v>0</v>
      </c>
      <c r="AI31" s="46" t="str">
        <f t="shared" si="5"/>
        <v>O</v>
      </c>
      <c r="AJ31" s="118" t="str">
        <f>Collation!AJ31</f>
        <v>n/a</v>
      </c>
      <c r="AK31" s="31" t="str">
        <f>Collation!AK31</f>
        <v>n/a</v>
      </c>
      <c r="AL31" s="119" t="str">
        <f>Collation!AL31</f>
        <v>n/a</v>
      </c>
      <c r="AM31" s="32"/>
      <c r="AN31" s="273">
        <f>IF(Collation!$AQ31=0,"-",IF(ISNUMBER(Collation!AN31),Collation!AN31/Collation!$R31,"-"))</f>
        <v>0.73734177215189878</v>
      </c>
      <c r="AO31" s="274">
        <f>IF(Collation!$AQ31=0,"-",IF(ISNUMBER(Collation!AO31),Collation!AO31/Collation!$S31,"-"))</f>
        <v>0.94871794871794868</v>
      </c>
      <c r="AP31" s="274" t="e">
        <f>IF(Collation!$AQ31=0,"-",IF(ISNUMBER(Collation!AP31),Collation!AP31/Collation!$T31,"-"))</f>
        <v>#DIV/0!</v>
      </c>
      <c r="AQ31" s="275">
        <f>IF(ISNUMBER(Collation!AQ31),(Collation!AN31+Collation!AO31+Collation!AP31)/(Collation!$R31+Collation!$S31+Collation!$T31),"-")</f>
        <v>0.76056338028169013</v>
      </c>
      <c r="AR31" s="32"/>
      <c r="AS31" s="273">
        <f>IF(Collation!$AU31=0,"-",IF(ISNUMBER(Collation!AS31),Collation!AS31/Collation!$R31,"-"))</f>
        <v>3.1645569620253167E-2</v>
      </c>
      <c r="AT31" s="274">
        <f>IF(Collation!$AU31=0,"-",IF(ISNUMBER(Collation!AT31),Collation!$AT31/(Collation!S31+Collation!T31),"-"))</f>
        <v>0</v>
      </c>
      <c r="AU31" s="275">
        <f>IF(ISNUMBER(Collation!AU31),(Collation!AU31)/(Collation!R31+Collation!S31+Collation!T31),"-")</f>
        <v>2.8169014084507043E-2</v>
      </c>
      <c r="AV31" s="275">
        <f>IF(ISNUMBER(Collation!U31),(Collation!AV31)/(Collation!U31),"-")</f>
        <v>0.21126760563380281</v>
      </c>
      <c r="AW31" s="4" t="s">
        <v>48</v>
      </c>
      <c r="AX31" s="196" t="s">
        <v>39</v>
      </c>
      <c r="AY31" s="190" t="str">
        <f t="shared" si="6"/>
        <v>not territorial</v>
      </c>
      <c r="AZ31" s="190" t="s">
        <v>39</v>
      </c>
      <c r="BA31" s="191" t="str">
        <f t="shared" si="7"/>
        <v>no prison in board</v>
      </c>
      <c r="BB31" s="190" t="s">
        <v>39</v>
      </c>
      <c r="BC31" s="197" t="str">
        <f t="shared" si="8"/>
        <v>not acute</v>
      </c>
    </row>
    <row r="32" spans="1:60" x14ac:dyDescent="0.3">
      <c r="A32" s="217" t="s">
        <v>21</v>
      </c>
      <c r="B32" s="2"/>
      <c r="C32" s="162">
        <f>IF(ISNUMBER(Collation!E32),Collation!C32/Collation!E32,"-")</f>
        <v>1</v>
      </c>
      <c r="D32" s="159" t="str">
        <f>IF(ISNUMBER(Collation!D32),Collation!D32/Collation!E32,"-")</f>
        <v>-</v>
      </c>
      <c r="E32" s="228">
        <f>IF(ISNUMBER(Collation!E32),Collation!E32,"-")</f>
        <v>1161</v>
      </c>
      <c r="G32" s="162" t="s">
        <v>52</v>
      </c>
      <c r="H32" s="159" t="s">
        <v>52</v>
      </c>
      <c r="I32" s="159" t="s">
        <v>52</v>
      </c>
      <c r="J32" s="159" t="s">
        <v>52</v>
      </c>
      <c r="K32" s="159" t="s">
        <v>52</v>
      </c>
      <c r="L32" s="159" t="s">
        <v>52</v>
      </c>
      <c r="M32" s="159" t="s">
        <v>52</v>
      </c>
      <c r="N32" s="159" t="s">
        <v>52</v>
      </c>
      <c r="O32" s="174" t="str">
        <f>Collation!O32</f>
        <v>n/a</v>
      </c>
      <c r="P32" s="263" t="s">
        <v>52</v>
      </c>
      <c r="Q32" s="168"/>
      <c r="R32" s="162">
        <f>IF(Collation!$U32=0,"-",IF(ISNUMBER(Collation!R32),Collation!R32/Collation!$U32,"-"))</f>
        <v>0.54780361757105944</v>
      </c>
      <c r="S32" s="159">
        <f>IF(Collation!$U32=0,"-",IF(ISNUMBER(Collation!S32),Collation!S32/Collation!$U32,"-"))</f>
        <v>0.41688199827734712</v>
      </c>
      <c r="T32" s="159">
        <f>IF(Collation!$U32=0,"-",IF(ISNUMBER(Collation!T32),Collation!T32/Collation!$U32,"-"))</f>
        <v>3.5314384151593457E-2</v>
      </c>
      <c r="U32" s="164">
        <f>IF(ISNUMBER(Collation!U32),Collation!U32,"-")</f>
        <v>1161</v>
      </c>
      <c r="V32" s="171"/>
      <c r="W32" s="162">
        <f>IF(Collation!$Z32=0,"-",IF(ISNUMBER(Collation!W32),Collation!W32/Collation!$Z32,"-"))</f>
        <v>0.43396226415094341</v>
      </c>
      <c r="X32" s="159">
        <f>IF(Collation!$Z32=0,"-",IF(ISNUMBER(Collation!X32),Collation!X32/Collation!$Z32,"-"))</f>
        <v>0.39622641509433965</v>
      </c>
      <c r="Y32" s="159">
        <f>IF(Collation!$Z32=0,"-",IF(ISNUMBER(Collation!Y32),Collation!Y32/Collation!$Z32,"-"))</f>
        <v>0.16981132075471697</v>
      </c>
      <c r="Z32" s="164">
        <f>IF(ISNUMBER(Collation!Z32),Collation!Z32,"-")</f>
        <v>636</v>
      </c>
      <c r="AA32" s="162">
        <f>IF(Collation!$AD32=0,"-",IF(ISNUMBER(Collation!AA32),Collation!AA32/Collation!$AD32,"-"))</f>
        <v>0.46487603305785125</v>
      </c>
      <c r="AB32" s="159">
        <f>IF(Collation!$AD32=0,"-",IF(ISNUMBER(Collation!AB32),Collation!AB32/Collation!$AD32,"-"))</f>
        <v>0.23760330578512398</v>
      </c>
      <c r="AC32" s="159">
        <f>IF(Collation!$AD32=0,"-",IF(ISNUMBER(Collation!AC32),Collation!AC32/Collation!$AD32,"-"))</f>
        <v>0.2975206611570248</v>
      </c>
      <c r="AD32" s="164">
        <f>IF(ISNUMBER(Collation!AD32),Collation!AD32,"-")</f>
        <v>484</v>
      </c>
      <c r="AE32" s="162">
        <f>IF(Collation!$AH32=0,"-",IF(ISNUMBER(Collation!AE32),Collation!AE32/Collation!$AH32,"-"))</f>
        <v>0.31707317073170732</v>
      </c>
      <c r="AF32" s="159">
        <f>IF(Collation!$AH32=0,"-",IF(ISNUMBER(Collation!AF32),Collation!AF32/Collation!$AH32,"-"))</f>
        <v>0.48780487804878048</v>
      </c>
      <c r="AG32" s="159">
        <f>IF(Collation!$AH32=0,"-",IF(ISNUMBER(Collation!AG32),Collation!AG32/Collation!$AH32,"-"))</f>
        <v>0.1951219512195122</v>
      </c>
      <c r="AH32" s="164">
        <f>IF(ISNUMBER(Collation!AH32),Collation!AH32,"-")</f>
        <v>41</v>
      </c>
      <c r="AI32" s="46" t="str">
        <f t="shared" si="5"/>
        <v>P</v>
      </c>
      <c r="AJ32" s="118" t="str">
        <f>Collation!AJ32</f>
        <v>n/a</v>
      </c>
      <c r="AK32" s="31" t="str">
        <f>Collation!AK32</f>
        <v>n/a</v>
      </c>
      <c r="AL32" s="119" t="str">
        <f>Collation!AL32</f>
        <v>n/a</v>
      </c>
      <c r="AM32" s="32"/>
      <c r="AN32" s="273">
        <f>IF(Collation!$AQ32=0,"-",IF(ISNUMBER(Collation!AN32),Collation!AN32/Collation!$R32,"-"))</f>
        <v>0.62893081761006286</v>
      </c>
      <c r="AO32" s="274">
        <f>IF(Collation!$AQ32=0,"-",IF(ISNUMBER(Collation!AO32),Collation!AO32/Collation!$S32,"-"))</f>
        <v>0.51859504132231404</v>
      </c>
      <c r="AP32" s="274">
        <f>IF(Collation!$AQ32=0,"-",IF(ISNUMBER(Collation!AP32),Collation!AP32/Collation!$T32,"-"))</f>
        <v>0.53658536585365857</v>
      </c>
      <c r="AQ32" s="275">
        <f>IF(ISNUMBER(Collation!AQ32),(Collation!AN32+Collation!AO32+Collation!AP32)/(Collation!$R32+Collation!$S32+Collation!$T32),"-")</f>
        <v>0.57967269595176574</v>
      </c>
      <c r="AR32" s="32"/>
      <c r="AS32" s="273" t="str">
        <f>IF(Collation!$AU32=0,"-",IF(ISNUMBER(Collation!AS32),Collation!AS32/Collation!$R32,"-"))</f>
        <v>-</v>
      </c>
      <c r="AT32" s="274" t="str">
        <f>IF(Collation!$AU32=0,"-",IF(ISNUMBER(Collation!AT32),Collation!$AT32/(Collation!S32+Collation!T32),"-"))</f>
        <v>-</v>
      </c>
      <c r="AU32" s="275">
        <f>IF(ISNUMBER(Collation!AU32),(Collation!AU32)/(Collation!R32+Collation!S32+Collation!T32),"-")</f>
        <v>0</v>
      </c>
      <c r="AV32" s="275">
        <f>IF(ISNUMBER(Collation!U32),(Collation!AV32)/(Collation!U32),"-")</f>
        <v>0.42032730404823426</v>
      </c>
      <c r="AW32" s="4" t="s">
        <v>48</v>
      </c>
      <c r="AX32" s="196" t="s">
        <v>39</v>
      </c>
      <c r="AY32" s="190" t="str">
        <f t="shared" si="6"/>
        <v>not territorial</v>
      </c>
      <c r="AZ32" s="190" t="s">
        <v>39</v>
      </c>
      <c r="BA32" s="191" t="str">
        <f t="shared" si="7"/>
        <v>no prison in board</v>
      </c>
      <c r="BB32" s="190" t="s">
        <v>39</v>
      </c>
      <c r="BC32" s="197" t="str">
        <f t="shared" si="8"/>
        <v>not acute</v>
      </c>
    </row>
    <row r="33" spans="1:55" ht="15" thickBot="1" x14ac:dyDescent="0.35">
      <c r="A33" s="217" t="s">
        <v>37</v>
      </c>
      <c r="B33" s="62"/>
      <c r="C33" s="162">
        <f>IF(ISNUMBER(Collation!E33),Collation!C33/Collation!E33,"-")</f>
        <v>1</v>
      </c>
      <c r="D33" s="173" t="str">
        <f>IF(ISNUMBER(Collation!D33),Collation!D33/Collation!E33,"-")</f>
        <v>-</v>
      </c>
      <c r="E33" s="230">
        <f>IF(ISNUMBER(Collation!E33),Collation!E33,"-")</f>
        <v>52</v>
      </c>
      <c r="G33" s="175" t="s">
        <v>52</v>
      </c>
      <c r="H33" s="160" t="s">
        <v>52</v>
      </c>
      <c r="I33" s="160" t="s">
        <v>52</v>
      </c>
      <c r="J33" s="160" t="s">
        <v>52</v>
      </c>
      <c r="K33" s="160" t="s">
        <v>52</v>
      </c>
      <c r="L33" s="160" t="s">
        <v>52</v>
      </c>
      <c r="M33" s="160" t="s">
        <v>52</v>
      </c>
      <c r="N33" s="160" t="s">
        <v>52</v>
      </c>
      <c r="O33" s="176" t="str">
        <f>Collation!O33</f>
        <v>n/a</v>
      </c>
      <c r="P33" s="264" t="s">
        <v>52</v>
      </c>
      <c r="Q33" s="170"/>
      <c r="R33" s="163">
        <f>IF(Collation!$U33=0,"-",IF(ISNUMBER(Collation!R33),Collation!R33/Collation!$U33,"-"))</f>
        <v>0.69767441860465118</v>
      </c>
      <c r="S33" s="173">
        <f>IF(Collation!$U33=0,"-",IF(ISNUMBER(Collation!S33),Collation!S33/Collation!$U33,"-"))</f>
        <v>0.16279069767441862</v>
      </c>
      <c r="T33" s="173">
        <f>IF(Collation!$U33=0,"-",IF(ISNUMBER(Collation!T33),Collation!T33/Collation!$U33,"-"))</f>
        <v>0.13953488372093023</v>
      </c>
      <c r="U33" s="165">
        <f>IF(ISNUMBER(Collation!U33),Collation!U33,"-")</f>
        <v>43</v>
      </c>
      <c r="V33" s="171"/>
      <c r="W33" s="163">
        <f>IF(Collation!$Z33=0,"-",IF(ISNUMBER(Collation!W33),Collation!W33/Collation!$Z33,"-"))</f>
        <v>0.23333333333333334</v>
      </c>
      <c r="X33" s="173">
        <f>IF(Collation!$Z33=0,"-",IF(ISNUMBER(Collation!X33),Collation!X33/Collation!$Z33,"-"))</f>
        <v>0.6333333333333333</v>
      </c>
      <c r="Y33" s="173">
        <f>IF(Collation!$Z33=0,"-",IF(ISNUMBER(Collation!Y33),Collation!Y33/Collation!$Z33,"-"))</f>
        <v>0.13333333333333333</v>
      </c>
      <c r="Z33" s="165">
        <f>IF(ISNUMBER(Collation!Z33),Collation!Z33,"-")</f>
        <v>30</v>
      </c>
      <c r="AA33" s="163">
        <f>IF(Collation!$AD33=0,"-",IF(ISNUMBER(Collation!AA33),Collation!AA33/Collation!$AD33,"-"))</f>
        <v>0.14285714285714285</v>
      </c>
      <c r="AB33" s="173">
        <f>IF(Collation!$AD33=0,"-",IF(ISNUMBER(Collation!AB33),Collation!AB33/Collation!$AD33,"-"))</f>
        <v>0.2857142857142857</v>
      </c>
      <c r="AC33" s="173">
        <f>IF(Collation!$AD33=0,"-",IF(ISNUMBER(Collation!AC33),Collation!AC33/Collation!$AD33,"-"))</f>
        <v>0.5714285714285714</v>
      </c>
      <c r="AD33" s="165">
        <f>IF(ISNUMBER(Collation!AD33),Collation!AD33,"-")</f>
        <v>7</v>
      </c>
      <c r="AE33" s="163">
        <f>IF(Collation!$AH33=0,"-",IF(ISNUMBER(Collation!AE33),Collation!AE33/Collation!$AH33,"-"))</f>
        <v>0</v>
      </c>
      <c r="AF33" s="173">
        <f>IF(Collation!$AH33=0,"-",IF(ISNUMBER(Collation!AF33),Collation!AF33/Collation!$AH33,"-"))</f>
        <v>0</v>
      </c>
      <c r="AG33" s="173">
        <f>IF(Collation!$AH33=0,"-",IF(ISNUMBER(Collation!AG33),Collation!AG33/Collation!$AH33,"-"))</f>
        <v>1</v>
      </c>
      <c r="AH33" s="165">
        <f>IF(ISNUMBER(Collation!AH33),Collation!AH33,"-")</f>
        <v>6</v>
      </c>
      <c r="AI33" s="46" t="str">
        <f t="shared" si="5"/>
        <v>P</v>
      </c>
      <c r="AJ33" s="244" t="str">
        <f>Collation!AJ33</f>
        <v>n/a</v>
      </c>
      <c r="AK33" s="245" t="str">
        <f>Collation!AK33</f>
        <v>n/a</v>
      </c>
      <c r="AL33" s="246" t="str">
        <f>Collation!AL33</f>
        <v>n/a</v>
      </c>
      <c r="AM33" s="37"/>
      <c r="AN33" s="276">
        <f>IF(Collation!$AQ33=0,"-",IF(ISNUMBER(Collation!AN33),Collation!AN33/Collation!$R33,"-"))</f>
        <v>0.96666666666666667</v>
      </c>
      <c r="AO33" s="277">
        <f>IF(Collation!$AQ33=0,"-",IF(ISNUMBER(Collation!AO33),Collation!AO33/Collation!$S33,"-"))</f>
        <v>0.7142857142857143</v>
      </c>
      <c r="AP33" s="277">
        <f>IF(Collation!$AQ33=0,"-",IF(ISNUMBER(Collation!AP33),Collation!AP33/Collation!$T33,"-"))</f>
        <v>0.5</v>
      </c>
      <c r="AQ33" s="278">
        <f>IF(ISNUMBER(Collation!AQ33),(Collation!AN33+Collation!AO33+Collation!AP33)/(Collation!$R33+Collation!$S33+Collation!$T33),"-")</f>
        <v>0.86046511627906974</v>
      </c>
      <c r="AR33" s="32"/>
      <c r="AS33" s="276">
        <f>IF(Collation!$AU33=0,"-",IF(ISNUMBER(Collation!AS33),Collation!AS33/Collation!$R33,"-"))</f>
        <v>3.3333333333333333E-2</v>
      </c>
      <c r="AT33" s="277">
        <f>IF(Collation!$AU33=0,"-",IF(ISNUMBER(Collation!AT33),Collation!$AT33/(Collation!S33+Collation!T33),"-"))</f>
        <v>0.38461538461538464</v>
      </c>
      <c r="AU33" s="278">
        <f>IF(ISNUMBER(Collation!AU33),(Collation!AU33)/(Collation!R33+Collation!S33+Collation!T33),"-")</f>
        <v>0.13953488372093023</v>
      </c>
      <c r="AV33" s="278">
        <f>IF(ISNUMBER(Collation!U33),(Collation!AV33)/(Collation!U33),"-")</f>
        <v>0</v>
      </c>
      <c r="AW33" s="4" t="s">
        <v>48</v>
      </c>
      <c r="AX33" s="252" t="s">
        <v>39</v>
      </c>
      <c r="AY33" s="253" t="str">
        <f t="shared" si="6"/>
        <v>not territorial</v>
      </c>
      <c r="AZ33" s="253" t="s">
        <v>39</v>
      </c>
      <c r="BA33" s="254" t="str">
        <f t="shared" si="7"/>
        <v>no prison in board</v>
      </c>
      <c r="BB33" s="253" t="s">
        <v>39</v>
      </c>
      <c r="BC33" s="255" t="str">
        <f t="shared" si="8"/>
        <v>not acute</v>
      </c>
    </row>
    <row r="34" spans="1:55" ht="15" thickBot="1" x14ac:dyDescent="0.35">
      <c r="A34" s="218" t="s">
        <v>112</v>
      </c>
      <c r="C34" s="166">
        <f>IF(ISNUMBER(Collation!E34),Collation!C34/Collation!E34,"-")</f>
        <v>1</v>
      </c>
      <c r="D34" s="214" t="str">
        <f>IF(ISNUMBER(Collation!D34),Collation!D34/Collation!E34,"-")</f>
        <v>-</v>
      </c>
      <c r="E34" s="220">
        <f>IF(ISNUMBER(Collation!E34),Collation!E34,"-")</f>
        <v>2122</v>
      </c>
      <c r="G34" s="177" t="s">
        <v>52</v>
      </c>
      <c r="H34" s="178" t="s">
        <v>52</v>
      </c>
      <c r="I34" s="178" t="s">
        <v>52</v>
      </c>
      <c r="J34" s="178" t="s">
        <v>52</v>
      </c>
      <c r="K34" s="178" t="s">
        <v>52</v>
      </c>
      <c r="L34" s="178" t="s">
        <v>52</v>
      </c>
      <c r="M34" s="178" t="s">
        <v>52</v>
      </c>
      <c r="N34" s="178" t="s">
        <v>52</v>
      </c>
      <c r="O34" s="179" t="str">
        <f>Collation!O34</f>
        <v>n/a</v>
      </c>
      <c r="P34" s="219" t="s">
        <v>52</v>
      </c>
      <c r="R34" s="177">
        <f>IF(Collation!$U34=0,"-",IF(ISNUMBER(Collation!R34),Collation!R34/Collation!$U34,"-"))</f>
        <v>0.53099858021769997</v>
      </c>
      <c r="S34" s="178">
        <f>IF(Collation!$U34=0,"-",IF(ISNUMBER(Collation!S34),Collation!S34/Collation!$U34,"-"))</f>
        <v>0.44344533838144817</v>
      </c>
      <c r="T34" s="178">
        <f>IF(Collation!$U34=0,"-",IF(ISNUMBER(Collation!T34),Collation!T34/Collation!$U34,"-"))</f>
        <v>2.555608140085187E-2</v>
      </c>
      <c r="U34" s="220">
        <f>IF(ISNUMBER(Collation!U34),Collation!U34,"-")</f>
        <v>2113</v>
      </c>
      <c r="W34" s="177">
        <f>IF(Collation!$Z34=0,"-",IF(ISNUMBER(Collation!W34),Collation!W34/Collation!$Z34,"-"))</f>
        <v>0.37217705510388438</v>
      </c>
      <c r="X34" s="178">
        <f>IF(Collation!$Z34=0,"-",IF(ISNUMBER(Collation!X34),Collation!X34/Collation!$Z34,"-"))</f>
        <v>0.46160794941282746</v>
      </c>
      <c r="Y34" s="178">
        <f>IF(Collation!$Z34=0,"-",IF(ISNUMBER(Collation!Y34),Collation!Y34/Collation!$Z34,"-"))</f>
        <v>0.16621499548328816</v>
      </c>
      <c r="Z34" s="220">
        <f>IF(ISNUMBER(Collation!Z34),Collation!Z34,"-")</f>
        <v>1107</v>
      </c>
      <c r="AA34" s="177">
        <f>IF(Collation!$AD34=0,"-",IF(ISNUMBER(Collation!AA34),Collation!AA34/Collation!$AD34,"-"))</f>
        <v>0.46743697478991597</v>
      </c>
      <c r="AB34" s="178">
        <f>IF(Collation!$AD34=0,"-",IF(ISNUMBER(Collation!AB34),Collation!AB34/Collation!$AD34,"-"))</f>
        <v>0.27836134453781514</v>
      </c>
      <c r="AC34" s="178">
        <f>IF(Collation!$AD34=0,"-",IF(ISNUMBER(Collation!AC34),Collation!AC34/Collation!$AD34,"-"))</f>
        <v>0.25420168067226889</v>
      </c>
      <c r="AD34" s="220">
        <f>IF(ISNUMBER(Collation!AD34),Collation!AD34,"-")</f>
        <v>952</v>
      </c>
      <c r="AE34" s="177">
        <f>IF(Collation!$AH34=0,"-",IF(ISNUMBER(Collation!AE34),Collation!AE34/Collation!$AH34,"-"))</f>
        <v>0.27777777777777779</v>
      </c>
      <c r="AF34" s="178">
        <f>IF(Collation!$AH34=0,"-",IF(ISNUMBER(Collation!AF34),Collation!AF34/Collation!$AH34,"-"))</f>
        <v>0.40740740740740738</v>
      </c>
      <c r="AG34" s="178">
        <f>IF(Collation!$AH34=0,"-",IF(ISNUMBER(Collation!AG34),Collation!AG34/Collation!$AH34,"-"))</f>
        <v>0.31481481481481483</v>
      </c>
      <c r="AH34" s="220">
        <f>IF(ISNUMBER(Collation!AH34),Collation!AH34,"-")</f>
        <v>54</v>
      </c>
      <c r="AJ34" s="236" t="s">
        <v>52</v>
      </c>
      <c r="AK34" s="237" t="s">
        <v>52</v>
      </c>
      <c r="AL34" s="238" t="s">
        <v>52</v>
      </c>
      <c r="AN34" s="281">
        <f>IF(Collation!$AQ34=0,"-",IF(ISNUMBER(Collation!AN34),Collation!AN34/Collation!$R34,"-"))</f>
        <v>0.69696969696969702</v>
      </c>
      <c r="AO34" s="282">
        <f>IF(Collation!$AQ34=0,"-",IF(ISNUMBER(Collation!AO34),Collation!AO34/Collation!$S34,"-"))</f>
        <v>0.71504802561366065</v>
      </c>
      <c r="AP34" s="282">
        <f>IF(Collation!$AQ34=0,"-",IF(ISNUMBER(Collation!AP34),Collation!AP34/Collation!$T34,"-"))</f>
        <v>0.53703703703703709</v>
      </c>
      <c r="AQ34" s="259">
        <f>IF(ISNUMBER(Collation!AQ34),(Collation!AN34+Collation!AO34+Collation!AP34)/(Collation!$R34+Collation!$S34+Collation!$T34),"-")</f>
        <v>0.70089919545669666</v>
      </c>
      <c r="AS34" s="281">
        <f>IF(Collation!$AU34=0,"-",IF(ISNUMBER(Collation!AS34),Collation!AS34/Collation!$R34,"-"))</f>
        <v>2.7629233511586453E-2</v>
      </c>
      <c r="AT34" s="282">
        <f>IF(Collation!$AU34=0,"-",IF(ISNUMBER(Collation!AT34),Collation!$AT34/(Collation!S34+Collation!T34),"-"))</f>
        <v>3.8345105953582238E-2</v>
      </c>
      <c r="AU34" s="259">
        <f>IF(ISNUMBER(Collation!AU34),(Collation!AU34)/(Collation!R34+Collation!S34+Collation!T34),"-")</f>
        <v>3.2654992901088503E-2</v>
      </c>
      <c r="AV34" s="299">
        <f>IF(ISNUMBER(Collation!U34),(Collation!AV34)/(Collation!U34),"-")</f>
        <v>0.26644581164221487</v>
      </c>
      <c r="BB34" s="250">
        <f>COUNTIF(BB26:BB33,"Acute")</f>
        <v>1</v>
      </c>
      <c r="BC34" s="250">
        <f>SUM(BC26:BC33)</f>
        <v>116</v>
      </c>
    </row>
    <row r="35" spans="1:55" ht="15" thickBot="1" x14ac:dyDescent="0.35"/>
    <row r="36" spans="1:55" ht="15" thickBot="1" x14ac:dyDescent="0.35">
      <c r="A36" s="105" t="s">
        <v>47</v>
      </c>
      <c r="B36" s="10"/>
      <c r="C36" s="260">
        <f>IF(Collation!$O36=0,"-",IF(ISNUMBER(Collation!C36),Collation!C36/Collation!$O36,"-"))</f>
        <v>2.8968413580977166</v>
      </c>
      <c r="D36" s="261">
        <f>IF(Collation!$O36=0,"-",IF(ISNUMBER(Collation!D36),Collation!D36/Collation!$O36,"-"))</f>
        <v>0.94061280018928195</v>
      </c>
      <c r="E36" s="220">
        <f>SUM(E8:E21)+SUM(E26:E33)</f>
        <v>32438</v>
      </c>
      <c r="G36" s="177">
        <f>IF(Collation!$O36=0,"-",IF(ISNUMBER(Collation!G36),Collation!G36/Collation!$O36,"-"))</f>
        <v>5.1342718561457473E-2</v>
      </c>
      <c r="H36" s="178">
        <f>IF(Collation!$O36=0,"-",IF(ISNUMBER(Collation!H36),Collation!H36/Collation!$O36,"-"))</f>
        <v>1.1356914704838518E-2</v>
      </c>
      <c r="I36" s="178">
        <f>IF(Collation!$O36=0,"-",IF(ISNUMBER(Collation!I36),Collation!I36/Collation!$O36,"-"))</f>
        <v>4.2588430143144446E-3</v>
      </c>
      <c r="J36" s="178">
        <f>IF(Collation!$O36=0,"-",IF(ISNUMBER(Collation!J36),Collation!J36/Collation!$O36,"-"))</f>
        <v>1.0647107535786111E-3</v>
      </c>
      <c r="K36" s="178">
        <f>IF(Collation!$O36=0,"-",IF(ISNUMBER(Collation!K36),Collation!K36/Collation!$O36,"-"))</f>
        <v>0.55353129066603568</v>
      </c>
      <c r="L36" s="178">
        <f>IF(Collation!$O36=0,"-",IF(ISNUMBER(Collation!L36),Collation!L36/Collation!$O36,"-"))</f>
        <v>5.3708742458298826E-2</v>
      </c>
      <c r="M36" s="178">
        <f>IF(Collation!$O36=0,"-",IF(ISNUMBER(Collation!M36),Collation!M36/Collation!$O36,"-"))</f>
        <v>2.7682479593043891E-2</v>
      </c>
      <c r="N36" s="178">
        <f>IF(Collation!$O36=0,"-",IF(ISNUMBER(Collation!N36),Collation!N36/Collation!$O36,"-"))</f>
        <v>0.29705430024843249</v>
      </c>
      <c r="O36" s="235">
        <f>SUM(O8:O21)+SUM(O26:O33)</f>
        <v>8453</v>
      </c>
      <c r="P36" s="259">
        <f>IF(Collation!E36=" ","-",IF(Collation!P36=0,"-",IF(AZ37="prison",Collation!P36/Collation!E36,"-")))</f>
        <v>0.17954251186879586</v>
      </c>
      <c r="Q36" s="169"/>
      <c r="R36" s="177">
        <f>IF(Collation!$U36=0,"-",IF(ISNUMBER(Collation!R36),Collation!R36/Collation!$U36,"-"))</f>
        <v>0.50221162185602775</v>
      </c>
      <c r="S36" s="178">
        <f>IF(Collation!$U36=0,"-",IF(ISNUMBER(Collation!S36),Collation!S36/Collation!$U36,"-"))</f>
        <v>0.38495229835212491</v>
      </c>
      <c r="T36" s="178">
        <f>IF(Collation!$U36=0,"-",IF(ISNUMBER(Collation!T36),Collation!T36/Collation!$U36,"-"))</f>
        <v>0.11283607979184736</v>
      </c>
      <c r="U36" s="220">
        <f>SUM(U8:U21)+SUM(U26:U33)</f>
        <v>23060</v>
      </c>
      <c r="V36" s="226"/>
      <c r="W36" s="177">
        <f>IF(Collation!$Z36=0,"-",IF(ISNUMBER(Collation!W36),Collation!W36/Collation!$Z36,"-"))</f>
        <v>0.31782811689434548</v>
      </c>
      <c r="X36" s="178">
        <f>IF(Collation!$Z36=0,"-",IF(ISNUMBER(Collation!X36),Collation!X36/Collation!$Z36,"-"))</f>
        <v>0.53882068130728</v>
      </c>
      <c r="Y36" s="178">
        <f>IF(Collation!$Z36=0,"-",IF(ISNUMBER(Collation!Y36),Collation!Y36/Collation!$Z36,"-"))</f>
        <v>0.14335120179837454</v>
      </c>
      <c r="Z36" s="220">
        <f>SUM(Z8:Z21)+SUM(Z26:Z33)</f>
        <v>11566</v>
      </c>
      <c r="AA36" s="177">
        <f>IF(Collation!$AD36=0,"-",IF(ISNUMBER(Collation!AA36),Collation!AA36/Collation!$AD36,"-"))</f>
        <v>0.3169140800719748</v>
      </c>
      <c r="AB36" s="178">
        <f>IF(Collation!$AD36=0,"-",IF(ISNUMBER(Collation!AB36),Collation!AB36/Collation!$AD36,"-"))</f>
        <v>0.35245164192532613</v>
      </c>
      <c r="AC36" s="178">
        <f>IF(Collation!$AD36=0,"-",IF(ISNUMBER(Collation!AC36),Collation!AC36/Collation!$AD36,"-"))</f>
        <v>0.33063427800269907</v>
      </c>
      <c r="AD36" s="220">
        <f>SUM(AD8:AD21)+SUM(AD26:AD33)</f>
        <v>8892</v>
      </c>
      <c r="AE36" s="177">
        <f>IF(Collation!$AH36=0,"-",IF(ISNUMBER(Collation!AE36),Collation!AE36/Collation!$AH36,"-"))</f>
        <v>0.33013066871637203</v>
      </c>
      <c r="AF36" s="178">
        <f>IF(Collation!$AH36=0,"-",IF(ISNUMBER(Collation!AF36),Collation!AF36/Collation!$AH36,"-"))</f>
        <v>0.4250576479631053</v>
      </c>
      <c r="AG36" s="178">
        <f>IF(Collation!$AH36=0,"-",IF(ISNUMBER(Collation!AG36),Collation!AG36/Collation!$AH36,"-"))</f>
        <v>0.24481168332052267</v>
      </c>
      <c r="AH36" s="220">
        <f>SUM(AH8:AH21)+SUM(AH26:AH33)</f>
        <v>2602</v>
      </c>
      <c r="AI36" s="46" t="str">
        <f>IF(SUM(AE36:AG36)=1,"P","O")</f>
        <v>P</v>
      </c>
      <c r="AJ36" s="236" t="s">
        <v>52</v>
      </c>
      <c r="AK36" s="237" t="s">
        <v>52</v>
      </c>
      <c r="AL36" s="238" t="s">
        <v>52</v>
      </c>
      <c r="AM36" s="36"/>
      <c r="AN36" s="177">
        <f>IF(Collation!$AQ36=0,"-",IF(ISNUMBER(Collation!AN36),Collation!AN36/Collation!$R36,"-"))</f>
        <v>0.79906743804507385</v>
      </c>
      <c r="AO36" s="178">
        <f>IF(Collation!$AQ36=0,"-",IF(ISNUMBER(Collation!AO36),Collation!AO36/Collation!$S36,"-"))</f>
        <v>0.53801960121662729</v>
      </c>
      <c r="AP36" s="178">
        <f>IF(Collation!$AQ36=0,"-",IF(ISNUMBER(Collation!AP36),Collation!AP36/Collation!$T36,"-"))</f>
        <v>0.44465795541890851</v>
      </c>
      <c r="AQ36" s="259">
        <f>IF(ISNUMBER(Collation!AQ36),(Collation!AN36+Collation!AO36+Collation!AP36)/(Collation!$R36+Collation!$S36+Collation!$T36),"-")</f>
        <v>0.65858629661751955</v>
      </c>
      <c r="AR36" s="36"/>
      <c r="AS36" s="177">
        <f>IF(Collation!$AU36=0,"-",IF(ISNUMBER(Collation!AS36),Collation!AS36/Collation!$R36,"-"))</f>
        <v>7.5036698039892921E-2</v>
      </c>
      <c r="AT36" s="178">
        <f>IF(Collation!$AU36=0,"-",IF(ISNUMBER(Collation!AT36),Collation!$AT36/(Collation!S36+Collation!T36),"-"))</f>
        <v>0.12623050788396201</v>
      </c>
      <c r="AU36" s="259">
        <f>IF(ISNUMBER(Collation!AU36),(Collation!AU36)/(Collation!R36+Collation!S36+Collation!T36),"-")</f>
        <v>0.100520381613183</v>
      </c>
      <c r="AV36" s="299">
        <f>IF(ISNUMBER(Collation!U36),(Collation!AV36)/(Collation!U36),"-")</f>
        <v>0.24089332176929748</v>
      </c>
      <c r="AW36" s="4" t="s">
        <v>48</v>
      </c>
      <c r="AX36" s="256">
        <f>COUNTIF(AX8:AX33,"Territorial")</f>
        <v>14</v>
      </c>
      <c r="AY36" s="257">
        <f>SUM(AY8:AY21)+SUM(AY26:AY33)</f>
        <v>30316</v>
      </c>
      <c r="AZ36" s="257">
        <f>COUNTIF(AZ8:AZ33,"Prison")</f>
        <v>10</v>
      </c>
      <c r="BA36" s="257">
        <f>SUM(BA8:BA21)+SUM(BA26:BA33)</f>
        <v>27703</v>
      </c>
      <c r="BB36" s="257">
        <f>COUNTIF(BB8:BB33,"Acute")</f>
        <v>14</v>
      </c>
      <c r="BC36" s="258">
        <f>SUM(BC8:BC21)+SUM(BC26:BC33)</f>
        <v>30378</v>
      </c>
    </row>
    <row r="37" spans="1:55" hidden="1" x14ac:dyDescent="0.3">
      <c r="A37" s="20" t="s">
        <v>36</v>
      </c>
      <c r="B37" s="10"/>
      <c r="C37" s="10"/>
      <c r="D37" s="10"/>
      <c r="E37" s="18">
        <f>COUNTIF(E8:E33,"=-")</f>
        <v>0</v>
      </c>
      <c r="F37" s="18"/>
      <c r="G37" s="18"/>
      <c r="H37" s="18"/>
      <c r="I37" s="18"/>
      <c r="J37" s="18"/>
      <c r="K37" s="18"/>
      <c r="L37" s="18"/>
      <c r="M37" s="18"/>
      <c r="N37" s="18"/>
      <c r="O37" s="18"/>
      <c r="P37" s="18"/>
      <c r="Q37" s="94"/>
      <c r="R37" s="18">
        <f t="shared" ref="R37:AB37" si="9">COUNTIF(R8:R33,"=-")</f>
        <v>1</v>
      </c>
      <c r="S37" s="18">
        <f t="shared" si="9"/>
        <v>1</v>
      </c>
      <c r="T37" s="18">
        <f t="shared" si="9"/>
        <v>1</v>
      </c>
      <c r="U37" s="18">
        <f t="shared" si="9"/>
        <v>0</v>
      </c>
      <c r="V37" s="94"/>
      <c r="W37" s="18">
        <f t="shared" si="9"/>
        <v>1</v>
      </c>
      <c r="X37" s="18">
        <f t="shared" si="9"/>
        <v>1</v>
      </c>
      <c r="Y37" s="18">
        <f t="shared" si="9"/>
        <v>1</v>
      </c>
      <c r="Z37" s="18">
        <f t="shared" si="9"/>
        <v>0</v>
      </c>
      <c r="AA37" s="18">
        <f t="shared" si="9"/>
        <v>1</v>
      </c>
      <c r="AB37" s="18">
        <f t="shared" si="9"/>
        <v>1</v>
      </c>
      <c r="AC37" s="27"/>
      <c r="AD37" s="18">
        <f>COUNTIF(AD8:AD33,"=-")</f>
        <v>0</v>
      </c>
      <c r="AE37" s="18">
        <f>COUNTIF(AE8:AE33,"=-")</f>
        <v>4</v>
      </c>
      <c r="AF37" s="18">
        <f>COUNTIF(AF8:AF33,"=-")</f>
        <v>4</v>
      </c>
      <c r="AG37" s="18">
        <f>COUNTIF(AG8:AG33,"=-")</f>
        <v>4</v>
      </c>
      <c r="AH37" s="18"/>
      <c r="AI37" s="32"/>
      <c r="AJ37" s="18">
        <f>COUNTIF(AJ8:AJ33,"=-")</f>
        <v>0</v>
      </c>
      <c r="AK37" s="18">
        <f>COUNTIF(AK8:AK33,"=-")</f>
        <v>0</v>
      </c>
      <c r="AL37" s="18">
        <f>COUNTIF(AL8:AL33,"=-")</f>
        <v>0</v>
      </c>
      <c r="AM37" s="32"/>
      <c r="AN37" s="18">
        <f>COUNTIF(AN8:AN33,"=-")</f>
        <v>1</v>
      </c>
      <c r="AO37" s="18">
        <f>COUNTIF(AO8:AO33,"=-")</f>
        <v>1</v>
      </c>
      <c r="AP37" s="18">
        <f>COUNTIF(AP8:AP33,"=-")</f>
        <v>1</v>
      </c>
      <c r="AQ37" s="18"/>
      <c r="AR37" s="18"/>
      <c r="AS37" s="18">
        <f>COUNTIF(AS8:AS33,"=-")</f>
        <v>4</v>
      </c>
      <c r="AT37" s="18">
        <f>COUNTIF(AT8:AT33,"=-")</f>
        <v>4</v>
      </c>
      <c r="AW37" s="4" t="s">
        <v>48</v>
      </c>
      <c r="AZ37" s="41" t="s">
        <v>43</v>
      </c>
    </row>
    <row r="38" spans="1:55" x14ac:dyDescent="0.3">
      <c r="A38" s="17">
        <f>Collation!A37</f>
        <v>0</v>
      </c>
    </row>
    <row r="39" spans="1:55" x14ac:dyDescent="0.3">
      <c r="A39" s="44">
        <f>Collation!A38</f>
        <v>0</v>
      </c>
    </row>
    <row r="41" spans="1:55" x14ac:dyDescent="0.3">
      <c r="A41" s="1"/>
    </row>
    <row r="42" spans="1:55" hidden="1" x14ac:dyDescent="0.3">
      <c r="A42" s="8" t="s">
        <v>32</v>
      </c>
    </row>
    <row r="43" spans="1:55" hidden="1" x14ac:dyDescent="0.3">
      <c r="A43" s="13" t="s">
        <v>31</v>
      </c>
    </row>
    <row r="44" spans="1:55" hidden="1" x14ac:dyDescent="0.3">
      <c r="A44" s="13" t="s">
        <v>28</v>
      </c>
    </row>
    <row r="45" spans="1:55" hidden="1" x14ac:dyDescent="0.3">
      <c r="A45" s="13" t="s">
        <v>29</v>
      </c>
    </row>
    <row r="46" spans="1:55" hidden="1" x14ac:dyDescent="0.3">
      <c r="A46" s="13" t="s">
        <v>30</v>
      </c>
    </row>
    <row r="47" spans="1:55" hidden="1" x14ac:dyDescent="0.3">
      <c r="A47" s="1"/>
      <c r="AC47" s="14"/>
    </row>
    <row r="48" spans="1:55" hidden="1" x14ac:dyDescent="0.3"/>
    <row r="49" spans="31:31" x14ac:dyDescent="0.3">
      <c r="AE49" s="1"/>
    </row>
  </sheetData>
  <mergeCells count="9">
    <mergeCell ref="AN3:AQ3"/>
    <mergeCell ref="AS3:AU3"/>
    <mergeCell ref="AX3:BC3"/>
    <mergeCell ref="AJ3:AL3"/>
    <mergeCell ref="G1:O1"/>
    <mergeCell ref="G2:J2"/>
    <mergeCell ref="K2:N2"/>
    <mergeCell ref="R3:U3"/>
    <mergeCell ref="W3:AH3"/>
  </mergeCells>
  <conditionalFormatting sqref="AI26:AI33 AI8:AI22 AI36">
    <cfRule type="cellIs" dxfId="0" priority="5" operator="equal">
      <formula>"all good"</formula>
    </cfRule>
  </conditionalFormatting>
  <pageMargins left="0.11811023622047245" right="0.11811023622047245" top="0.22" bottom="0.74803149606299213" header="0.17" footer="0.31496062992125984"/>
  <pageSetup paperSize="9" scale="6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70"/>
  <sheetViews>
    <sheetView workbookViewId="0"/>
  </sheetViews>
  <sheetFormatPr defaultRowHeight="14.4" x14ac:dyDescent="0.3"/>
  <cols>
    <col min="2" max="2" width="58.296875" customWidth="1"/>
  </cols>
  <sheetData>
    <row r="1" spans="2:13" x14ac:dyDescent="0.3">
      <c r="B1" s="16" t="s">
        <v>100</v>
      </c>
      <c r="I1" s="65" t="s">
        <v>101</v>
      </c>
      <c r="J1" s="64"/>
      <c r="K1" s="64"/>
      <c r="L1" s="64"/>
      <c r="M1" s="64" t="s">
        <v>108</v>
      </c>
    </row>
    <row r="2" spans="2:13" x14ac:dyDescent="0.3">
      <c r="B2" s="47" t="s">
        <v>54</v>
      </c>
      <c r="M2" s="64" t="s">
        <v>107</v>
      </c>
    </row>
    <row r="3" spans="2:13" x14ac:dyDescent="0.3">
      <c r="B3" s="48"/>
    </row>
    <row r="4" spans="2:13" x14ac:dyDescent="0.3">
      <c r="B4" s="49" t="s">
        <v>55</v>
      </c>
    </row>
    <row r="5" spans="2:13" x14ac:dyDescent="0.3">
      <c r="B5" s="48"/>
    </row>
    <row r="6" spans="2:13" x14ac:dyDescent="0.3">
      <c r="B6" s="50" t="s">
        <v>56</v>
      </c>
      <c r="C6" s="51">
        <v>20352</v>
      </c>
      <c r="J6" s="58">
        <f>SUM(Collation!C8:C10,Collation!C11:C14,Collation!C15:C17,Collation!C18:C21)</f>
        <v>22365</v>
      </c>
    </row>
    <row r="7" spans="2:13" x14ac:dyDescent="0.3">
      <c r="B7" s="50" t="s">
        <v>57</v>
      </c>
      <c r="C7" s="51">
        <v>2527</v>
      </c>
      <c r="J7" s="58">
        <f>SUM(Collation!C26:C33)</f>
        <v>2122</v>
      </c>
    </row>
    <row r="8" spans="2:13" x14ac:dyDescent="0.3">
      <c r="B8" s="50" t="s">
        <v>58</v>
      </c>
      <c r="C8" s="51">
        <v>8238</v>
      </c>
      <c r="J8" s="58">
        <f>SUM(Collation!K22:N22)</f>
        <v>7878</v>
      </c>
    </row>
    <row r="9" spans="2:13" x14ac:dyDescent="0.3">
      <c r="B9" s="52" t="s">
        <v>59</v>
      </c>
      <c r="C9" s="51">
        <v>31117</v>
      </c>
      <c r="J9" s="53">
        <f>SUM(J6:J8)</f>
        <v>32365</v>
      </c>
    </row>
    <row r="11" spans="2:13" x14ac:dyDescent="0.3">
      <c r="B11" s="47" t="s">
        <v>60</v>
      </c>
    </row>
    <row r="12" spans="2:13" x14ac:dyDescent="0.3">
      <c r="B12" s="48"/>
    </row>
    <row r="13" spans="2:13" x14ac:dyDescent="0.3">
      <c r="B13" s="49" t="s">
        <v>61</v>
      </c>
    </row>
    <row r="14" spans="2:13" x14ac:dyDescent="0.3">
      <c r="B14" s="48"/>
    </row>
    <row r="15" spans="2:13" ht="46.65" x14ac:dyDescent="0.3">
      <c r="B15" s="52" t="s">
        <v>62</v>
      </c>
      <c r="C15" s="52" t="s">
        <v>63</v>
      </c>
      <c r="D15" s="52" t="s">
        <v>64</v>
      </c>
      <c r="J15" s="52" t="s">
        <v>63</v>
      </c>
      <c r="K15" s="52" t="s">
        <v>64</v>
      </c>
    </row>
    <row r="16" spans="2:13" x14ac:dyDescent="0.3">
      <c r="B16" s="50" t="s">
        <v>65</v>
      </c>
      <c r="C16" s="54">
        <v>11151</v>
      </c>
      <c r="D16" s="55">
        <v>0.48</v>
      </c>
      <c r="J16" s="60">
        <f>SUM(Collation!R8:R21)+SUM(Collation!R26:R33)</f>
        <v>11581</v>
      </c>
      <c r="K16" s="59">
        <f>J16/J19</f>
        <v>0.50221162185602775</v>
      </c>
    </row>
    <row r="17" spans="2:11" x14ac:dyDescent="0.3">
      <c r="B17" s="50" t="s">
        <v>66</v>
      </c>
      <c r="C17" s="54">
        <v>10920</v>
      </c>
      <c r="D17" s="55">
        <v>0.47</v>
      </c>
      <c r="E17" s="33"/>
      <c r="J17" s="60">
        <f>SUM(Collation!S8:S21)+SUM(Collation!S26:S33)</f>
        <v>8877</v>
      </c>
      <c r="K17" s="59">
        <f>J17/J19</f>
        <v>0.38495229835212491</v>
      </c>
    </row>
    <row r="18" spans="2:11" x14ac:dyDescent="0.3">
      <c r="B18" s="50" t="s">
        <v>67</v>
      </c>
      <c r="C18" s="54">
        <v>1154</v>
      </c>
      <c r="D18" s="55">
        <v>0.05</v>
      </c>
      <c r="J18" s="60">
        <f>SUM(Collation!T8:T21)+SUM(Collation!T26:T33)</f>
        <v>2602</v>
      </c>
      <c r="K18" s="59">
        <f>J18/J19</f>
        <v>0.11283607979184736</v>
      </c>
    </row>
    <row r="19" spans="2:11" x14ac:dyDescent="0.3">
      <c r="B19" s="52" t="s">
        <v>68</v>
      </c>
      <c r="C19" s="51">
        <v>23225</v>
      </c>
      <c r="D19" s="56"/>
      <c r="J19" s="53">
        <f>SUM(J16:J18)</f>
        <v>23060</v>
      </c>
      <c r="K19" s="56"/>
    </row>
    <row r="20" spans="2:11" x14ac:dyDescent="0.3">
      <c r="B20" s="48"/>
    </row>
    <row r="21" spans="2:11" x14ac:dyDescent="0.3">
      <c r="B21" s="47" t="s">
        <v>69</v>
      </c>
    </row>
    <row r="22" spans="2:11" x14ac:dyDescent="0.3">
      <c r="B22" s="48"/>
    </row>
    <row r="23" spans="2:11" x14ac:dyDescent="0.3">
      <c r="B23" s="49" t="s">
        <v>70</v>
      </c>
    </row>
    <row r="24" spans="2:11" x14ac:dyDescent="0.3">
      <c r="B24" s="48"/>
    </row>
    <row r="25" spans="2:11" x14ac:dyDescent="0.3">
      <c r="B25" s="49" t="s">
        <v>71</v>
      </c>
    </row>
    <row r="26" spans="2:11" x14ac:dyDescent="0.3">
      <c r="B26" s="48"/>
    </row>
    <row r="27" spans="2:11" ht="58.2" x14ac:dyDescent="0.3">
      <c r="B27" s="50"/>
      <c r="C27" s="52" t="s">
        <v>72</v>
      </c>
      <c r="J27" s="52" t="s">
        <v>102</v>
      </c>
      <c r="K27" s="52" t="s">
        <v>72</v>
      </c>
    </row>
    <row r="28" spans="2:11" x14ac:dyDescent="0.3">
      <c r="B28" s="50" t="s">
        <v>73</v>
      </c>
      <c r="C28" s="57">
        <v>0.28000000000000003</v>
      </c>
      <c r="J28" s="60">
        <f>Collation!W36</f>
        <v>3676</v>
      </c>
      <c r="K28" s="61">
        <f>J28/J31</f>
        <v>0.31741645799153784</v>
      </c>
    </row>
    <row r="29" spans="2:11" x14ac:dyDescent="0.3">
      <c r="B29" s="50" t="s">
        <v>74</v>
      </c>
      <c r="C29" s="57">
        <v>0.45</v>
      </c>
      <c r="J29" s="60">
        <f>Collation!X36</f>
        <v>6232</v>
      </c>
      <c r="K29" s="61">
        <f>J29/J31</f>
        <v>0.53812278732406527</v>
      </c>
    </row>
    <row r="30" spans="2:11" x14ac:dyDescent="0.3">
      <c r="B30" s="50" t="s">
        <v>75</v>
      </c>
      <c r="C30" s="57">
        <v>0.14000000000000001</v>
      </c>
      <c r="J30" s="60">
        <f>Collation!Y36</f>
        <v>1658</v>
      </c>
      <c r="K30" s="61">
        <f>J30/J31</f>
        <v>0.14316552974699939</v>
      </c>
    </row>
    <row r="31" spans="2:11" x14ac:dyDescent="0.3">
      <c r="B31" s="48"/>
      <c r="J31" s="60">
        <f>SUM(Collation!R8:R21)+SUM(Collation!R26:R33)</f>
        <v>11581</v>
      </c>
    </row>
    <row r="32" spans="2:11" x14ac:dyDescent="0.3">
      <c r="B32" s="49" t="s">
        <v>76</v>
      </c>
    </row>
    <row r="33" spans="2:14" x14ac:dyDescent="0.3">
      <c r="B33" s="48"/>
    </row>
    <row r="34" spans="2:14" ht="58.2" x14ac:dyDescent="0.3">
      <c r="B34" s="50"/>
      <c r="C34" s="52" t="s">
        <v>77</v>
      </c>
      <c r="J34" s="52" t="s">
        <v>103</v>
      </c>
      <c r="K34" s="52" t="s">
        <v>77</v>
      </c>
      <c r="M34" s="62"/>
      <c r="N34" s="62"/>
    </row>
    <row r="35" spans="2:14" x14ac:dyDescent="0.3">
      <c r="B35" s="50" t="s">
        <v>78</v>
      </c>
      <c r="C35" s="57">
        <v>0.28000000000000003</v>
      </c>
      <c r="J35" s="60">
        <f>Collation!AA36</f>
        <v>2818</v>
      </c>
      <c r="K35" s="61">
        <f>J35/J38</f>
        <v>0.31744958882505353</v>
      </c>
      <c r="M35" s="62"/>
      <c r="N35" s="63"/>
    </row>
    <row r="36" spans="2:14" x14ac:dyDescent="0.3">
      <c r="B36" s="50" t="s">
        <v>79</v>
      </c>
      <c r="C36" s="57">
        <v>0.34</v>
      </c>
      <c r="J36" s="60">
        <f>Collation!AB36</f>
        <v>3134</v>
      </c>
      <c r="K36" s="61">
        <f>J36/J38</f>
        <v>0.35304720063084377</v>
      </c>
      <c r="M36" s="62"/>
      <c r="N36" s="63"/>
    </row>
    <row r="37" spans="2:14" x14ac:dyDescent="0.3">
      <c r="B37" s="50" t="s">
        <v>80</v>
      </c>
      <c r="C37" s="57">
        <v>0.26</v>
      </c>
      <c r="J37" s="60">
        <f>Collation!AC36</f>
        <v>2940</v>
      </c>
      <c r="K37" s="61">
        <f>J37/J38</f>
        <v>0.33119297059817504</v>
      </c>
      <c r="M37" s="62"/>
      <c r="N37" s="63"/>
    </row>
    <row r="38" spans="2:14" x14ac:dyDescent="0.3">
      <c r="B38" s="48"/>
      <c r="J38" s="60">
        <f>SUM(Collation!S8:S21)+SUM(Collation!S26:S33)</f>
        <v>8877</v>
      </c>
      <c r="K38" s="33"/>
      <c r="M38" s="62"/>
      <c r="N38" s="62"/>
    </row>
    <row r="39" spans="2:14" x14ac:dyDescent="0.3">
      <c r="B39" s="49" t="s">
        <v>81</v>
      </c>
      <c r="K39" s="33"/>
    </row>
    <row r="40" spans="2:14" x14ac:dyDescent="0.3">
      <c r="B40" s="48"/>
      <c r="K40" s="33"/>
    </row>
    <row r="41" spans="2:14" ht="69.7" x14ac:dyDescent="0.3">
      <c r="B41" s="50"/>
      <c r="C41" s="52" t="s">
        <v>82</v>
      </c>
      <c r="J41" s="52" t="s">
        <v>104</v>
      </c>
      <c r="K41" s="52" t="s">
        <v>82</v>
      </c>
    </row>
    <row r="42" spans="2:14" x14ac:dyDescent="0.3">
      <c r="B42" s="50" t="s">
        <v>83</v>
      </c>
      <c r="C42" s="57">
        <v>0.28000000000000003</v>
      </c>
      <c r="J42" s="60">
        <f>Collation!AE36</f>
        <v>859</v>
      </c>
      <c r="K42" s="61">
        <f>J42/J45</f>
        <v>0.33013066871637203</v>
      </c>
    </row>
    <row r="43" spans="2:14" x14ac:dyDescent="0.3">
      <c r="B43" s="50" t="s">
        <v>84</v>
      </c>
      <c r="C43" s="57">
        <v>0.36</v>
      </c>
      <c r="J43" s="60">
        <f>Collation!AF36</f>
        <v>1106</v>
      </c>
      <c r="K43" s="61">
        <f>J43/J45</f>
        <v>0.4250576479631053</v>
      </c>
    </row>
    <row r="44" spans="2:14" x14ac:dyDescent="0.3">
      <c r="B44" s="50" t="s">
        <v>85</v>
      </c>
      <c r="C44" s="57">
        <v>0.23</v>
      </c>
      <c r="J44" s="60">
        <f>Collation!AH36</f>
        <v>2602</v>
      </c>
      <c r="K44" s="61">
        <f>J44/J45</f>
        <v>1</v>
      </c>
    </row>
    <row r="45" spans="2:14" x14ac:dyDescent="0.3">
      <c r="B45" s="48"/>
      <c r="J45" s="60">
        <f>SUM(Collation!T8:T21)+SUM(Collation!T26:T33)</f>
        <v>2602</v>
      </c>
    </row>
    <row r="46" spans="2:14" x14ac:dyDescent="0.3">
      <c r="B46" s="47" t="s">
        <v>86</v>
      </c>
    </row>
    <row r="47" spans="2:14" x14ac:dyDescent="0.3">
      <c r="B47" s="48"/>
    </row>
    <row r="48" spans="2:14" x14ac:dyDescent="0.3">
      <c r="B48" s="49" t="s">
        <v>87</v>
      </c>
    </row>
    <row r="49" spans="2:11" x14ac:dyDescent="0.3">
      <c r="B49" s="48"/>
    </row>
    <row r="50" spans="2:11" x14ac:dyDescent="0.3">
      <c r="B50" s="47" t="s">
        <v>88</v>
      </c>
    </row>
    <row r="51" spans="2:11" x14ac:dyDescent="0.3">
      <c r="B51" s="48"/>
    </row>
    <row r="52" spans="2:11" x14ac:dyDescent="0.3">
      <c r="B52" s="49" t="s">
        <v>89</v>
      </c>
    </row>
    <row r="53" spans="2:11" x14ac:dyDescent="0.3">
      <c r="B53" s="48"/>
    </row>
    <row r="54" spans="2:11" x14ac:dyDescent="0.3">
      <c r="B54" s="49" t="s">
        <v>90</v>
      </c>
    </row>
    <row r="55" spans="2:11" x14ac:dyDescent="0.3">
      <c r="B55" s="48"/>
    </row>
    <row r="56" spans="2:11" ht="58.2" x14ac:dyDescent="0.3">
      <c r="B56" s="50"/>
      <c r="C56" s="52" t="s">
        <v>91</v>
      </c>
      <c r="I56" s="52" t="s">
        <v>105</v>
      </c>
      <c r="J56" s="52" t="s">
        <v>106</v>
      </c>
      <c r="K56" s="52" t="s">
        <v>91</v>
      </c>
    </row>
    <row r="57" spans="2:11" x14ac:dyDescent="0.3">
      <c r="B57" s="50" t="s">
        <v>92</v>
      </c>
      <c r="C57" s="55">
        <v>0.74</v>
      </c>
      <c r="I57" s="60">
        <f>SUM(Collation!R8:R21)+SUM(Collation!R26:R33)</f>
        <v>11581</v>
      </c>
      <c r="J57" s="60">
        <f>Collation!AN36</f>
        <v>9254</v>
      </c>
      <c r="K57" s="59">
        <f>J57/I57</f>
        <v>0.79906743804507385</v>
      </c>
    </row>
    <row r="58" spans="2:11" x14ac:dyDescent="0.3">
      <c r="B58" s="50" t="s">
        <v>93</v>
      </c>
      <c r="C58" s="55">
        <v>0.53</v>
      </c>
      <c r="I58" s="60">
        <f>SUM(Collation!S8:S21)+SUM(Collation!S26:S33)</f>
        <v>8877</v>
      </c>
      <c r="J58" s="60">
        <f>Collation!AO36</f>
        <v>4776</v>
      </c>
      <c r="K58" s="59">
        <f t="shared" ref="K58:K59" si="0">J58/I58</f>
        <v>0.53801960121662729</v>
      </c>
    </row>
    <row r="59" spans="2:11" x14ac:dyDescent="0.3">
      <c r="B59" s="50" t="s">
        <v>94</v>
      </c>
      <c r="C59" s="55">
        <v>0.56000000000000005</v>
      </c>
      <c r="I59" s="60">
        <f>SUM(Collation!T8:T21)+SUM(Collation!T26:T33)</f>
        <v>2602</v>
      </c>
      <c r="J59" s="60">
        <f>Collation!AQ36</f>
        <v>15187</v>
      </c>
      <c r="K59" s="59">
        <f t="shared" si="0"/>
        <v>5.8366641045349734</v>
      </c>
    </row>
    <row r="60" spans="2:11" x14ac:dyDescent="0.3">
      <c r="B60" s="48"/>
    </row>
    <row r="61" spans="2:11" x14ac:dyDescent="0.3">
      <c r="B61" s="47" t="s">
        <v>95</v>
      </c>
    </row>
    <row r="62" spans="2:11" x14ac:dyDescent="0.3">
      <c r="B62" s="48"/>
    </row>
    <row r="63" spans="2:11" x14ac:dyDescent="0.3">
      <c r="B63" s="49" t="s">
        <v>96</v>
      </c>
    </row>
    <row r="64" spans="2:11" x14ac:dyDescent="0.3">
      <c r="B64" s="48"/>
    </row>
    <row r="65" spans="2:11" x14ac:dyDescent="0.3">
      <c r="B65" s="49" t="s">
        <v>97</v>
      </c>
    </row>
    <row r="66" spans="2:11" x14ac:dyDescent="0.3">
      <c r="B66" s="48"/>
    </row>
    <row r="67" spans="2:11" ht="46.65" x14ac:dyDescent="0.3">
      <c r="B67" s="50"/>
      <c r="C67" s="52" t="s">
        <v>91</v>
      </c>
      <c r="J67" s="52" t="s">
        <v>105</v>
      </c>
      <c r="K67" s="52" t="s">
        <v>91</v>
      </c>
    </row>
    <row r="68" spans="2:11" x14ac:dyDescent="0.3">
      <c r="B68" s="50" t="s">
        <v>98</v>
      </c>
      <c r="C68" s="55">
        <v>0.08</v>
      </c>
      <c r="I68" s="60">
        <f>SUM(Collation!R8:R21)+SUM(Collation!R26:R33)</f>
        <v>11581</v>
      </c>
      <c r="J68" s="60">
        <f>Collation!AS36</f>
        <v>869</v>
      </c>
      <c r="K68" s="59">
        <f>J68/I68</f>
        <v>7.5036698039892921E-2</v>
      </c>
    </row>
    <row r="69" spans="2:11" x14ac:dyDescent="0.3">
      <c r="B69" s="50" t="s">
        <v>99</v>
      </c>
      <c r="C69" s="55">
        <v>0.21</v>
      </c>
      <c r="I69" s="60">
        <f>SUM(Collation!S8:S21)+SUM(Collation!S26:S33)+SUM(Collation!T8:T21)+SUM(Collation!T26:T33)</f>
        <v>11479</v>
      </c>
      <c r="J69" s="60">
        <f>Collation!AU36</f>
        <v>2318</v>
      </c>
      <c r="K69" s="59">
        <f>J69/I69</f>
        <v>0.20193396637337746</v>
      </c>
    </row>
    <row r="70" spans="2:11" x14ac:dyDescent="0.3">
      <c r="I70" s="60">
        <f>SUM(I68:I69)</f>
        <v>23060</v>
      </c>
      <c r="J70" s="66"/>
      <c r="K70" s="67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5</vt:i4>
      </vt:variant>
    </vt:vector>
  </HeadingPairs>
  <TitlesOfParts>
    <vt:vector size="9" baseType="lpstr">
      <vt:lpstr>Collation</vt:lpstr>
      <vt:lpstr>Errors</vt:lpstr>
      <vt:lpstr>Percentages</vt:lpstr>
      <vt:lpstr>Analyst Calculations</vt:lpstr>
      <vt:lpstr>Collation!Print_Area</vt:lpstr>
      <vt:lpstr>Errors!Print_Area</vt:lpstr>
      <vt:lpstr>Percentages!Print_Area</vt:lpstr>
      <vt:lpstr>Collation!Print_Titles</vt:lpstr>
      <vt:lpstr>Errors!Print_Titles</vt:lpstr>
    </vt:vector>
  </TitlesOfParts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DatixWeb Excel export</dc:title>
  <dc:subject>DatixWeb Excel export</dc:subject>
  <dc:creator>Jean Sneddon PHI</dc:creator>
  <dc:description>DatixWeb Excel export</dc:description>
  <cp:lastModifiedBy>u418445</cp:lastModifiedBy>
  <cp:lastPrinted>2019-04-16T10:09:12Z</cp:lastPrinted>
  <dcterms:created xsi:type="dcterms:W3CDTF">2016-12-15T11:34:06Z</dcterms:created>
  <dcterms:modified xsi:type="dcterms:W3CDTF">2020-11-24T11:39:29Z</dcterms:modified>
</cp:coreProperties>
</file>