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stats\MentalHealth3\Psychological Therapies\Publication\20210907\Excel\Publication\password protected\"/>
    </mc:Choice>
  </mc:AlternateContent>
  <workbookProtection workbookAlgorithmName="SHA-512" workbookHashValue="f+kjI506LTvLKSGAsa2l1YzSDmwQrhkJ4tSI6r4W7XftcdBAG7jX3MeSIS9lN5BwxKRQIr/Blhaw42lyldae9g==" workbookSaltValue="C7nUkBZ0/N4CIZsA24J15A==" workbookSpinCount="100000" lockStructure="1"/>
  <bookViews>
    <workbookView xWindow="0" yWindow="0" windowWidth="20490" windowHeight="7620" tabRatio="859" firstSheet="2" activeTab="2"/>
  </bookViews>
  <sheets>
    <sheet name="Sheet1" sheetId="1" state="hidden" r:id="rId1"/>
    <sheet name="Menu" sheetId="2" state="hidden" r:id="rId2"/>
    <sheet name="Index" sheetId="49" r:id="rId3"/>
    <sheet name="Sept 21 resubs - Fife referrals" sheetId="56" r:id="rId4"/>
    <sheet name="footnotes" sheetId="55" r:id="rId5"/>
    <sheet name="REPORT_raw_dataseen" sheetId="8" state="hidden" r:id="rId6"/>
    <sheet name="REPORT_raw_datawaiting" sheetId="9" state="hidden" r:id="rId7"/>
    <sheet name="Type of adjust" sheetId="18" state="hidden" r:id="rId8"/>
    <sheet name="Referrals_pub" sheetId="19" state="hidden" r:id="rId9"/>
    <sheet name="Referrals" sheetId="16" state="hidden" r:id="rId10"/>
    <sheet name="Referrals over 65" sheetId="29" state="hidden" r:id="rId11"/>
    <sheet name="Sheet2" sheetId="33" state="hidden" r:id="rId12"/>
    <sheet name="1a" sheetId="36" r:id="rId13"/>
    <sheet name="1b" sheetId="37" r:id="rId14"/>
    <sheet name="1c" sheetId="34" r:id="rId15"/>
    <sheet name="1d" sheetId="35" r:id="rId16"/>
    <sheet name="2a" sheetId="38" r:id="rId17"/>
    <sheet name="2b" sheetId="39" r:id="rId18"/>
    <sheet name="2c" sheetId="43" r:id="rId19"/>
    <sheet name="2d" sheetId="44" r:id="rId20"/>
    <sheet name="3a" sheetId="40" r:id="rId21"/>
    <sheet name="3b" sheetId="41" r:id="rId22"/>
    <sheet name="3c" sheetId="45" r:id="rId23"/>
    <sheet name="3d" sheetId="46" r:id="rId24"/>
    <sheet name="4a" sheetId="24" r:id="rId25"/>
    <sheet name="4b" sheetId="54" r:id="rId26"/>
    <sheet name="4c" sheetId="47" r:id="rId27"/>
    <sheet name="3a (2)" sheetId="50" state="hidden" r:id="rId28"/>
    <sheet name="3b (2)" sheetId="51" state="hidden" r:id="rId29"/>
    <sheet name="3c (2)" sheetId="52" state="hidden" r:id="rId30"/>
    <sheet name="3d (2)" sheetId="53" state="hidden" r:id="rId31"/>
  </sheets>
  <externalReferences>
    <externalReference r:id="rId32"/>
    <externalReference r:id="rId33"/>
    <externalReference r:id="rId34"/>
    <externalReference r:id="rId35"/>
    <externalReference r:id="rId36"/>
    <externalReference r:id="rId37"/>
  </externalReferences>
  <definedNames>
    <definedName name="allboards">[1]Sheet10!$G$1:$G$16</definedName>
    <definedName name="Boards1">Sheet1!$A$30:$A$43</definedName>
    <definedName name="bymonth">Sheet1!$N$46:$N$60</definedName>
    <definedName name="ISLANDBOARDS">Sheet1!$J$26:$J$39</definedName>
    <definedName name="latestmonth">'[2]Make Report'!$A$8</definedName>
    <definedName name="listoftables">Sheet1!$R$2:$R$15</definedName>
    <definedName name="Longwaiterscombined">[3]Sheet10!$J$1:$J$14</definedName>
    <definedName name="Months">Sheet1!$M$81:$M$96</definedName>
    <definedName name="NHSBOARDS">Sheet1!$I$30:$I$45</definedName>
    <definedName name="NHSBOARDS3">[4]Sheet10!$I$2:$I$15</definedName>
    <definedName name="NHSBOARDScombined">[3]Sheet10!$J$1:$J$14</definedName>
    <definedName name="_xlnm.Print_Area" localSheetId="3">'Sept 21 resubs - Fife referrals'!$A$1:$I$47</definedName>
    <definedName name="Referrals">Sheet1!$I$2:$I$5</definedName>
    <definedName name="seenwaiting">Sheet1!$A$24:$A$27</definedName>
    <definedName name="tab">Sheet1!$M$33:$M$40</definedName>
    <definedName name="typofwait">[5]Sheet10!$D$4:$D$8</definedName>
  </definedNames>
  <calcPr calcId="162913"/>
</workbook>
</file>

<file path=xl/calcChain.xml><?xml version="1.0" encoding="utf-8"?>
<calcChain xmlns="http://schemas.openxmlformats.org/spreadsheetml/2006/main">
  <c r="C18" i="46" l="1"/>
  <c r="C23" i="46"/>
  <c r="C22" i="46"/>
  <c r="C20" i="46"/>
  <c r="C17" i="46"/>
  <c r="C15" i="46"/>
  <c r="C14" i="46"/>
  <c r="C12" i="46"/>
  <c r="C11" i="46"/>
  <c r="C23" i="41"/>
  <c r="C21" i="41"/>
  <c r="C20" i="41"/>
  <c r="C18" i="41"/>
  <c r="C17" i="41"/>
  <c r="C15" i="41"/>
  <c r="C14" i="41"/>
  <c r="C13" i="41"/>
  <c r="C12" i="41"/>
  <c r="C11" i="41"/>
  <c r="C24" i="45"/>
  <c r="C23" i="45"/>
  <c r="C21" i="45"/>
  <c r="C20" i="45"/>
  <c r="C19" i="45"/>
  <c r="C17" i="45"/>
  <c r="C16" i="45"/>
  <c r="C15" i="45"/>
  <c r="C14" i="45"/>
  <c r="C13" i="45"/>
  <c r="C12" i="45"/>
  <c r="C11" i="45"/>
  <c r="C25" i="40"/>
  <c r="C24" i="40"/>
  <c r="C23" i="40"/>
  <c r="C22" i="40"/>
  <c r="C20" i="40"/>
  <c r="C19" i="40"/>
  <c r="C18" i="40"/>
  <c r="C17" i="40"/>
  <c r="C16" i="40"/>
  <c r="C15" i="40"/>
  <c r="C14" i="40"/>
  <c r="C13" i="40"/>
  <c r="C12" i="40"/>
  <c r="C11" i="40"/>
  <c r="AR27" i="54" l="1"/>
  <c r="AO27" i="54"/>
  <c r="AL27" i="54"/>
  <c r="AI27" i="54"/>
  <c r="AF27" i="54"/>
  <c r="AC27" i="54"/>
  <c r="Z27" i="54"/>
  <c r="W27" i="54"/>
  <c r="T27" i="54"/>
  <c r="Q27" i="54"/>
  <c r="N27" i="54"/>
  <c r="K27" i="54"/>
  <c r="H27" i="54"/>
  <c r="E27" i="54"/>
  <c r="B27" i="54"/>
  <c r="AR8" i="54"/>
  <c r="AO8" i="54"/>
  <c r="AL8" i="54" s="1"/>
  <c r="AI8" i="54" s="1"/>
  <c r="AF8" i="54" s="1"/>
  <c r="AC8" i="54" s="1"/>
  <c r="Z8" i="54" s="1"/>
  <c r="W8" i="54" s="1"/>
  <c r="T8" i="54" s="1"/>
  <c r="Q8" i="54" s="1"/>
  <c r="N8" i="54" s="1"/>
  <c r="K8" i="54" s="1"/>
  <c r="H8" i="54" s="1"/>
  <c r="E8" i="54" s="1"/>
  <c r="B8" i="54" s="1"/>
  <c r="O1" i="18" l="1"/>
  <c r="N1" i="18" s="1"/>
  <c r="M1" i="18" s="1"/>
  <c r="L1" i="18" s="1"/>
  <c r="K1" i="18" s="1"/>
  <c r="J1" i="18" s="1"/>
  <c r="I1" i="18" s="1"/>
  <c r="H1" i="18" s="1"/>
  <c r="G1" i="18" s="1"/>
  <c r="F1" i="18" s="1"/>
  <c r="E1" i="18" s="1"/>
  <c r="D1" i="18" s="1"/>
  <c r="C1" i="18" s="1"/>
  <c r="B1" i="18" s="1"/>
  <c r="Q1" i="9"/>
  <c r="P1" i="9" s="1"/>
  <c r="O1" i="9" s="1"/>
  <c r="N1" i="9" s="1"/>
  <c r="M1" i="9" s="1"/>
  <c r="L1" i="9" s="1"/>
  <c r="K1" i="9" s="1"/>
  <c r="J1" i="9" s="1"/>
  <c r="I1" i="9" s="1"/>
  <c r="H1" i="9" s="1"/>
  <c r="G1" i="9" s="1"/>
  <c r="F1" i="9" s="1"/>
  <c r="E1" i="9" s="1"/>
  <c r="D1" i="9" s="1"/>
  <c r="O1" i="8"/>
  <c r="N1" i="8" s="1"/>
  <c r="M1" i="8" s="1"/>
  <c r="L1" i="8" s="1"/>
  <c r="K1" i="8" s="1"/>
  <c r="J1" i="8" s="1"/>
  <c r="I1" i="8" s="1"/>
  <c r="H1" i="8" s="1"/>
  <c r="G1" i="8" s="1"/>
  <c r="F1" i="8" s="1"/>
  <c r="E1" i="8" s="1"/>
  <c r="D1" i="8" s="1"/>
  <c r="P1" i="8"/>
  <c r="Q1" i="8"/>
  <c r="A12" i="36"/>
  <c r="C7" i="52" l="1"/>
  <c r="C7" i="53" l="1"/>
  <c r="A53" i="53" s="1"/>
  <c r="A58" i="52"/>
  <c r="C7" i="51"/>
  <c r="A52" i="51" s="1"/>
  <c r="C7" i="50"/>
  <c r="A53" i="50" s="1"/>
  <c r="A11" i="53"/>
  <c r="A12" i="53" s="1"/>
  <c r="A13" i="53" s="1"/>
  <c r="A14" i="53" s="1"/>
  <c r="A11" i="52"/>
  <c r="I27" i="52" s="1"/>
  <c r="A11" i="51"/>
  <c r="A12" i="51" s="1"/>
  <c r="A11" i="50"/>
  <c r="A12" i="50" s="1"/>
  <c r="C11" i="52" l="1"/>
  <c r="A54" i="53"/>
  <c r="C11" i="51"/>
  <c r="G11" i="51" s="1"/>
  <c r="K11" i="51" s="1"/>
  <c r="K11" i="41" s="1"/>
  <c r="C12" i="51"/>
  <c r="A47" i="51"/>
  <c r="A53" i="51"/>
  <c r="C13" i="53"/>
  <c r="A59" i="52"/>
  <c r="C14" i="53"/>
  <c r="C12" i="53"/>
  <c r="A48" i="53"/>
  <c r="C11" i="53"/>
  <c r="D11" i="53" s="1"/>
  <c r="F11" i="53" s="1"/>
  <c r="F11" i="46" s="1"/>
  <c r="A52" i="53"/>
  <c r="A53" i="52"/>
  <c r="A57" i="52"/>
  <c r="A51" i="51"/>
  <c r="A58" i="50"/>
  <c r="C11" i="50"/>
  <c r="A57" i="50"/>
  <c r="C12" i="50"/>
  <c r="A59" i="50"/>
  <c r="A15" i="53"/>
  <c r="C15" i="53" s="1"/>
  <c r="A12" i="52"/>
  <c r="C12" i="52" s="1"/>
  <c r="H27" i="52"/>
  <c r="I11" i="52"/>
  <c r="H11" i="52"/>
  <c r="A27" i="52"/>
  <c r="A13" i="51"/>
  <c r="C13" i="51" s="1"/>
  <c r="A13" i="50"/>
  <c r="C13" i="50" s="1"/>
  <c r="A27" i="50"/>
  <c r="D12" i="53" l="1"/>
  <c r="F12" i="53" s="1"/>
  <c r="F12" i="46" s="1"/>
  <c r="E11" i="51"/>
  <c r="I11" i="51" s="1"/>
  <c r="I11" i="41" s="1"/>
  <c r="F11" i="51"/>
  <c r="J11" i="51" s="1"/>
  <c r="J11" i="41" s="1"/>
  <c r="D11" i="51"/>
  <c r="H11" i="51" s="1"/>
  <c r="H11" i="41" s="1"/>
  <c r="A16" i="53"/>
  <c r="C16" i="53" s="1"/>
  <c r="E11" i="53"/>
  <c r="G11" i="53" s="1"/>
  <c r="G11" i="46" s="1"/>
  <c r="D13" i="53"/>
  <c r="F13" i="53" s="1"/>
  <c r="F13" i="46" s="1"/>
  <c r="D14" i="53"/>
  <c r="F14" i="53" s="1"/>
  <c r="F14" i="46" s="1"/>
  <c r="D11" i="52"/>
  <c r="E11" i="52" s="1"/>
  <c r="H12" i="52"/>
  <c r="A13" i="52"/>
  <c r="C13" i="52" s="1"/>
  <c r="I12" i="52"/>
  <c r="A14" i="51"/>
  <c r="C14" i="51" s="1"/>
  <c r="F12" i="51"/>
  <c r="J12" i="51" s="1"/>
  <c r="J12" i="41" s="1"/>
  <c r="D12" i="51"/>
  <c r="H12" i="51" s="1"/>
  <c r="H12" i="41" s="1"/>
  <c r="E12" i="51"/>
  <c r="I12" i="51" s="1"/>
  <c r="I12" i="41" s="1"/>
  <c r="G12" i="51"/>
  <c r="K12" i="51" s="1"/>
  <c r="K12" i="41" s="1"/>
  <c r="E12" i="50"/>
  <c r="I12" i="50" s="1"/>
  <c r="I12" i="40" s="1"/>
  <c r="D12" i="50"/>
  <c r="H12" i="50" s="1"/>
  <c r="H12" i="40" s="1"/>
  <c r="G12" i="50"/>
  <c r="K12" i="50" s="1"/>
  <c r="K12" i="40" s="1"/>
  <c r="F12" i="50"/>
  <c r="J12" i="50" s="1"/>
  <c r="J12" i="40" s="1"/>
  <c r="D11" i="50"/>
  <c r="G11" i="50"/>
  <c r="E11" i="50"/>
  <c r="F11" i="50"/>
  <c r="A14" i="50"/>
  <c r="C14" i="50" s="1"/>
  <c r="O18" i="1"/>
  <c r="N18" i="1"/>
  <c r="E12" i="53" l="1"/>
  <c r="G12" i="53" s="1"/>
  <c r="G12" i="46" s="1"/>
  <c r="E13" i="53"/>
  <c r="G13" i="53" s="1"/>
  <c r="G13" i="46" s="1"/>
  <c r="D15" i="53"/>
  <c r="F15" i="53" s="1"/>
  <c r="F15" i="46" s="1"/>
  <c r="E14" i="53"/>
  <c r="G14" i="53" s="1"/>
  <c r="G14" i="46" s="1"/>
  <c r="A17" i="53"/>
  <c r="C17" i="53" s="1"/>
  <c r="G11" i="52"/>
  <c r="G11" i="45" s="1"/>
  <c r="D12" i="52"/>
  <c r="A14" i="52"/>
  <c r="C14" i="52" s="1"/>
  <c r="I13" i="52"/>
  <c r="H13" i="52"/>
  <c r="F11" i="52"/>
  <c r="F11" i="45" s="1"/>
  <c r="A15" i="51"/>
  <c r="C15" i="51" s="1"/>
  <c r="G13" i="51"/>
  <c r="K13" i="51" s="1"/>
  <c r="K13" i="41" s="1"/>
  <c r="F13" i="51"/>
  <c r="J13" i="51" s="1"/>
  <c r="J13" i="41" s="1"/>
  <c r="E13" i="51"/>
  <c r="I13" i="51" s="1"/>
  <c r="I13" i="41" s="1"/>
  <c r="D13" i="51"/>
  <c r="H13" i="51" s="1"/>
  <c r="H13" i="41" s="1"/>
  <c r="A28" i="50"/>
  <c r="A15" i="50"/>
  <c r="C15" i="50" s="1"/>
  <c r="F13" i="50"/>
  <c r="J13" i="50" s="1"/>
  <c r="J13" i="40" s="1"/>
  <c r="G13" i="50"/>
  <c r="K13" i="50" s="1"/>
  <c r="K13" i="40" s="1"/>
  <c r="E13" i="50"/>
  <c r="I13" i="50" s="1"/>
  <c r="I13" i="40" s="1"/>
  <c r="D13" i="50"/>
  <c r="H13" i="50" s="1"/>
  <c r="H13" i="40" s="1"/>
  <c r="K11" i="50"/>
  <c r="K11" i="40" s="1"/>
  <c r="I11" i="50"/>
  <c r="I11" i="40" s="1"/>
  <c r="H11" i="50"/>
  <c r="H11" i="40" s="1"/>
  <c r="J11" i="50"/>
  <c r="J11" i="40" s="1"/>
  <c r="C27" i="50"/>
  <c r="F12" i="52" l="1"/>
  <c r="F12" i="45" s="1"/>
  <c r="E12" i="52"/>
  <c r="G12" i="52" s="1"/>
  <c r="G12" i="45" s="1"/>
  <c r="F27" i="50"/>
  <c r="J27" i="50" s="1"/>
  <c r="J27" i="40" s="1"/>
  <c r="E27" i="50"/>
  <c r="I27" i="50" s="1"/>
  <c r="I27" i="40" s="1"/>
  <c r="G27" i="50"/>
  <c r="K27" i="50" s="1"/>
  <c r="K27" i="40" s="1"/>
  <c r="A18" i="53"/>
  <c r="C18" i="53" s="1"/>
  <c r="D16" i="53"/>
  <c r="E15" i="53"/>
  <c r="G15" i="53" s="1"/>
  <c r="G15" i="46" s="1"/>
  <c r="H28" i="52"/>
  <c r="I14" i="52"/>
  <c r="A28" i="52"/>
  <c r="A15" i="52"/>
  <c r="C15" i="52" s="1"/>
  <c r="H14" i="52"/>
  <c r="I28" i="52"/>
  <c r="D13" i="52"/>
  <c r="E13" i="52" s="1"/>
  <c r="C27" i="52"/>
  <c r="D14" i="51"/>
  <c r="H14" i="51" s="1"/>
  <c r="H14" i="41" s="1"/>
  <c r="F14" i="51"/>
  <c r="J14" i="51" s="1"/>
  <c r="J14" i="41" s="1"/>
  <c r="G14" i="51"/>
  <c r="K14" i="51" s="1"/>
  <c r="K14" i="41" s="1"/>
  <c r="E14" i="51"/>
  <c r="I14" i="51" s="1"/>
  <c r="I14" i="41" s="1"/>
  <c r="A16" i="51"/>
  <c r="C16" i="51" s="1"/>
  <c r="D27" i="50"/>
  <c r="H27" i="50" s="1"/>
  <c r="H27" i="40" s="1"/>
  <c r="A16" i="50"/>
  <c r="C16" i="50" s="1"/>
  <c r="G14" i="50"/>
  <c r="F14" i="50"/>
  <c r="D14" i="50"/>
  <c r="E14" i="50"/>
  <c r="F16" i="53" l="1"/>
  <c r="F16" i="46" s="1"/>
  <c r="E16" i="53"/>
  <c r="G16" i="53"/>
  <c r="G16" i="46" s="1"/>
  <c r="D17" i="53"/>
  <c r="F17" i="53" s="1"/>
  <c r="F17" i="46" s="1"/>
  <c r="A19" i="53"/>
  <c r="C19" i="53" s="1"/>
  <c r="H15" i="52"/>
  <c r="A16" i="52"/>
  <c r="C16" i="52" s="1"/>
  <c r="I15" i="52"/>
  <c r="F13" i="52"/>
  <c r="F13" i="45" s="1"/>
  <c r="D27" i="52"/>
  <c r="F27" i="52" s="1"/>
  <c r="F27" i="45" s="1"/>
  <c r="D14" i="52"/>
  <c r="E14" i="52" s="1"/>
  <c r="E15" i="51"/>
  <c r="I15" i="51" s="1"/>
  <c r="I15" i="41" s="1"/>
  <c r="G15" i="51"/>
  <c r="K15" i="51" s="1"/>
  <c r="K15" i="41" s="1"/>
  <c r="D15" i="51"/>
  <c r="H15" i="51" s="1"/>
  <c r="H15" i="41" s="1"/>
  <c r="F15" i="51"/>
  <c r="J15" i="51" s="1"/>
  <c r="J15" i="41" s="1"/>
  <c r="A17" i="51"/>
  <c r="C17" i="51" s="1"/>
  <c r="D15" i="50"/>
  <c r="H15" i="50" s="1"/>
  <c r="H15" i="40" s="1"/>
  <c r="G15" i="50"/>
  <c r="K15" i="50" s="1"/>
  <c r="K15" i="40" s="1"/>
  <c r="E15" i="50"/>
  <c r="I15" i="50" s="1"/>
  <c r="I15" i="40" s="1"/>
  <c r="F15" i="50"/>
  <c r="J15" i="50" s="1"/>
  <c r="J15" i="40" s="1"/>
  <c r="I14" i="50"/>
  <c r="I14" i="40" s="1"/>
  <c r="K14" i="50"/>
  <c r="K14" i="40" s="1"/>
  <c r="A17" i="50"/>
  <c r="C17" i="50" s="1"/>
  <c r="C28" i="50"/>
  <c r="H14" i="50"/>
  <c r="H14" i="40" s="1"/>
  <c r="J14" i="50"/>
  <c r="J14" i="40" s="1"/>
  <c r="O16" i="1"/>
  <c r="N16" i="1"/>
  <c r="A20" i="53" l="1"/>
  <c r="C20" i="53" s="1"/>
  <c r="D18" i="53"/>
  <c r="F18" i="53" s="1"/>
  <c r="F18" i="46" s="1"/>
  <c r="E17" i="53"/>
  <c r="G17" i="53" s="1"/>
  <c r="G17" i="46" s="1"/>
  <c r="G13" i="52"/>
  <c r="G13" i="45" s="1"/>
  <c r="E27" i="52"/>
  <c r="G27" i="52" s="1"/>
  <c r="G27" i="45" s="1"/>
  <c r="A17" i="52"/>
  <c r="C17" i="52" s="1"/>
  <c r="H16" i="52"/>
  <c r="I16" i="52"/>
  <c r="F14" i="52"/>
  <c r="F14" i="45" s="1"/>
  <c r="D15" i="52"/>
  <c r="F15" i="52" s="1"/>
  <c r="F15" i="45" s="1"/>
  <c r="G14" i="52"/>
  <c r="G14" i="45" s="1"/>
  <c r="C28" i="52"/>
  <c r="F16" i="51"/>
  <c r="J16" i="51" s="1"/>
  <c r="J16" i="41" s="1"/>
  <c r="E16" i="51"/>
  <c r="I16" i="51" s="1"/>
  <c r="I16" i="41" s="1"/>
  <c r="D16" i="51"/>
  <c r="H16" i="51" s="1"/>
  <c r="H16" i="41" s="1"/>
  <c r="G16" i="51"/>
  <c r="K16" i="51" s="1"/>
  <c r="K16" i="41" s="1"/>
  <c r="A18" i="51"/>
  <c r="C18" i="51" s="1"/>
  <c r="E16" i="50"/>
  <c r="D16" i="50"/>
  <c r="F16" i="50"/>
  <c r="G16" i="50"/>
  <c r="A29" i="50"/>
  <c r="A18" i="50"/>
  <c r="C18" i="50" s="1"/>
  <c r="A94" i="47"/>
  <c r="A93" i="47"/>
  <c r="E15" i="52" l="1"/>
  <c r="G15" i="52" s="1"/>
  <c r="G15" i="45" s="1"/>
  <c r="E18" i="53"/>
  <c r="G18" i="53" s="1"/>
  <c r="G18" i="46" s="1"/>
  <c r="D19" i="53"/>
  <c r="F19" i="53" s="1"/>
  <c r="F19" i="46" s="1"/>
  <c r="A21" i="53"/>
  <c r="C21" i="53" s="1"/>
  <c r="D16" i="52"/>
  <c r="E16" i="52" s="1"/>
  <c r="A18" i="52"/>
  <c r="C18" i="52" s="1"/>
  <c r="I17" i="52"/>
  <c r="H29" i="52"/>
  <c r="I29" i="52"/>
  <c r="A29" i="52"/>
  <c r="H17" i="52"/>
  <c r="A19" i="51"/>
  <c r="C19" i="51" s="1"/>
  <c r="G17" i="51"/>
  <c r="K17" i="51" s="1"/>
  <c r="K17" i="41" s="1"/>
  <c r="F17" i="51"/>
  <c r="J17" i="51" s="1"/>
  <c r="J17" i="41" s="1"/>
  <c r="E17" i="51"/>
  <c r="I17" i="51" s="1"/>
  <c r="I17" i="41" s="1"/>
  <c r="D17" i="51"/>
  <c r="H17" i="51" s="1"/>
  <c r="H17" i="41" s="1"/>
  <c r="F17" i="50"/>
  <c r="E17" i="50"/>
  <c r="G17" i="50"/>
  <c r="D17" i="50"/>
  <c r="A19" i="50"/>
  <c r="C19" i="50" s="1"/>
  <c r="J16" i="50"/>
  <c r="J16" i="40" s="1"/>
  <c r="F28" i="50"/>
  <c r="J28" i="50" s="1"/>
  <c r="J28" i="40" s="1"/>
  <c r="K16" i="50"/>
  <c r="K16" i="40" s="1"/>
  <c r="G28" i="50"/>
  <c r="K28" i="50" s="1"/>
  <c r="K28" i="40" s="1"/>
  <c r="H16" i="50"/>
  <c r="H16" i="40" s="1"/>
  <c r="D28" i="50"/>
  <c r="H28" i="50" s="1"/>
  <c r="H28" i="40" s="1"/>
  <c r="I16" i="50"/>
  <c r="I16" i="40" s="1"/>
  <c r="E28" i="50"/>
  <c r="I28" i="50" s="1"/>
  <c r="I28" i="40" s="1"/>
  <c r="A54" i="46"/>
  <c r="A53" i="46"/>
  <c r="A52" i="46"/>
  <c r="A48" i="46"/>
  <c r="A27" i="46"/>
  <c r="A11" i="46"/>
  <c r="A59" i="45"/>
  <c r="A58" i="45"/>
  <c r="A57" i="45"/>
  <c r="A53" i="45"/>
  <c r="A11" i="45"/>
  <c r="A52" i="44"/>
  <c r="A51" i="44"/>
  <c r="A50" i="44"/>
  <c r="A46" i="44"/>
  <c r="A11" i="44"/>
  <c r="A59" i="43"/>
  <c r="A58" i="43"/>
  <c r="A57" i="43"/>
  <c r="A53" i="43"/>
  <c r="A11" i="43"/>
  <c r="I27" i="45" l="1"/>
  <c r="H27" i="45"/>
  <c r="G27" i="43"/>
  <c r="H27" i="43"/>
  <c r="B11" i="46"/>
  <c r="B11" i="45"/>
  <c r="D11" i="46"/>
  <c r="E11" i="46" s="1"/>
  <c r="D20" i="53"/>
  <c r="F20" i="53" s="1"/>
  <c r="F20" i="46" s="1"/>
  <c r="A22" i="53"/>
  <c r="C22" i="53" s="1"/>
  <c r="E19" i="53"/>
  <c r="G19" i="53" s="1"/>
  <c r="G19" i="46" s="1"/>
  <c r="G16" i="52"/>
  <c r="G16" i="45" s="1"/>
  <c r="E28" i="52"/>
  <c r="G28" i="52" s="1"/>
  <c r="G28" i="45" s="1"/>
  <c r="I18" i="52"/>
  <c r="H18" i="52"/>
  <c r="A19" i="52"/>
  <c r="C19" i="52" s="1"/>
  <c r="D17" i="52"/>
  <c r="F16" i="52"/>
  <c r="F16" i="45" s="1"/>
  <c r="D28" i="52"/>
  <c r="F28" i="52" s="1"/>
  <c r="F28" i="45" s="1"/>
  <c r="D18" i="51"/>
  <c r="H18" i="51" s="1"/>
  <c r="H18" i="41" s="1"/>
  <c r="G18" i="51"/>
  <c r="K18" i="51" s="1"/>
  <c r="K18" i="41" s="1"/>
  <c r="F18" i="51"/>
  <c r="J18" i="51" s="1"/>
  <c r="J18" i="41" s="1"/>
  <c r="E18" i="51"/>
  <c r="I18" i="51" s="1"/>
  <c r="I18" i="41" s="1"/>
  <c r="A20" i="51"/>
  <c r="C20" i="51" s="1"/>
  <c r="A20" i="50"/>
  <c r="C20" i="50" s="1"/>
  <c r="K17" i="50"/>
  <c r="K17" i="40" s="1"/>
  <c r="G18" i="50"/>
  <c r="K18" i="50" s="1"/>
  <c r="K18" i="40" s="1"/>
  <c r="F18" i="50"/>
  <c r="J18" i="50" s="1"/>
  <c r="J18" i="40" s="1"/>
  <c r="E18" i="50"/>
  <c r="I18" i="50" s="1"/>
  <c r="I18" i="40" s="1"/>
  <c r="D18" i="50"/>
  <c r="H18" i="50" s="1"/>
  <c r="H18" i="40" s="1"/>
  <c r="I17" i="50"/>
  <c r="I17" i="40" s="1"/>
  <c r="H17" i="50"/>
  <c r="H17" i="40" s="1"/>
  <c r="J17" i="50"/>
  <c r="J17" i="40" s="1"/>
  <c r="A12" i="46"/>
  <c r="A27" i="45"/>
  <c r="B11" i="43"/>
  <c r="C11" i="43"/>
  <c r="A13" i="46"/>
  <c r="C13" i="46" s="1"/>
  <c r="A12" i="45"/>
  <c r="A12" i="44"/>
  <c r="A12" i="43"/>
  <c r="A27" i="43"/>
  <c r="D11" i="43" l="1"/>
  <c r="I12" i="45"/>
  <c r="B12" i="45"/>
  <c r="D13" i="46"/>
  <c r="E13" i="46" s="1"/>
  <c r="B13" i="46"/>
  <c r="B12" i="46"/>
  <c r="H11" i="45"/>
  <c r="D11" i="45"/>
  <c r="E11" i="45" s="1"/>
  <c r="I11" i="45"/>
  <c r="D12" i="46"/>
  <c r="E12" i="46" s="1"/>
  <c r="A23" i="53"/>
  <c r="C23" i="53" s="1"/>
  <c r="D21" i="53"/>
  <c r="F21" i="53" s="1"/>
  <c r="F21" i="46" s="1"/>
  <c r="E20" i="53"/>
  <c r="G20" i="53" s="1"/>
  <c r="G20" i="46" s="1"/>
  <c r="D18" i="52"/>
  <c r="F18" i="52" s="1"/>
  <c r="F18" i="45" s="1"/>
  <c r="H19" i="52"/>
  <c r="C29" i="52"/>
  <c r="A20" i="52"/>
  <c r="C20" i="52" s="1"/>
  <c r="I19" i="52"/>
  <c r="F17" i="52"/>
  <c r="F17" i="45" s="1"/>
  <c r="E17" i="52"/>
  <c r="A21" i="51"/>
  <c r="C21" i="51" s="1"/>
  <c r="E19" i="51"/>
  <c r="I19" i="51" s="1"/>
  <c r="I19" i="41" s="1"/>
  <c r="D19" i="51"/>
  <c r="H19" i="51" s="1"/>
  <c r="H19" i="41" s="1"/>
  <c r="G19" i="51"/>
  <c r="K19" i="51" s="1"/>
  <c r="K19" i="41" s="1"/>
  <c r="F19" i="51"/>
  <c r="J19" i="51" s="1"/>
  <c r="J19" i="41" s="1"/>
  <c r="D19" i="50"/>
  <c r="H19" i="50" s="1"/>
  <c r="H19" i="40" s="1"/>
  <c r="G19" i="50"/>
  <c r="K19" i="50" s="1"/>
  <c r="K19" i="40" s="1"/>
  <c r="F19" i="50"/>
  <c r="J19" i="50" s="1"/>
  <c r="J19" i="40" s="1"/>
  <c r="E19" i="50"/>
  <c r="A30" i="50"/>
  <c r="A21" i="50"/>
  <c r="C21" i="50" s="1"/>
  <c r="C29" i="50"/>
  <c r="B12" i="43"/>
  <c r="C12" i="43"/>
  <c r="A14" i="46"/>
  <c r="A13" i="45"/>
  <c r="A13" i="44"/>
  <c r="A13" i="43"/>
  <c r="D12" i="43" l="1"/>
  <c r="H12" i="45"/>
  <c r="D12" i="45"/>
  <c r="E12" i="45" s="1"/>
  <c r="H13" i="45"/>
  <c r="B13" i="45"/>
  <c r="B14" i="46"/>
  <c r="D13" i="45"/>
  <c r="E13" i="45" s="1"/>
  <c r="I13" i="45"/>
  <c r="D14" i="46"/>
  <c r="E14" i="46" s="1"/>
  <c r="G29" i="50"/>
  <c r="K29" i="50" s="1"/>
  <c r="K29" i="40" s="1"/>
  <c r="F29" i="50"/>
  <c r="J29" i="50" s="1"/>
  <c r="J29" i="40" s="1"/>
  <c r="D29" i="50"/>
  <c r="H29" i="50" s="1"/>
  <c r="H29" i="40" s="1"/>
  <c r="D22" i="53"/>
  <c r="F22" i="53" s="1"/>
  <c r="F22" i="46" s="1"/>
  <c r="E21" i="53"/>
  <c r="G21" i="53" s="1"/>
  <c r="G21" i="46" s="1"/>
  <c r="A24" i="53"/>
  <c r="C24" i="53" s="1"/>
  <c r="G17" i="52"/>
  <c r="G17" i="45" s="1"/>
  <c r="H20" i="52"/>
  <c r="I30" i="52"/>
  <c r="A30" i="52"/>
  <c r="A21" i="52"/>
  <c r="C21" i="52" s="1"/>
  <c r="H30" i="52"/>
  <c r="I20" i="52"/>
  <c r="D19" i="52"/>
  <c r="E19" i="52" s="1"/>
  <c r="G19" i="52" s="1"/>
  <c r="G19" i="45" s="1"/>
  <c r="E18" i="52"/>
  <c r="G18" i="52" s="1"/>
  <c r="G18" i="45" s="1"/>
  <c r="F20" i="51"/>
  <c r="J20" i="51" s="1"/>
  <c r="J20" i="41" s="1"/>
  <c r="D20" i="51"/>
  <c r="H20" i="51" s="1"/>
  <c r="H20" i="41" s="1"/>
  <c r="E20" i="51"/>
  <c r="I20" i="51" s="1"/>
  <c r="I20" i="41" s="1"/>
  <c r="G20" i="51"/>
  <c r="K20" i="51" s="1"/>
  <c r="K20" i="41" s="1"/>
  <c r="A22" i="51"/>
  <c r="C22" i="51" s="1"/>
  <c r="A22" i="50"/>
  <c r="C22" i="50" s="1"/>
  <c r="E20" i="50"/>
  <c r="D20" i="50"/>
  <c r="G20" i="50"/>
  <c r="F20" i="50"/>
  <c r="I19" i="50"/>
  <c r="I19" i="40" s="1"/>
  <c r="E29" i="50"/>
  <c r="I29" i="50" s="1"/>
  <c r="I29" i="40" s="1"/>
  <c r="C13" i="43"/>
  <c r="B13" i="43"/>
  <c r="A15" i="46"/>
  <c r="A14" i="45"/>
  <c r="A14" i="44"/>
  <c r="A14" i="43"/>
  <c r="D14" i="45" l="1"/>
  <c r="E14" i="45" s="1"/>
  <c r="H28" i="45"/>
  <c r="I28" i="45"/>
  <c r="H28" i="43"/>
  <c r="G28" i="43"/>
  <c r="D13" i="43"/>
  <c r="B14" i="45"/>
  <c r="D15" i="46"/>
  <c r="E15" i="46" s="1"/>
  <c r="B15" i="46"/>
  <c r="D23" i="53"/>
  <c r="F23" i="53" s="1"/>
  <c r="F23" i="46" s="1"/>
  <c r="A25" i="53"/>
  <c r="C25" i="53" s="1"/>
  <c r="E22" i="53"/>
  <c r="G22" i="53" s="1"/>
  <c r="G22" i="46" s="1"/>
  <c r="F19" i="52"/>
  <c r="F19" i="45" s="1"/>
  <c r="D29" i="52"/>
  <c r="F29" i="52" s="1"/>
  <c r="F29" i="45" s="1"/>
  <c r="A22" i="52"/>
  <c r="C22" i="52" s="1"/>
  <c r="I21" i="52"/>
  <c r="H21" i="52"/>
  <c r="D20" i="52"/>
  <c r="E20" i="52" s="1"/>
  <c r="E29" i="52"/>
  <c r="G29" i="52" s="1"/>
  <c r="G29" i="45" s="1"/>
  <c r="A23" i="51"/>
  <c r="C23" i="51" s="1"/>
  <c r="G21" i="51"/>
  <c r="K21" i="51" s="1"/>
  <c r="K21" i="41" s="1"/>
  <c r="F21" i="51"/>
  <c r="J21" i="51" s="1"/>
  <c r="J21" i="41" s="1"/>
  <c r="E21" i="51"/>
  <c r="I21" i="51" s="1"/>
  <c r="I21" i="41" s="1"/>
  <c r="D21" i="51"/>
  <c r="H21" i="51" s="1"/>
  <c r="H21" i="41" s="1"/>
  <c r="J20" i="50"/>
  <c r="J20" i="40" s="1"/>
  <c r="I20" i="50"/>
  <c r="I20" i="40" s="1"/>
  <c r="K20" i="50"/>
  <c r="K20" i="40" s="1"/>
  <c r="A23" i="50"/>
  <c r="C23" i="50" s="1"/>
  <c r="F21" i="50"/>
  <c r="J21" i="50" s="1"/>
  <c r="J21" i="40" s="1"/>
  <c r="E21" i="50"/>
  <c r="I21" i="50" s="1"/>
  <c r="I21" i="40" s="1"/>
  <c r="D21" i="50"/>
  <c r="H21" i="50" s="1"/>
  <c r="H21" i="40" s="1"/>
  <c r="G21" i="50"/>
  <c r="K21" i="50" s="1"/>
  <c r="K21" i="40" s="1"/>
  <c r="H20" i="50"/>
  <c r="H20" i="40" s="1"/>
  <c r="A28" i="45"/>
  <c r="C14" i="43"/>
  <c r="B14" i="43"/>
  <c r="A16" i="46"/>
  <c r="C16" i="46" s="1"/>
  <c r="A15" i="45"/>
  <c r="A15" i="44"/>
  <c r="A28" i="43"/>
  <c r="A15" i="43"/>
  <c r="D14" i="43" l="1"/>
  <c r="I14" i="45"/>
  <c r="H14" i="45"/>
  <c r="D16" i="46"/>
  <c r="E16" i="46" s="1"/>
  <c r="B16" i="46"/>
  <c r="D15" i="45"/>
  <c r="E15" i="45" s="1"/>
  <c r="B15" i="45"/>
  <c r="E23" i="53"/>
  <c r="G23" i="53" s="1"/>
  <c r="G23" i="46" s="1"/>
  <c r="D24" i="53"/>
  <c r="F24" i="53" s="1"/>
  <c r="F24" i="46" s="1"/>
  <c r="A1" i="53"/>
  <c r="A4" i="53"/>
  <c r="D21" i="52"/>
  <c r="F21" i="52" s="1"/>
  <c r="F21" i="45" s="1"/>
  <c r="I22" i="52"/>
  <c r="H22" i="52"/>
  <c r="A23" i="52"/>
  <c r="C23" i="52" s="1"/>
  <c r="G20" i="52"/>
  <c r="G20" i="45" s="1"/>
  <c r="F20" i="52"/>
  <c r="F20" i="45" s="1"/>
  <c r="D22" i="51"/>
  <c r="H22" i="51" s="1"/>
  <c r="H22" i="41" s="1"/>
  <c r="F22" i="51"/>
  <c r="J22" i="51" s="1"/>
  <c r="J22" i="41" s="1"/>
  <c r="G22" i="51"/>
  <c r="K22" i="51" s="1"/>
  <c r="K22" i="41" s="1"/>
  <c r="E22" i="51"/>
  <c r="I22" i="51" s="1"/>
  <c r="I22" i="41" s="1"/>
  <c r="A24" i="51"/>
  <c r="C24" i="51" s="1"/>
  <c r="G22" i="50"/>
  <c r="K22" i="50" s="1"/>
  <c r="K22" i="40" s="1"/>
  <c r="F22" i="50"/>
  <c r="J22" i="50" s="1"/>
  <c r="J22" i="40" s="1"/>
  <c r="D22" i="50"/>
  <c r="H22" i="50" s="1"/>
  <c r="H22" i="40" s="1"/>
  <c r="E22" i="50"/>
  <c r="I22" i="50" s="1"/>
  <c r="I22" i="40" s="1"/>
  <c r="C30" i="50"/>
  <c r="A24" i="50"/>
  <c r="C24" i="50" s="1"/>
  <c r="A31" i="50"/>
  <c r="B15" i="43"/>
  <c r="C15" i="43"/>
  <c r="A17" i="46"/>
  <c r="A16" i="45"/>
  <c r="A16" i="44"/>
  <c r="A16" i="43"/>
  <c r="D15" i="43" l="1"/>
  <c r="B17" i="46"/>
  <c r="H15" i="45"/>
  <c r="I15" i="45"/>
  <c r="D16" i="45"/>
  <c r="E16" i="45" s="1"/>
  <c r="B16" i="45"/>
  <c r="G30" i="50"/>
  <c r="K30" i="50" s="1"/>
  <c r="K30" i="40" s="1"/>
  <c r="D17" i="46"/>
  <c r="E17" i="46" s="1"/>
  <c r="I16" i="45"/>
  <c r="E24" i="53"/>
  <c r="G24" i="53" s="1"/>
  <c r="G24" i="46" s="1"/>
  <c r="F30" i="50"/>
  <c r="J30" i="50" s="1"/>
  <c r="J30" i="40" s="1"/>
  <c r="D30" i="50"/>
  <c r="H30" i="50" s="1"/>
  <c r="H30" i="40" s="1"/>
  <c r="D25" i="53"/>
  <c r="F25" i="53" s="1"/>
  <c r="F25" i="46" s="1"/>
  <c r="D22" i="52"/>
  <c r="E22" i="52" s="1"/>
  <c r="G22" i="52" s="1"/>
  <c r="G22" i="45" s="1"/>
  <c r="C30" i="52"/>
  <c r="I31" i="52"/>
  <c r="A31" i="52"/>
  <c r="H23" i="52"/>
  <c r="H31" i="52"/>
  <c r="I23" i="52"/>
  <c r="A24" i="52"/>
  <c r="C24" i="52" s="1"/>
  <c r="E21" i="52"/>
  <c r="A25" i="51"/>
  <c r="C25" i="51" s="1"/>
  <c r="E23" i="51"/>
  <c r="I23" i="51" s="1"/>
  <c r="I23" i="41" s="1"/>
  <c r="G23" i="51"/>
  <c r="K23" i="51" s="1"/>
  <c r="K23" i="41" s="1"/>
  <c r="D23" i="51"/>
  <c r="H23" i="51" s="1"/>
  <c r="H23" i="41" s="1"/>
  <c r="F23" i="51"/>
  <c r="J23" i="51" s="1"/>
  <c r="J23" i="41" s="1"/>
  <c r="A25" i="50"/>
  <c r="C25" i="50" s="1"/>
  <c r="A1" i="50"/>
  <c r="D23" i="50"/>
  <c r="E23" i="50"/>
  <c r="G23" i="50"/>
  <c r="F23" i="50"/>
  <c r="E30" i="50"/>
  <c r="I30" i="50" s="1"/>
  <c r="I30" i="40" s="1"/>
  <c r="B16" i="43"/>
  <c r="C16" i="43"/>
  <c r="A18" i="46"/>
  <c r="A17" i="45"/>
  <c r="A17" i="44"/>
  <c r="A17" i="43"/>
  <c r="G29" i="43" l="1"/>
  <c r="H29" i="43"/>
  <c r="I17" i="45"/>
  <c r="H29" i="45"/>
  <c r="I29" i="45"/>
  <c r="D16" i="43"/>
  <c r="B17" i="45"/>
  <c r="D18" i="46"/>
  <c r="E18" i="46" s="1"/>
  <c r="B18" i="46"/>
  <c r="H16" i="45"/>
  <c r="E25" i="53"/>
  <c r="G25" i="53" s="1"/>
  <c r="G25" i="46" s="1"/>
  <c r="D23" i="52"/>
  <c r="E23" i="52" s="1"/>
  <c r="G21" i="52"/>
  <c r="G21" i="45" s="1"/>
  <c r="E30" i="52"/>
  <c r="G30" i="52" s="1"/>
  <c r="G30" i="45" s="1"/>
  <c r="A25" i="52"/>
  <c r="C25" i="52" s="1"/>
  <c r="A1" i="52"/>
  <c r="H24" i="52"/>
  <c r="I24" i="52"/>
  <c r="F22" i="52"/>
  <c r="F22" i="45" s="1"/>
  <c r="D30" i="52"/>
  <c r="F30" i="52" s="1"/>
  <c r="F30" i="45" s="1"/>
  <c r="A4" i="51"/>
  <c r="A1" i="51"/>
  <c r="F24" i="51"/>
  <c r="J24" i="51" s="1"/>
  <c r="J24" i="41" s="1"/>
  <c r="D24" i="51"/>
  <c r="H24" i="51" s="1"/>
  <c r="H24" i="41" s="1"/>
  <c r="E24" i="51"/>
  <c r="I24" i="51" s="1"/>
  <c r="I24" i="41" s="1"/>
  <c r="G24" i="51"/>
  <c r="K24" i="51" s="1"/>
  <c r="K24" i="41" s="1"/>
  <c r="E24" i="50"/>
  <c r="I24" i="50" s="1"/>
  <c r="I24" i="40" s="1"/>
  <c r="D24" i="50"/>
  <c r="H24" i="50" s="1"/>
  <c r="H24" i="40" s="1"/>
  <c r="F24" i="50"/>
  <c r="J24" i="50" s="1"/>
  <c r="J24" i="40" s="1"/>
  <c r="G24" i="50"/>
  <c r="K24" i="50" s="1"/>
  <c r="K24" i="40" s="1"/>
  <c r="J23" i="50"/>
  <c r="J23" i="40" s="1"/>
  <c r="K23" i="50"/>
  <c r="K23" i="40" s="1"/>
  <c r="A4" i="50"/>
  <c r="I23" i="50"/>
  <c r="I23" i="40" s="1"/>
  <c r="H23" i="50"/>
  <c r="H23" i="40" s="1"/>
  <c r="A29" i="45"/>
  <c r="B17" i="43"/>
  <c r="C17" i="43"/>
  <c r="A19" i="46"/>
  <c r="C19" i="46" s="1"/>
  <c r="A18" i="45"/>
  <c r="C18" i="45" s="1"/>
  <c r="A18" i="44"/>
  <c r="A29" i="43"/>
  <c r="A18" i="43"/>
  <c r="D17" i="43" l="1"/>
  <c r="D17" i="45"/>
  <c r="E17" i="45" s="1"/>
  <c r="H17" i="45"/>
  <c r="H18" i="45"/>
  <c r="B18" i="45"/>
  <c r="D19" i="46"/>
  <c r="E19" i="46" s="1"/>
  <c r="B19" i="46"/>
  <c r="I18" i="45"/>
  <c r="D18" i="45"/>
  <c r="E18" i="45" s="1"/>
  <c r="A4" i="52"/>
  <c r="C31" i="52"/>
  <c r="I25" i="52"/>
  <c r="H25" i="52"/>
  <c r="D24" i="52"/>
  <c r="F24" i="52" s="1"/>
  <c r="F24" i="45" s="1"/>
  <c r="G23" i="52"/>
  <c r="G23" i="45" s="1"/>
  <c r="F23" i="52"/>
  <c r="F23" i="45" s="1"/>
  <c r="G25" i="51"/>
  <c r="K25" i="51" s="1"/>
  <c r="K25" i="41" s="1"/>
  <c r="E25" i="51"/>
  <c r="I25" i="51" s="1"/>
  <c r="I25" i="41" s="1"/>
  <c r="F25" i="51"/>
  <c r="J25" i="51" s="1"/>
  <c r="J25" i="41" s="1"/>
  <c r="D25" i="51"/>
  <c r="H25" i="51" s="1"/>
  <c r="H25" i="41" s="1"/>
  <c r="F25" i="50"/>
  <c r="E25" i="50"/>
  <c r="D25" i="50"/>
  <c r="G25" i="50"/>
  <c r="C31" i="50"/>
  <c r="B18" i="43"/>
  <c r="C18" i="43"/>
  <c r="A20" i="46"/>
  <c r="A19" i="45"/>
  <c r="A19" i="44"/>
  <c r="A19" i="43"/>
  <c r="D18" i="43" l="1"/>
  <c r="D20" i="46"/>
  <c r="E20" i="46" s="1"/>
  <c r="B20" i="46"/>
  <c r="H19" i="45"/>
  <c r="B19" i="45"/>
  <c r="E24" i="52"/>
  <c r="G24" i="52" s="1"/>
  <c r="G24" i="45" s="1"/>
  <c r="D25" i="52"/>
  <c r="E25" i="52" s="1"/>
  <c r="K25" i="50"/>
  <c r="K25" i="40" s="1"/>
  <c r="G31" i="50"/>
  <c r="K31" i="50" s="1"/>
  <c r="K31" i="40" s="1"/>
  <c r="H25" i="50"/>
  <c r="H25" i="40" s="1"/>
  <c r="D31" i="50"/>
  <c r="H31" i="50" s="1"/>
  <c r="H31" i="40" s="1"/>
  <c r="I25" i="50"/>
  <c r="I25" i="40" s="1"/>
  <c r="E31" i="50"/>
  <c r="I31" i="50" s="1"/>
  <c r="I31" i="40" s="1"/>
  <c r="J25" i="50"/>
  <c r="J25" i="40" s="1"/>
  <c r="F31" i="50"/>
  <c r="J31" i="50" s="1"/>
  <c r="J31" i="40" s="1"/>
  <c r="B19" i="43"/>
  <c r="C19" i="43"/>
  <c r="A21" i="46"/>
  <c r="C21" i="46" s="1"/>
  <c r="A20" i="45"/>
  <c r="A20" i="44"/>
  <c r="A20" i="43"/>
  <c r="D19" i="43" l="1"/>
  <c r="I20" i="45"/>
  <c r="H30" i="45"/>
  <c r="I30" i="45"/>
  <c r="G30" i="43"/>
  <c r="H30" i="43"/>
  <c r="I19" i="45"/>
  <c r="D19" i="45"/>
  <c r="E19" i="45" s="1"/>
  <c r="D21" i="46"/>
  <c r="E21" i="46" s="1"/>
  <c r="B21" i="46"/>
  <c r="B20" i="45"/>
  <c r="F25" i="52"/>
  <c r="F25" i="45" s="1"/>
  <c r="D31" i="52"/>
  <c r="F31" i="52" s="1"/>
  <c r="F31" i="45" s="1"/>
  <c r="G25" i="52"/>
  <c r="G25" i="45" s="1"/>
  <c r="E31" i="52"/>
  <c r="G31" i="52" s="1"/>
  <c r="G31" i="45" s="1"/>
  <c r="A30" i="45"/>
  <c r="B20" i="43"/>
  <c r="C20" i="43"/>
  <c r="A22" i="46"/>
  <c r="A21" i="45"/>
  <c r="A21" i="44"/>
  <c r="A30" i="43"/>
  <c r="A21" i="43"/>
  <c r="D20" i="43" l="1"/>
  <c r="D20" i="45"/>
  <c r="E20" i="45" s="1"/>
  <c r="H20" i="45"/>
  <c r="D22" i="46"/>
  <c r="E22" i="46" s="1"/>
  <c r="B22" i="46"/>
  <c r="I21" i="45"/>
  <c r="B21" i="45"/>
  <c r="B21" i="43"/>
  <c r="C21" i="43"/>
  <c r="A23" i="46"/>
  <c r="A22" i="45"/>
  <c r="C22" i="45" s="1"/>
  <c r="A22" i="44"/>
  <c r="A22" i="43"/>
  <c r="D21" i="43" l="1"/>
  <c r="D21" i="45"/>
  <c r="E21" i="45" s="1"/>
  <c r="I22" i="45"/>
  <c r="B22" i="45"/>
  <c r="H21" i="45"/>
  <c r="D23" i="46"/>
  <c r="E23" i="46" s="1"/>
  <c r="B23" i="46"/>
  <c r="C22" i="43"/>
  <c r="B22" i="43"/>
  <c r="A24" i="46"/>
  <c r="C24" i="46" s="1"/>
  <c r="A23" i="45"/>
  <c r="A23" i="44"/>
  <c r="A23" i="43"/>
  <c r="D23" i="45" l="1"/>
  <c r="E23" i="45" s="1"/>
  <c r="H31" i="45"/>
  <c r="I31" i="45"/>
  <c r="G31" i="43"/>
  <c r="H31" i="43"/>
  <c r="D22" i="43"/>
  <c r="D24" i="46"/>
  <c r="E24" i="46" s="1"/>
  <c r="B24" i="46"/>
  <c r="H22" i="45"/>
  <c r="D22" i="45"/>
  <c r="E22" i="45" s="1"/>
  <c r="B23" i="45"/>
  <c r="A31" i="45"/>
  <c r="B23" i="43"/>
  <c r="C23" i="43"/>
  <c r="A25" i="46"/>
  <c r="C25" i="46" s="1"/>
  <c r="A24" i="45"/>
  <c r="A24" i="44"/>
  <c r="A31" i="43"/>
  <c r="A24" i="43"/>
  <c r="B24" i="45" l="1"/>
  <c r="D23" i="43"/>
  <c r="H23" i="45"/>
  <c r="I23" i="45"/>
  <c r="A1" i="46"/>
  <c r="B25" i="46"/>
  <c r="D25" i="46"/>
  <c r="E25" i="46" s="1"/>
  <c r="A4" i="46"/>
  <c r="B24" i="43"/>
  <c r="C24" i="43"/>
  <c r="A25" i="45"/>
  <c r="C25" i="45" s="1"/>
  <c r="A25" i="44"/>
  <c r="A1" i="44" s="1"/>
  <c r="A25" i="43"/>
  <c r="A1" i="43" s="1"/>
  <c r="D24" i="43" l="1"/>
  <c r="H25" i="45"/>
  <c r="A1" i="45"/>
  <c r="B25" i="45"/>
  <c r="H24" i="45"/>
  <c r="D24" i="45"/>
  <c r="E24" i="45" s="1"/>
  <c r="I24" i="45"/>
  <c r="A4" i="45"/>
  <c r="B25" i="43"/>
  <c r="C25" i="43"/>
  <c r="B27" i="19"/>
  <c r="C27" i="19"/>
  <c r="B5" i="19"/>
  <c r="C5" i="19"/>
  <c r="D5" i="19"/>
  <c r="J154" i="1"/>
  <c r="J153" i="1"/>
  <c r="J152" i="1"/>
  <c r="J151" i="1"/>
  <c r="J150" i="1"/>
  <c r="J149" i="1"/>
  <c r="J148" i="1"/>
  <c r="J147" i="1"/>
  <c r="J146" i="1"/>
  <c r="J145" i="1"/>
  <c r="J144" i="1"/>
  <c r="J143" i="1"/>
  <c r="J142" i="1"/>
  <c r="J141" i="1"/>
  <c r="J140" i="1"/>
  <c r="J139" i="1"/>
  <c r="J138" i="1"/>
  <c r="J137" i="1"/>
  <c r="J136" i="1"/>
  <c r="J135" i="1"/>
  <c r="J134" i="1"/>
  <c r="J133" i="1"/>
  <c r="J132" i="1"/>
  <c r="J131" i="1"/>
  <c r="D25" i="43" l="1"/>
  <c r="I25" i="45"/>
  <c r="D25" i="45"/>
  <c r="E25" i="45" s="1"/>
  <c r="A53" i="41"/>
  <c r="A52" i="41"/>
  <c r="A51" i="41"/>
  <c r="A47" i="41"/>
  <c r="A11" i="41"/>
  <c r="A59" i="40"/>
  <c r="A58" i="40"/>
  <c r="A57" i="40"/>
  <c r="A53" i="40"/>
  <c r="A11" i="40"/>
  <c r="A53" i="39"/>
  <c r="A52" i="39"/>
  <c r="A51" i="39"/>
  <c r="A47" i="39"/>
  <c r="A11" i="39"/>
  <c r="A59" i="38"/>
  <c r="A58" i="38"/>
  <c r="A57" i="38"/>
  <c r="A53" i="38"/>
  <c r="A11" i="38"/>
  <c r="A53" i="37"/>
  <c r="A52" i="37"/>
  <c r="A51" i="37"/>
  <c r="A47" i="37"/>
  <c r="A11" i="37"/>
  <c r="B11" i="37" s="1"/>
  <c r="A62" i="36"/>
  <c r="A61" i="36"/>
  <c r="A60" i="36"/>
  <c r="A56" i="36"/>
  <c r="A11" i="36"/>
  <c r="B11" i="36" s="1"/>
  <c r="A53" i="35"/>
  <c r="A52" i="35"/>
  <c r="A51" i="35"/>
  <c r="A47" i="35"/>
  <c r="A11" i="35"/>
  <c r="B11" i="35" s="1"/>
  <c r="B11" i="40" l="1"/>
  <c r="G11" i="40"/>
  <c r="G11" i="41"/>
  <c r="B11" i="41"/>
  <c r="A20" i="1"/>
  <c r="G11" i="36"/>
  <c r="E11" i="36"/>
  <c r="F11" i="36"/>
  <c r="D11" i="36"/>
  <c r="A27" i="40"/>
  <c r="F11" i="37"/>
  <c r="G11" i="37"/>
  <c r="E11" i="37"/>
  <c r="A12" i="41"/>
  <c r="F11" i="38"/>
  <c r="E11" i="38"/>
  <c r="D11" i="38"/>
  <c r="C11" i="38"/>
  <c r="A13" i="41"/>
  <c r="A12" i="40"/>
  <c r="A12" i="39"/>
  <c r="A12" i="38"/>
  <c r="A27" i="38"/>
  <c r="A12" i="37"/>
  <c r="B12" i="37" s="1"/>
  <c r="B12" i="36"/>
  <c r="A27" i="36"/>
  <c r="A12" i="35"/>
  <c r="B12" i="35" s="1"/>
  <c r="A59" i="34"/>
  <c r="A58" i="34"/>
  <c r="A57" i="34"/>
  <c r="A53" i="34"/>
  <c r="A11" i="34"/>
  <c r="B11" i="34" l="1"/>
  <c r="H27" i="34"/>
  <c r="I27" i="34"/>
  <c r="E11" i="41"/>
  <c r="F11" i="41"/>
  <c r="D11" i="40"/>
  <c r="F11" i="40"/>
  <c r="D11" i="34"/>
  <c r="B12" i="40"/>
  <c r="E12" i="40"/>
  <c r="D11" i="41"/>
  <c r="E11" i="40"/>
  <c r="B13" i="41"/>
  <c r="E13" i="41"/>
  <c r="E12" i="41"/>
  <c r="B12" i="41"/>
  <c r="D12" i="36"/>
  <c r="E12" i="36"/>
  <c r="G12" i="36"/>
  <c r="F12" i="36"/>
  <c r="G12" i="37"/>
  <c r="E12" i="37"/>
  <c r="F12" i="37"/>
  <c r="D12" i="38"/>
  <c r="C12" i="38"/>
  <c r="F12" i="38"/>
  <c r="E12" i="38"/>
  <c r="A12" i="34"/>
  <c r="B12" i="34" s="1"/>
  <c r="A14" i="41"/>
  <c r="A13" i="40"/>
  <c r="A13" i="39"/>
  <c r="A13" i="38"/>
  <c r="A13" i="37"/>
  <c r="B13" i="37" s="1"/>
  <c r="A13" i="36"/>
  <c r="B13" i="36" s="1"/>
  <c r="A13" i="35"/>
  <c r="B13" i="35" s="1"/>
  <c r="A27" i="34"/>
  <c r="D12" i="40" l="1"/>
  <c r="F12" i="40"/>
  <c r="D13" i="41"/>
  <c r="F12" i="41"/>
  <c r="G13" i="41"/>
  <c r="G14" i="41"/>
  <c r="B14" i="41"/>
  <c r="G12" i="40"/>
  <c r="G12" i="41"/>
  <c r="F13" i="41"/>
  <c r="D12" i="41"/>
  <c r="B13" i="40"/>
  <c r="E13" i="40"/>
  <c r="E13" i="36"/>
  <c r="D13" i="36"/>
  <c r="G13" i="36"/>
  <c r="F13" i="36"/>
  <c r="A13" i="34"/>
  <c r="B13" i="34" s="1"/>
  <c r="D12" i="34"/>
  <c r="G13" i="37"/>
  <c r="E13" i="37"/>
  <c r="F13" i="37"/>
  <c r="E13" i="38"/>
  <c r="F13" i="38"/>
  <c r="D13" i="38"/>
  <c r="C13" i="38"/>
  <c r="A14" i="34"/>
  <c r="A15" i="41"/>
  <c r="A14" i="40"/>
  <c r="A14" i="39"/>
  <c r="A14" i="38"/>
  <c r="A14" i="37"/>
  <c r="B14" i="37" s="1"/>
  <c r="A14" i="36"/>
  <c r="B14" i="36" s="1"/>
  <c r="A14" i="35"/>
  <c r="B14" i="35" s="1"/>
  <c r="H28" i="34" l="1"/>
  <c r="I28" i="34"/>
  <c r="G13" i="40"/>
  <c r="D14" i="41"/>
  <c r="F14" i="41"/>
  <c r="E14" i="41"/>
  <c r="B15" i="41"/>
  <c r="E15" i="41"/>
  <c r="B14" i="34"/>
  <c r="B28" i="34" s="1"/>
  <c r="F13" i="40"/>
  <c r="B14" i="40"/>
  <c r="E14" i="40"/>
  <c r="D13" i="40"/>
  <c r="G14" i="36"/>
  <c r="F14" i="36"/>
  <c r="E14" i="36"/>
  <c r="D14" i="36"/>
  <c r="A28" i="36"/>
  <c r="A28" i="40"/>
  <c r="A15" i="34"/>
  <c r="A16" i="34" s="1"/>
  <c r="C14" i="34"/>
  <c r="D14" i="34"/>
  <c r="D13" i="34"/>
  <c r="C13" i="34"/>
  <c r="F14" i="37"/>
  <c r="G14" i="37"/>
  <c r="E14" i="37"/>
  <c r="F14" i="38"/>
  <c r="E14" i="38"/>
  <c r="D14" i="38"/>
  <c r="C14" i="38"/>
  <c r="A28" i="34"/>
  <c r="A16" i="41"/>
  <c r="A15" i="40"/>
  <c r="A15" i="39"/>
  <c r="A28" i="38"/>
  <c r="A15" i="38"/>
  <c r="A15" i="37"/>
  <c r="B15" i="37" s="1"/>
  <c r="A15" i="36"/>
  <c r="B15" i="36" s="1"/>
  <c r="A15" i="35"/>
  <c r="B15" i="35" s="1"/>
  <c r="E14" i="34" l="1"/>
  <c r="E13" i="34"/>
  <c r="G15" i="41"/>
  <c r="D15" i="41"/>
  <c r="G14" i="40"/>
  <c r="F14" i="40"/>
  <c r="F15" i="41"/>
  <c r="D16" i="34"/>
  <c r="B16" i="34"/>
  <c r="C16" i="41"/>
  <c r="F16" i="41" s="1"/>
  <c r="B16" i="41"/>
  <c r="D15" i="34"/>
  <c r="B15" i="34"/>
  <c r="D14" i="40"/>
  <c r="B15" i="40"/>
  <c r="G15" i="40"/>
  <c r="F15" i="36"/>
  <c r="G15" i="36"/>
  <c r="D15" i="36"/>
  <c r="E15" i="36"/>
  <c r="E15" i="37"/>
  <c r="G15" i="37"/>
  <c r="F15" i="37"/>
  <c r="C15" i="38"/>
  <c r="F15" i="38"/>
  <c r="E15" i="38"/>
  <c r="D15" i="38"/>
  <c r="A17" i="41"/>
  <c r="A16" i="40"/>
  <c r="A16" i="39"/>
  <c r="A16" i="38"/>
  <c r="A16" i="37"/>
  <c r="B16" i="37" s="1"/>
  <c r="A16" i="36"/>
  <c r="B16" i="36" s="1"/>
  <c r="A16" i="35"/>
  <c r="B16" i="35" s="1"/>
  <c r="A17" i="34"/>
  <c r="E72" i="19"/>
  <c r="D72" i="19"/>
  <c r="E50" i="19"/>
  <c r="D50" i="19"/>
  <c r="U33" i="29"/>
  <c r="E27" i="19"/>
  <c r="D27" i="19"/>
  <c r="E5" i="19"/>
  <c r="E8" i="19" s="1"/>
  <c r="I29" i="34" l="1"/>
  <c r="H29" i="34"/>
  <c r="E16" i="41"/>
  <c r="F15" i="40"/>
  <c r="E15" i="40"/>
  <c r="G16" i="41"/>
  <c r="D15" i="40"/>
  <c r="D16" i="41"/>
  <c r="D17" i="34"/>
  <c r="B17" i="34"/>
  <c r="D16" i="40"/>
  <c r="B16" i="40"/>
  <c r="B17" i="41"/>
  <c r="G17" i="41"/>
  <c r="B13" i="53"/>
  <c r="B12" i="51"/>
  <c r="B11" i="50"/>
  <c r="B27" i="50" s="1"/>
  <c r="B11" i="53"/>
  <c r="B11" i="51"/>
  <c r="B12" i="53"/>
  <c r="B11" i="52"/>
  <c r="B27" i="52" s="1"/>
  <c r="B12" i="50"/>
  <c r="B14" i="53"/>
  <c r="B13" i="51"/>
  <c r="B15" i="53"/>
  <c r="B12" i="52"/>
  <c r="B13" i="50"/>
  <c r="B16" i="53"/>
  <c r="B13" i="52"/>
  <c r="B14" i="51"/>
  <c r="B14" i="50"/>
  <c r="B28" i="50" s="1"/>
  <c r="B17" i="53"/>
  <c r="B14" i="52"/>
  <c r="B28" i="52" s="1"/>
  <c r="B15" i="51"/>
  <c r="B15" i="50"/>
  <c r="B16" i="51"/>
  <c r="B16" i="50"/>
  <c r="B15" i="52"/>
  <c r="B18" i="53"/>
  <c r="B19" i="53"/>
  <c r="B17" i="50"/>
  <c r="B29" i="50" s="1"/>
  <c r="B17" i="51"/>
  <c r="B16" i="52"/>
  <c r="B18" i="51"/>
  <c r="B17" i="52"/>
  <c r="B29" i="52" s="1"/>
  <c r="B18" i="50"/>
  <c r="B19" i="50"/>
  <c r="B19" i="51"/>
  <c r="B18" i="52"/>
  <c r="B19" i="52"/>
  <c r="D16" i="36"/>
  <c r="G16" i="36"/>
  <c r="E16" i="36"/>
  <c r="F16" i="36"/>
  <c r="G16" i="37"/>
  <c r="E16" i="37"/>
  <c r="F16" i="37"/>
  <c r="D16" i="38"/>
  <c r="E16" i="38"/>
  <c r="C16" i="38"/>
  <c r="F16" i="38"/>
  <c r="B27" i="45"/>
  <c r="B28" i="45"/>
  <c r="B30" i="45"/>
  <c r="B31" i="45"/>
  <c r="B27" i="40"/>
  <c r="B28" i="40"/>
  <c r="A18" i="41"/>
  <c r="A17" i="40"/>
  <c r="A17" i="39"/>
  <c r="A17" i="38"/>
  <c r="A17" i="37"/>
  <c r="B17" i="37" s="1"/>
  <c r="A17" i="36"/>
  <c r="B17" i="36" s="1"/>
  <c r="A17" i="35"/>
  <c r="B17" i="35" s="1"/>
  <c r="A18" i="34"/>
  <c r="A29" i="34"/>
  <c r="E16" i="40" l="1"/>
  <c r="G16" i="40"/>
  <c r="E17" i="41"/>
  <c r="F17" i="41"/>
  <c r="B17" i="40"/>
  <c r="B29" i="40" s="1"/>
  <c r="E17" i="40"/>
  <c r="B18" i="41"/>
  <c r="G18" i="41"/>
  <c r="D17" i="41"/>
  <c r="F16" i="40"/>
  <c r="D18" i="34"/>
  <c r="B18" i="34"/>
  <c r="B29" i="34" s="1"/>
  <c r="B24" i="52"/>
  <c r="B24" i="51"/>
  <c r="B23" i="50"/>
  <c r="B31" i="50" s="1"/>
  <c r="B22" i="51"/>
  <c r="B20" i="52"/>
  <c r="B30" i="52" s="1"/>
  <c r="B20" i="51"/>
  <c r="B21" i="53"/>
  <c r="B20" i="53"/>
  <c r="B25" i="52"/>
  <c r="B24" i="50"/>
  <c r="B22" i="52"/>
  <c r="B22" i="50"/>
  <c r="B21" i="51"/>
  <c r="B20" i="50"/>
  <c r="B30" i="50" s="1"/>
  <c r="B25" i="50"/>
  <c r="B23" i="52"/>
  <c r="B31" i="52" s="1"/>
  <c r="B25" i="53"/>
  <c r="B24" i="53"/>
  <c r="B21" i="50"/>
  <c r="D17" i="40"/>
  <c r="B25" i="51"/>
  <c r="B23" i="51"/>
  <c r="B21" i="52"/>
  <c r="B23" i="53"/>
  <c r="B22" i="53"/>
  <c r="E17" i="36"/>
  <c r="D17" i="36"/>
  <c r="A29" i="36"/>
  <c r="G17" i="36"/>
  <c r="F17" i="36"/>
  <c r="A29" i="40"/>
  <c r="G17" i="37"/>
  <c r="E17" i="37"/>
  <c r="F17" i="37"/>
  <c r="B29" i="45"/>
  <c r="E17" i="38"/>
  <c r="D17" i="38"/>
  <c r="C17" i="38"/>
  <c r="F17" i="38"/>
  <c r="B27" i="36"/>
  <c r="B27" i="34"/>
  <c r="B28" i="36"/>
  <c r="A19" i="41"/>
  <c r="A18" i="40"/>
  <c r="A18" i="39"/>
  <c r="A29" i="38"/>
  <c r="A18" i="38"/>
  <c r="A18" i="37"/>
  <c r="B18" i="37" s="1"/>
  <c r="A18" i="36"/>
  <c r="B18" i="36" s="1"/>
  <c r="B29" i="36"/>
  <c r="A18" i="35"/>
  <c r="B18" i="35" s="1"/>
  <c r="A19" i="34"/>
  <c r="E18" i="41" l="1"/>
  <c r="F18" i="41"/>
  <c r="F17" i="40"/>
  <c r="G17" i="40"/>
  <c r="D19" i="34"/>
  <c r="B19" i="34"/>
  <c r="D18" i="40"/>
  <c r="B18" i="40"/>
  <c r="C19" i="41"/>
  <c r="D19" i="41" s="1"/>
  <c r="B19" i="41"/>
  <c r="D18" i="41"/>
  <c r="G18" i="36"/>
  <c r="E18" i="36"/>
  <c r="F18" i="36"/>
  <c r="D18" i="36"/>
  <c r="F18" i="37"/>
  <c r="G18" i="37"/>
  <c r="E18" i="37"/>
  <c r="F18" i="38"/>
  <c r="E18" i="38"/>
  <c r="D18" i="38"/>
  <c r="C18" i="38"/>
  <c r="A20" i="41"/>
  <c r="A19" i="40"/>
  <c r="A19" i="39"/>
  <c r="A19" i="38"/>
  <c r="A19" i="37"/>
  <c r="B19" i="37" s="1"/>
  <c r="A19" i="36"/>
  <c r="B19" i="36" s="1"/>
  <c r="A19" i="35"/>
  <c r="B19" i="35" s="1"/>
  <c r="A20" i="34"/>
  <c r="H30" i="34" l="1"/>
  <c r="I30" i="34"/>
  <c r="F18" i="40"/>
  <c r="E18" i="40"/>
  <c r="G19" i="41"/>
  <c r="E19" i="41"/>
  <c r="B19" i="40"/>
  <c r="E19" i="40"/>
  <c r="F19" i="41"/>
  <c r="G18" i="40"/>
  <c r="B20" i="41"/>
  <c r="G20" i="41"/>
  <c r="D20" i="34"/>
  <c r="B20" i="34"/>
  <c r="G19" i="36"/>
  <c r="E19" i="36"/>
  <c r="D19" i="36"/>
  <c r="F19" i="36"/>
  <c r="E19" i="37"/>
  <c r="G19" i="37"/>
  <c r="F19" i="37"/>
  <c r="C19" i="38"/>
  <c r="D19" i="38"/>
  <c r="F19" i="38"/>
  <c r="E19" i="38"/>
  <c r="A21" i="41"/>
  <c r="A20" i="40"/>
  <c r="A20" i="39"/>
  <c r="A20" i="38"/>
  <c r="A20" i="37"/>
  <c r="B20" i="37" s="1"/>
  <c r="A20" i="36"/>
  <c r="B20" i="36" s="1"/>
  <c r="A20" i="35"/>
  <c r="B20" i="35" s="1"/>
  <c r="A30" i="34"/>
  <c r="A21" i="34"/>
  <c r="F20" i="41" l="1"/>
  <c r="G19" i="40"/>
  <c r="D19" i="40"/>
  <c r="F19" i="40"/>
  <c r="D20" i="41"/>
  <c r="E20" i="41"/>
  <c r="B21" i="41"/>
  <c r="E21" i="41"/>
  <c r="B20" i="40"/>
  <c r="B30" i="40" s="1"/>
  <c r="E20" i="40"/>
  <c r="D21" i="34"/>
  <c r="B21" i="34"/>
  <c r="B30" i="34" s="1"/>
  <c r="D20" i="36"/>
  <c r="A30" i="36"/>
  <c r="E20" i="36"/>
  <c r="F20" i="36"/>
  <c r="G20" i="36"/>
  <c r="A30" i="40"/>
  <c r="G20" i="37"/>
  <c r="E20" i="37"/>
  <c r="F20" i="37"/>
  <c r="D20" i="38"/>
  <c r="C20" i="38"/>
  <c r="F20" i="38"/>
  <c r="E20" i="38"/>
  <c r="A22" i="41"/>
  <c r="A21" i="40"/>
  <c r="A21" i="39"/>
  <c r="A30" i="38"/>
  <c r="A21" i="38"/>
  <c r="A21" i="37"/>
  <c r="B21" i="37" s="1"/>
  <c r="A21" i="36"/>
  <c r="B21" i="36" s="1"/>
  <c r="B30" i="36"/>
  <c r="A21" i="35"/>
  <c r="B21" i="35" s="1"/>
  <c r="A22" i="34"/>
  <c r="D20" i="40" l="1"/>
  <c r="F20" i="40"/>
  <c r="D21" i="41"/>
  <c r="D22" i="34"/>
  <c r="B22" i="34"/>
  <c r="B21" i="40"/>
  <c r="F21" i="40"/>
  <c r="G20" i="40"/>
  <c r="F21" i="41"/>
  <c r="G21" i="41"/>
  <c r="C22" i="41"/>
  <c r="G22" i="41" s="1"/>
  <c r="B22" i="41"/>
  <c r="E21" i="36"/>
  <c r="F21" i="36"/>
  <c r="D21" i="36"/>
  <c r="G21" i="36"/>
  <c r="G21" i="37"/>
  <c r="E21" i="37"/>
  <c r="F21" i="37"/>
  <c r="E21" i="38"/>
  <c r="D21" i="38"/>
  <c r="F21" i="38"/>
  <c r="C21" i="38"/>
  <c r="A23" i="41"/>
  <c r="A22" i="40"/>
  <c r="A22" i="39"/>
  <c r="A22" i="38"/>
  <c r="A22" i="37"/>
  <c r="B22" i="37" s="1"/>
  <c r="A22" i="36"/>
  <c r="B22" i="36" s="1"/>
  <c r="A22" i="35"/>
  <c r="B22" i="35" s="1"/>
  <c r="A23" i="34"/>
  <c r="I31" i="34" l="1"/>
  <c r="H31" i="34"/>
  <c r="D22" i="41"/>
  <c r="E21" i="40"/>
  <c r="G21" i="40"/>
  <c r="D21" i="40"/>
  <c r="E22" i="41"/>
  <c r="F23" i="41"/>
  <c r="B23" i="41"/>
  <c r="D23" i="34"/>
  <c r="B23" i="34"/>
  <c r="F22" i="41"/>
  <c r="B22" i="40"/>
  <c r="G22" i="40"/>
  <c r="F22" i="36"/>
  <c r="E22" i="36"/>
  <c r="D22" i="36"/>
  <c r="G22" i="36"/>
  <c r="F22" i="37"/>
  <c r="G22" i="37"/>
  <c r="E22" i="37"/>
  <c r="F22" i="38"/>
  <c r="E22" i="38"/>
  <c r="D22" i="38"/>
  <c r="C22" i="38"/>
  <c r="A24" i="41"/>
  <c r="A23" i="40"/>
  <c r="A23" i="39"/>
  <c r="A23" i="38"/>
  <c r="A23" i="37"/>
  <c r="B23" i="37" s="1"/>
  <c r="A23" i="36"/>
  <c r="B23" i="36" s="1"/>
  <c r="A23" i="35"/>
  <c r="B23" i="35" s="1"/>
  <c r="A24" i="34"/>
  <c r="A31" i="34"/>
  <c r="G23" i="41" l="1"/>
  <c r="F22" i="40"/>
  <c r="E23" i="41"/>
  <c r="C24" i="41"/>
  <c r="E24" i="41" s="1"/>
  <c r="B24" i="41"/>
  <c r="D24" i="34"/>
  <c r="B24" i="34"/>
  <c r="B31" i="34" s="1"/>
  <c r="D22" i="40"/>
  <c r="D23" i="41"/>
  <c r="E22" i="40"/>
  <c r="B23" i="40"/>
  <c r="B31" i="40" s="1"/>
  <c r="D23" i="40"/>
  <c r="A31" i="36"/>
  <c r="F23" i="36"/>
  <c r="D23" i="36"/>
  <c r="G23" i="36"/>
  <c r="E23" i="36"/>
  <c r="A31" i="40"/>
  <c r="E23" i="37"/>
  <c r="F23" i="37"/>
  <c r="G23" i="37"/>
  <c r="C23" i="38"/>
  <c r="F23" i="38"/>
  <c r="D23" i="38"/>
  <c r="E23" i="38"/>
  <c r="A25" i="41"/>
  <c r="A24" i="40"/>
  <c r="A24" i="39"/>
  <c r="A31" i="38"/>
  <c r="A24" i="38"/>
  <c r="A24" i="37"/>
  <c r="B24" i="37" s="1"/>
  <c r="A24" i="36"/>
  <c r="B24" i="36" s="1"/>
  <c r="B31" i="36"/>
  <c r="A24" i="35"/>
  <c r="B24" i="35" s="1"/>
  <c r="A25" i="34"/>
  <c r="D24" i="41" l="1"/>
  <c r="E23" i="40"/>
  <c r="G24" i="41"/>
  <c r="B24" i="40"/>
  <c r="F23" i="40"/>
  <c r="F24" i="41"/>
  <c r="A1" i="34"/>
  <c r="B25" i="34"/>
  <c r="G23" i="40"/>
  <c r="A1" i="41"/>
  <c r="B25" i="41"/>
  <c r="C25" i="41"/>
  <c r="D24" i="36"/>
  <c r="G24" i="36"/>
  <c r="E24" i="36"/>
  <c r="F24" i="36"/>
  <c r="D25" i="34"/>
  <c r="G24" i="37"/>
  <c r="E24" i="37"/>
  <c r="F24" i="37"/>
  <c r="A4" i="41"/>
  <c r="D24" i="38"/>
  <c r="C24" i="38"/>
  <c r="E24" i="38"/>
  <c r="F24" i="38"/>
  <c r="A25" i="40"/>
  <c r="A25" i="39"/>
  <c r="A1" i="39" s="1"/>
  <c r="A25" i="38"/>
  <c r="A1" i="38" s="1"/>
  <c r="A25" i="37"/>
  <c r="A25" i="36"/>
  <c r="A25" i="35"/>
  <c r="A1" i="36" l="1"/>
  <c r="B25" i="36"/>
  <c r="A1" i="40"/>
  <c r="B25" i="40"/>
  <c r="F25" i="40"/>
  <c r="A1" i="35"/>
  <c r="B25" i="35"/>
  <c r="A1" i="37"/>
  <c r="B25" i="37"/>
  <c r="E24" i="40"/>
  <c r="F24" i="40"/>
  <c r="D24" i="40"/>
  <c r="G24" i="40"/>
  <c r="G25" i="41"/>
  <c r="F25" i="41"/>
  <c r="E25" i="41"/>
  <c r="D25" i="41"/>
  <c r="E25" i="36"/>
  <c r="F25" i="36"/>
  <c r="D25" i="36"/>
  <c r="G25" i="36"/>
  <c r="A4" i="40"/>
  <c r="G25" i="37"/>
  <c r="E25" i="37"/>
  <c r="F25" i="37"/>
  <c r="E25" i="38"/>
  <c r="F25" i="38"/>
  <c r="D25" i="38"/>
  <c r="C25" i="38"/>
  <c r="D25" i="40" l="1"/>
  <c r="G25" i="40"/>
  <c r="E25" i="40"/>
  <c r="F72" i="19"/>
  <c r="F50" i="19"/>
  <c r="F27" i="19"/>
  <c r="F5" i="19"/>
  <c r="K34" i="29" l="1"/>
  <c r="L34" i="29"/>
  <c r="M34" i="29"/>
  <c r="N34" i="29"/>
  <c r="O34" i="29"/>
  <c r="P34" i="29"/>
  <c r="Q34" i="29"/>
  <c r="R34" i="29"/>
  <c r="S34" i="29"/>
  <c r="T34" i="29"/>
  <c r="U34" i="29"/>
  <c r="K35" i="29"/>
  <c r="L35" i="29"/>
  <c r="M35" i="29"/>
  <c r="N35" i="29"/>
  <c r="O35" i="29"/>
  <c r="P35" i="29"/>
  <c r="Q35" i="29"/>
  <c r="R35" i="29"/>
  <c r="S35" i="29"/>
  <c r="T35" i="29"/>
  <c r="U35" i="29"/>
  <c r="K36" i="29"/>
  <c r="L36" i="29"/>
  <c r="M36" i="29"/>
  <c r="N36" i="29"/>
  <c r="O36" i="29"/>
  <c r="P36" i="29"/>
  <c r="Q36" i="29"/>
  <c r="R36" i="29"/>
  <c r="S36" i="29"/>
  <c r="T36" i="29"/>
  <c r="U36" i="29"/>
  <c r="K37" i="29"/>
  <c r="L37" i="29"/>
  <c r="M37" i="29"/>
  <c r="N37" i="29"/>
  <c r="O37" i="29"/>
  <c r="P37" i="29"/>
  <c r="Q37" i="29"/>
  <c r="R37" i="29"/>
  <c r="S37" i="29"/>
  <c r="T37" i="29"/>
  <c r="U37" i="29"/>
  <c r="K38" i="29"/>
  <c r="L38" i="29"/>
  <c r="M38" i="29"/>
  <c r="N38" i="29"/>
  <c r="O38" i="29"/>
  <c r="P38" i="29"/>
  <c r="Q38" i="29"/>
  <c r="R38" i="29"/>
  <c r="S38" i="29"/>
  <c r="T38" i="29"/>
  <c r="U38" i="29"/>
  <c r="K39" i="29"/>
  <c r="L39" i="29"/>
  <c r="M39" i="29"/>
  <c r="N39" i="29"/>
  <c r="O39" i="29"/>
  <c r="P39" i="29"/>
  <c r="Q39" i="29"/>
  <c r="R39" i="29"/>
  <c r="S39" i="29"/>
  <c r="T39" i="29"/>
  <c r="U39" i="29"/>
  <c r="K40" i="29"/>
  <c r="L40" i="29"/>
  <c r="M40" i="29"/>
  <c r="N40" i="29"/>
  <c r="O40" i="29"/>
  <c r="P40" i="29"/>
  <c r="Q40" i="29"/>
  <c r="R40" i="29"/>
  <c r="S40" i="29"/>
  <c r="T40" i="29"/>
  <c r="U40" i="29"/>
  <c r="K41" i="29"/>
  <c r="L41" i="29"/>
  <c r="M41" i="29"/>
  <c r="N41" i="29"/>
  <c r="O41" i="29"/>
  <c r="P41" i="29"/>
  <c r="Q41" i="29"/>
  <c r="R41" i="29"/>
  <c r="S41" i="29"/>
  <c r="T41" i="29"/>
  <c r="U41" i="29"/>
  <c r="K42" i="29"/>
  <c r="L42" i="29"/>
  <c r="M42" i="29"/>
  <c r="N42" i="29"/>
  <c r="O42" i="29"/>
  <c r="P42" i="29"/>
  <c r="Q42" i="29"/>
  <c r="R42" i="29"/>
  <c r="S42" i="29"/>
  <c r="T42" i="29"/>
  <c r="U42" i="29"/>
  <c r="K43" i="29"/>
  <c r="L43" i="29"/>
  <c r="M43" i="29"/>
  <c r="N43" i="29"/>
  <c r="O43" i="29"/>
  <c r="P43" i="29"/>
  <c r="Q43" i="29"/>
  <c r="R43" i="29"/>
  <c r="S43" i="29"/>
  <c r="T43" i="29"/>
  <c r="U43" i="29"/>
  <c r="K44" i="29"/>
  <c r="L44" i="29"/>
  <c r="M44" i="29"/>
  <c r="N44" i="29"/>
  <c r="O44" i="29"/>
  <c r="P44" i="29"/>
  <c r="Q44" i="29"/>
  <c r="R44" i="29"/>
  <c r="S44" i="29"/>
  <c r="T44" i="29"/>
  <c r="U44" i="29"/>
  <c r="K45" i="29"/>
  <c r="L45" i="29"/>
  <c r="M45" i="29"/>
  <c r="N45" i="29"/>
  <c r="O45" i="29"/>
  <c r="P45" i="29"/>
  <c r="Q45" i="29"/>
  <c r="R45" i="29"/>
  <c r="S45" i="29"/>
  <c r="T45" i="29"/>
  <c r="U45" i="29"/>
  <c r="K46" i="29"/>
  <c r="L46" i="29"/>
  <c r="M46" i="29"/>
  <c r="N46" i="29"/>
  <c r="O46" i="29"/>
  <c r="P46" i="29"/>
  <c r="Q46" i="29"/>
  <c r="R46" i="29"/>
  <c r="S46" i="29"/>
  <c r="T46" i="29"/>
  <c r="U46" i="29"/>
  <c r="K47" i="29"/>
  <c r="L47" i="29"/>
  <c r="M47" i="29"/>
  <c r="N47" i="29"/>
  <c r="O47" i="29"/>
  <c r="P47" i="29"/>
  <c r="Q47" i="29"/>
  <c r="R47" i="29"/>
  <c r="S47" i="29"/>
  <c r="T47" i="29"/>
  <c r="U47" i="29"/>
  <c r="J47" i="29"/>
  <c r="J46" i="29"/>
  <c r="J45" i="29"/>
  <c r="J44" i="29"/>
  <c r="J43" i="29"/>
  <c r="J42" i="29"/>
  <c r="J41" i="29"/>
  <c r="J40" i="29"/>
  <c r="J39" i="29"/>
  <c r="J38" i="29"/>
  <c r="J37" i="29"/>
  <c r="J36" i="29"/>
  <c r="J35" i="29"/>
  <c r="J34" i="29"/>
  <c r="U48" i="29" l="1"/>
  <c r="X49" i="29"/>
  <c r="A99" i="29"/>
  <c r="A98" i="29"/>
  <c r="AA35" i="29"/>
  <c r="AA36" i="29" s="1"/>
  <c r="AA37" i="29" s="1"/>
  <c r="AA38" i="29" s="1"/>
  <c r="AA39" i="29" s="1"/>
  <c r="AA40" i="29" s="1"/>
  <c r="AA41" i="29" s="1"/>
  <c r="AA42" i="29" s="1"/>
  <c r="AA43" i="29" s="1"/>
  <c r="AA44" i="29" s="1"/>
  <c r="AA45" i="29" s="1"/>
  <c r="AA46" i="29" s="1"/>
  <c r="AA47" i="29" s="1"/>
  <c r="AA48" i="29" s="1"/>
  <c r="Z35" i="29"/>
  <c r="Z36" i="29" s="1"/>
  <c r="Z37" i="29" s="1"/>
  <c r="Z38" i="29" s="1"/>
  <c r="Z39" i="29" s="1"/>
  <c r="Z40" i="29" s="1"/>
  <c r="Z41" i="29" s="1"/>
  <c r="Z42" i="29" s="1"/>
  <c r="Z43" i="29" s="1"/>
  <c r="Z44" i="29" s="1"/>
  <c r="Z45" i="29" s="1"/>
  <c r="Z46" i="29" s="1"/>
  <c r="Z47" i="29" s="1"/>
  <c r="Z48" i="29" s="1"/>
  <c r="T33" i="29"/>
  <c r="S33" i="29" s="1"/>
  <c r="R33" i="29" s="1"/>
  <c r="Q33" i="29" s="1"/>
  <c r="P33" i="29" s="1"/>
  <c r="O33" i="29" s="1"/>
  <c r="N33" i="29" s="1"/>
  <c r="M33" i="29" s="1"/>
  <c r="L33" i="29" s="1"/>
  <c r="K33" i="29" s="1"/>
  <c r="J33" i="29" s="1"/>
  <c r="A2" i="29"/>
  <c r="A99" i="24"/>
  <c r="A98" i="24"/>
  <c r="Q48" i="29" l="1"/>
  <c r="M48" i="29"/>
  <c r="L48" i="29"/>
  <c r="P48" i="29"/>
  <c r="T48" i="29"/>
  <c r="K48" i="29"/>
  <c r="O48" i="29"/>
  <c r="S48" i="29"/>
  <c r="J48" i="29"/>
  <c r="N48" i="29"/>
  <c r="R48" i="29"/>
  <c r="N49" i="29" l="1"/>
  <c r="R49" i="29"/>
  <c r="J49" i="29"/>
  <c r="M49" i="29"/>
  <c r="U49" i="29"/>
  <c r="P49" i="29"/>
  <c r="T49" i="29"/>
  <c r="O49" i="29"/>
  <c r="Q49" i="29"/>
  <c r="L49" i="29"/>
  <c r="S49" i="29"/>
  <c r="K49" i="29"/>
  <c r="O17" i="1"/>
  <c r="N17" i="1"/>
  <c r="F11" i="39"/>
  <c r="F12" i="39"/>
  <c r="F13" i="39"/>
  <c r="F14" i="39"/>
  <c r="F15" i="39"/>
  <c r="F16" i="39"/>
  <c r="F17" i="39"/>
  <c r="F18" i="39"/>
  <c r="F19" i="39"/>
  <c r="F20" i="39"/>
  <c r="F21" i="39"/>
  <c r="F22" i="39"/>
  <c r="F23" i="39"/>
  <c r="F24" i="39"/>
  <c r="E11" i="39"/>
  <c r="E12" i="39"/>
  <c r="E13" i="39"/>
  <c r="E14" i="39"/>
  <c r="E15" i="39"/>
  <c r="E16" i="39"/>
  <c r="E17" i="39"/>
  <c r="E18" i="39"/>
  <c r="E19" i="39"/>
  <c r="E20" i="39"/>
  <c r="E21" i="39"/>
  <c r="E22" i="39"/>
  <c r="E23" i="39"/>
  <c r="E24" i="39"/>
  <c r="D11" i="39"/>
  <c r="D12" i="39"/>
  <c r="D13" i="39"/>
  <c r="D14" i="39"/>
  <c r="D15" i="39"/>
  <c r="D16" i="39"/>
  <c r="D17" i="39"/>
  <c r="D18" i="39"/>
  <c r="D19" i="39"/>
  <c r="D20" i="39"/>
  <c r="D21" i="39"/>
  <c r="D22" i="39"/>
  <c r="D23" i="39"/>
  <c r="D24" i="39"/>
  <c r="E25" i="39"/>
  <c r="F25" i="39"/>
  <c r="D25" i="39"/>
  <c r="N60" i="1" l="1"/>
  <c r="N59" i="1" l="1"/>
  <c r="N58" i="1" s="1"/>
  <c r="N57" i="1" s="1"/>
  <c r="N56" i="1" s="1"/>
  <c r="N55" i="1" s="1"/>
  <c r="N54" i="1" s="1"/>
  <c r="N53" i="1" s="1"/>
  <c r="N52" i="1" s="1"/>
  <c r="N51" i="1" s="1"/>
  <c r="N50" i="1" s="1"/>
  <c r="N49" i="1" s="1"/>
  <c r="N48" i="1" s="1"/>
  <c r="N47" i="1" s="1"/>
  <c r="N46" i="1" s="1"/>
  <c r="F73" i="19" l="1"/>
  <c r="F51" i="19"/>
  <c r="F28" i="19"/>
  <c r="P73" i="16" l="1"/>
  <c r="O73" i="16" s="1"/>
  <c r="N73" i="16" s="1"/>
  <c r="M73" i="16" s="1"/>
  <c r="L73" i="16" s="1"/>
  <c r="K73" i="16" s="1"/>
  <c r="J73" i="16" s="1"/>
  <c r="I73" i="16" s="1"/>
  <c r="H73" i="16" s="1"/>
  <c r="G73" i="16" s="1"/>
  <c r="F73" i="16" s="1"/>
  <c r="E73" i="16" s="1"/>
  <c r="D73" i="16" s="1"/>
  <c r="P51" i="16"/>
  <c r="O51" i="16" s="1"/>
  <c r="N51" i="16" s="1"/>
  <c r="P28" i="16"/>
  <c r="O28" i="16" s="1"/>
  <c r="N28" i="16" s="1"/>
  <c r="M28" i="16" s="1"/>
  <c r="L28" i="16" s="1"/>
  <c r="K28" i="16" s="1"/>
  <c r="J28" i="16" s="1"/>
  <c r="I28" i="16" s="1"/>
  <c r="H28" i="16" s="1"/>
  <c r="G28" i="16" s="1"/>
  <c r="F28" i="16" s="1"/>
  <c r="E28" i="16" s="1"/>
  <c r="D28" i="16" s="1"/>
  <c r="C28" i="16" s="1"/>
  <c r="B28" i="16" s="1"/>
  <c r="P6" i="16"/>
  <c r="M51" i="16" l="1"/>
  <c r="L51" i="16" s="1"/>
  <c r="K51" i="16" s="1"/>
  <c r="N8" i="47"/>
  <c r="N8" i="24"/>
  <c r="C73" i="16"/>
  <c r="O6" i="16"/>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51" i="16" l="1"/>
  <c r="I51" i="16" s="1"/>
  <c r="H51" i="16" s="1"/>
  <c r="K8" i="24"/>
  <c r="K8" i="47"/>
  <c r="B11" i="44"/>
  <c r="C11" i="44"/>
  <c r="C12" i="44"/>
  <c r="B12" i="44"/>
  <c r="C13" i="44"/>
  <c r="B13" i="44"/>
  <c r="B14" i="44"/>
  <c r="C14" i="44"/>
  <c r="B15" i="44"/>
  <c r="C15" i="44"/>
  <c r="B16" i="44"/>
  <c r="C16" i="44"/>
  <c r="C17" i="44"/>
  <c r="B17" i="44"/>
  <c r="B18" i="44"/>
  <c r="C18" i="44"/>
  <c r="B19" i="44"/>
  <c r="C19" i="44"/>
  <c r="B20" i="44"/>
  <c r="C20" i="44"/>
  <c r="C21" i="44"/>
  <c r="B21" i="44"/>
  <c r="C22" i="44"/>
  <c r="B22" i="44"/>
  <c r="C23" i="44"/>
  <c r="B23" i="44"/>
  <c r="C24" i="44"/>
  <c r="B24" i="44"/>
  <c r="B25" i="44"/>
  <c r="C25" i="44"/>
  <c r="G11" i="43"/>
  <c r="H11" i="43"/>
  <c r="G12" i="43"/>
  <c r="H12" i="43"/>
  <c r="H13" i="43"/>
  <c r="G13" i="43"/>
  <c r="H14" i="43"/>
  <c r="G14" i="43"/>
  <c r="H15" i="43"/>
  <c r="G15" i="43"/>
  <c r="H16" i="43"/>
  <c r="G16" i="43"/>
  <c r="H17" i="43"/>
  <c r="G17" i="43"/>
  <c r="G18" i="43"/>
  <c r="H18" i="43"/>
  <c r="H19" i="43"/>
  <c r="G19" i="43"/>
  <c r="G20" i="43"/>
  <c r="H20" i="43"/>
  <c r="G21" i="43"/>
  <c r="H21" i="43"/>
  <c r="G22" i="43"/>
  <c r="H22" i="43"/>
  <c r="G23" i="43"/>
  <c r="H23" i="43"/>
  <c r="G24" i="43"/>
  <c r="H24" i="43"/>
  <c r="H25" i="43"/>
  <c r="G25" i="43"/>
  <c r="D8" i="19"/>
  <c r="D30" i="19"/>
  <c r="C8" i="19"/>
  <c r="C30" i="19"/>
  <c r="B8" i="19"/>
  <c r="B30" i="19"/>
  <c r="C31" i="19"/>
  <c r="C33" i="19"/>
  <c r="C35" i="19"/>
  <c r="C37" i="19"/>
  <c r="C39" i="19"/>
  <c r="C41" i="19"/>
  <c r="C43" i="19"/>
  <c r="B11" i="19"/>
  <c r="B15" i="19"/>
  <c r="B19" i="19"/>
  <c r="C12" i="19"/>
  <c r="C16" i="19"/>
  <c r="C20" i="19"/>
  <c r="B31" i="19"/>
  <c r="B33" i="19"/>
  <c r="B35" i="19"/>
  <c r="B37" i="19"/>
  <c r="B39" i="19"/>
  <c r="B41" i="19"/>
  <c r="B43" i="19"/>
  <c r="B10" i="19"/>
  <c r="B14" i="19"/>
  <c r="B18" i="19"/>
  <c r="B22" i="19"/>
  <c r="C11" i="19"/>
  <c r="C15" i="19"/>
  <c r="C19" i="19"/>
  <c r="C32" i="19"/>
  <c r="C34" i="19"/>
  <c r="C36" i="19"/>
  <c r="C38" i="19"/>
  <c r="C40" i="19"/>
  <c r="C42" i="19"/>
  <c r="C44" i="19"/>
  <c r="B9" i="19"/>
  <c r="B13" i="19"/>
  <c r="B17" i="19"/>
  <c r="B21" i="19"/>
  <c r="C10" i="19"/>
  <c r="C14" i="19"/>
  <c r="C18" i="19"/>
  <c r="C22" i="19"/>
  <c r="B32" i="19"/>
  <c r="B34" i="19"/>
  <c r="B36" i="19"/>
  <c r="B38" i="19"/>
  <c r="B40" i="19"/>
  <c r="B42" i="19"/>
  <c r="B44" i="19"/>
  <c r="B12" i="19"/>
  <c r="B16" i="19"/>
  <c r="B20" i="19"/>
  <c r="C9" i="19"/>
  <c r="C13" i="19"/>
  <c r="C17" i="19"/>
  <c r="C21" i="19"/>
  <c r="D25" i="37"/>
  <c r="C25" i="37"/>
  <c r="C25" i="35"/>
  <c r="C25" i="39"/>
  <c r="D25" i="35"/>
  <c r="B25" i="39"/>
  <c r="B22" i="39"/>
  <c r="C21" i="39"/>
  <c r="B18" i="39"/>
  <c r="C17" i="39"/>
  <c r="B14" i="39"/>
  <c r="C13" i="39"/>
  <c r="C22" i="37"/>
  <c r="D21" i="37"/>
  <c r="C18" i="37"/>
  <c r="D17" i="37"/>
  <c r="C14" i="37"/>
  <c r="D13" i="37"/>
  <c r="D24" i="35"/>
  <c r="D22" i="35"/>
  <c r="D20" i="35"/>
  <c r="D18" i="35"/>
  <c r="D16" i="35"/>
  <c r="D14" i="35"/>
  <c r="D12" i="35"/>
  <c r="B23" i="39"/>
  <c r="C22" i="39"/>
  <c r="B19" i="39"/>
  <c r="C18" i="39"/>
  <c r="B15" i="39"/>
  <c r="C14" i="39"/>
  <c r="B11" i="39"/>
  <c r="C23" i="37"/>
  <c r="D22" i="37"/>
  <c r="C19" i="37"/>
  <c r="D18" i="37"/>
  <c r="C15" i="37"/>
  <c r="D14" i="37"/>
  <c r="C11" i="37"/>
  <c r="C23" i="35"/>
  <c r="C21" i="35"/>
  <c r="C19" i="35"/>
  <c r="C17" i="35"/>
  <c r="C15" i="35"/>
  <c r="C13" i="35"/>
  <c r="C11" i="35"/>
  <c r="B24" i="39"/>
  <c r="C23" i="39"/>
  <c r="B20" i="39"/>
  <c r="C19" i="39"/>
  <c r="B16" i="39"/>
  <c r="C15" i="39"/>
  <c r="B12" i="39"/>
  <c r="C11" i="39"/>
  <c r="C24" i="37"/>
  <c r="D23" i="37"/>
  <c r="C20" i="37"/>
  <c r="D19" i="37"/>
  <c r="C16" i="37"/>
  <c r="D15" i="37"/>
  <c r="C12" i="37"/>
  <c r="D11" i="37"/>
  <c r="D23" i="35"/>
  <c r="D21" i="35"/>
  <c r="D19" i="35"/>
  <c r="D17" i="35"/>
  <c r="D15" i="35"/>
  <c r="D13" i="35"/>
  <c r="D11" i="35"/>
  <c r="C24" i="39"/>
  <c r="B21" i="39"/>
  <c r="C20" i="39"/>
  <c r="B17" i="39"/>
  <c r="C16" i="39"/>
  <c r="B13" i="39"/>
  <c r="C12" i="39"/>
  <c r="D24" i="37"/>
  <c r="C21" i="37"/>
  <c r="D20" i="37"/>
  <c r="C17" i="37"/>
  <c r="D16" i="37"/>
  <c r="C13" i="37"/>
  <c r="D12" i="37"/>
  <c r="C24" i="35"/>
  <c r="C22" i="35"/>
  <c r="E22" i="35" s="1"/>
  <c r="C20" i="35"/>
  <c r="C18" i="35"/>
  <c r="C16" i="35"/>
  <c r="C14" i="35"/>
  <c r="E14" i="35" s="1"/>
  <c r="C12" i="35"/>
  <c r="B25" i="38"/>
  <c r="B21" i="38"/>
  <c r="B17" i="38"/>
  <c r="B13" i="38"/>
  <c r="C22" i="36"/>
  <c r="C18" i="36"/>
  <c r="C14" i="36"/>
  <c r="B23" i="38"/>
  <c r="B19" i="38"/>
  <c r="B11" i="38"/>
  <c r="C24" i="36"/>
  <c r="C16" i="36"/>
  <c r="B22" i="38"/>
  <c r="C23" i="36"/>
  <c r="C11" i="36"/>
  <c r="B24" i="38"/>
  <c r="B20" i="38"/>
  <c r="B16" i="38"/>
  <c r="B12" i="38"/>
  <c r="C25" i="36"/>
  <c r="C21" i="36"/>
  <c r="C17" i="36"/>
  <c r="C13" i="36"/>
  <c r="B15" i="38"/>
  <c r="C20" i="36"/>
  <c r="C12" i="36"/>
  <c r="C19" i="36"/>
  <c r="B18" i="38"/>
  <c r="B14" i="38"/>
  <c r="C15" i="36"/>
  <c r="H25" i="34"/>
  <c r="H24" i="34"/>
  <c r="H23" i="34"/>
  <c r="H22" i="34"/>
  <c r="H21" i="34"/>
  <c r="H20" i="34"/>
  <c r="H19" i="34"/>
  <c r="H18" i="34"/>
  <c r="H17" i="34"/>
  <c r="H16" i="34"/>
  <c r="H15" i="34"/>
  <c r="H14" i="34"/>
  <c r="H13" i="34"/>
  <c r="H12" i="34"/>
  <c r="H11" i="34"/>
  <c r="I25" i="34"/>
  <c r="I24" i="34"/>
  <c r="I23" i="34"/>
  <c r="I22" i="34"/>
  <c r="I21" i="34"/>
  <c r="I20" i="34"/>
  <c r="I19" i="34"/>
  <c r="I18" i="34"/>
  <c r="I17" i="34"/>
  <c r="I16" i="34"/>
  <c r="I15" i="34"/>
  <c r="I14" i="34"/>
  <c r="I13" i="34"/>
  <c r="I12" i="34"/>
  <c r="I11" i="34"/>
  <c r="C25" i="34"/>
  <c r="E25" i="34" s="1"/>
  <c r="C24" i="34"/>
  <c r="E24" i="34" s="1"/>
  <c r="C23" i="34"/>
  <c r="E23" i="34" s="1"/>
  <c r="C22" i="34"/>
  <c r="E22" i="34" s="1"/>
  <c r="C21" i="34"/>
  <c r="E21" i="34" s="1"/>
  <c r="C20" i="34"/>
  <c r="E20" i="34" s="1"/>
  <c r="C19" i="34"/>
  <c r="E19" i="34" s="1"/>
  <c r="C18" i="34"/>
  <c r="E18" i="34" s="1"/>
  <c r="C17" i="34"/>
  <c r="E17" i="34" s="1"/>
  <c r="C16" i="34"/>
  <c r="E16" i="34" s="1"/>
  <c r="C15" i="34"/>
  <c r="E15" i="34" s="1"/>
  <c r="C12" i="34"/>
  <c r="E12" i="34" s="1"/>
  <c r="C11" i="34"/>
  <c r="E11" i="34" s="1"/>
  <c r="E17" i="19"/>
  <c r="E20" i="19"/>
  <c r="D21" i="19"/>
  <c r="D9" i="19"/>
  <c r="E19" i="19"/>
  <c r="E43" i="19"/>
  <c r="E53" i="19"/>
  <c r="E88" i="19"/>
  <c r="E30" i="19"/>
  <c r="E64" i="19"/>
  <c r="E85" i="19"/>
  <c r="E37" i="19"/>
  <c r="E57" i="19"/>
  <c r="E42" i="19"/>
  <c r="E62" i="19"/>
  <c r="E83" i="19"/>
  <c r="D10" i="19"/>
  <c r="D37" i="19"/>
  <c r="D88" i="19"/>
  <c r="D80" i="19"/>
  <c r="D64" i="19"/>
  <c r="D56" i="19"/>
  <c r="D12" i="19"/>
  <c r="D38" i="19"/>
  <c r="D75" i="19"/>
  <c r="D81" i="19"/>
  <c r="D65" i="19"/>
  <c r="D57" i="19"/>
  <c r="E15" i="19"/>
  <c r="E40" i="19"/>
  <c r="E86" i="19"/>
  <c r="D78" i="19"/>
  <c r="D36" i="19"/>
  <c r="D63" i="19"/>
  <c r="D19" i="19"/>
  <c r="E16" i="19"/>
  <c r="E13" i="19"/>
  <c r="D17" i="19"/>
  <c r="E10" i="19"/>
  <c r="E31" i="19"/>
  <c r="E55" i="19"/>
  <c r="E76" i="19"/>
  <c r="E32" i="19"/>
  <c r="E75" i="19"/>
  <c r="E41" i="19"/>
  <c r="E61" i="19"/>
  <c r="E78" i="19"/>
  <c r="E66" i="19"/>
  <c r="E87" i="19"/>
  <c r="D14" i="19"/>
  <c r="D39" i="19"/>
  <c r="D31" i="19"/>
  <c r="D82" i="19"/>
  <c r="D66" i="19"/>
  <c r="D58" i="19"/>
  <c r="D16" i="19"/>
  <c r="D40" i="19"/>
  <c r="D32" i="19"/>
  <c r="D83" i="19"/>
  <c r="D53" i="19"/>
  <c r="D59" i="19"/>
  <c r="D42" i="19"/>
  <c r="D85" i="19"/>
  <c r="D61" i="19"/>
  <c r="E79" i="19"/>
  <c r="E12" i="19"/>
  <c r="E18" i="19"/>
  <c r="E39" i="19"/>
  <c r="E84" i="19"/>
  <c r="E60" i="19"/>
  <c r="E33" i="19"/>
  <c r="E58" i="19"/>
  <c r="D43" i="19"/>
  <c r="D86" i="19"/>
  <c r="D62" i="19"/>
  <c r="D79" i="19"/>
  <c r="D55" i="19"/>
  <c r="D13" i="19"/>
  <c r="E21" i="19"/>
  <c r="D15" i="19"/>
  <c r="E14" i="19"/>
  <c r="E11" i="19"/>
  <c r="E35" i="19"/>
  <c r="E59" i="19"/>
  <c r="E80" i="19"/>
  <c r="E36" i="19"/>
  <c r="E56" i="19"/>
  <c r="E77" i="19"/>
  <c r="E65" i="19"/>
  <c r="E82" i="19"/>
  <c r="E34" i="19"/>
  <c r="E54" i="19"/>
  <c r="D18" i="19"/>
  <c r="D41" i="19"/>
  <c r="D33" i="19"/>
  <c r="D84" i="19"/>
  <c r="D76" i="19"/>
  <c r="D60" i="19"/>
  <c r="D20" i="19"/>
  <c r="D34" i="19"/>
  <c r="D77" i="19"/>
  <c r="E9" i="19"/>
  <c r="D11" i="19"/>
  <c r="E63" i="19"/>
  <c r="E81" i="19"/>
  <c r="E38" i="19"/>
  <c r="D35" i="19"/>
  <c r="D54" i="19"/>
  <c r="D87" i="19"/>
  <c r="F75" i="19"/>
  <c r="F53" i="19"/>
  <c r="F30" i="19"/>
  <c r="F8" i="19"/>
  <c r="E89" i="19"/>
  <c r="E44" i="19"/>
  <c r="D89" i="19"/>
  <c r="E67" i="19"/>
  <c r="D44" i="19"/>
  <c r="E22" i="19"/>
  <c r="D67" i="19"/>
  <c r="D22" i="19"/>
  <c r="F77" i="19"/>
  <c r="F81" i="19"/>
  <c r="F85" i="19"/>
  <c r="F89" i="19"/>
  <c r="F55" i="19"/>
  <c r="F59" i="19"/>
  <c r="F63" i="19"/>
  <c r="F76" i="19"/>
  <c r="F80" i="19"/>
  <c r="F84" i="19"/>
  <c r="F88" i="19"/>
  <c r="F54" i="19"/>
  <c r="F58" i="19"/>
  <c r="F62" i="19"/>
  <c r="F66" i="19"/>
  <c r="F79" i="19"/>
  <c r="F83" i="19"/>
  <c r="F87" i="19"/>
  <c r="F57" i="19"/>
  <c r="F61" i="19"/>
  <c r="F65" i="19"/>
  <c r="F64" i="19"/>
  <c r="F78" i="19"/>
  <c r="F82" i="19"/>
  <c r="F86" i="19"/>
  <c r="F56" i="19"/>
  <c r="F60" i="19"/>
  <c r="F67" i="19"/>
  <c r="F31" i="19"/>
  <c r="F35" i="19"/>
  <c r="F39" i="19"/>
  <c r="F34" i="19"/>
  <c r="F38" i="19"/>
  <c r="F42" i="19"/>
  <c r="F33" i="19"/>
  <c r="F37" i="19"/>
  <c r="F41" i="19"/>
  <c r="F32" i="19"/>
  <c r="F36" i="19"/>
  <c r="F40" i="19"/>
  <c r="F44" i="19"/>
  <c r="F43" i="19"/>
  <c r="F9" i="19"/>
  <c r="F13" i="19"/>
  <c r="F17" i="19"/>
  <c r="F22" i="19"/>
  <c r="F12" i="19"/>
  <c r="F16" i="19"/>
  <c r="F11" i="19"/>
  <c r="F15" i="19"/>
  <c r="F19" i="19"/>
  <c r="F10" i="19"/>
  <c r="F14" i="19"/>
  <c r="F18" i="19"/>
  <c r="F21" i="19"/>
  <c r="F20" i="19"/>
  <c r="B34" i="29"/>
  <c r="C34" i="29" s="1"/>
  <c r="D34" i="29"/>
  <c r="E34" i="29" s="1"/>
  <c r="D37" i="29"/>
  <c r="E37" i="29" s="1"/>
  <c r="D41" i="29"/>
  <c r="E41" i="29" s="1"/>
  <c r="D45" i="29"/>
  <c r="E45" i="29" s="1"/>
  <c r="D33" i="29"/>
  <c r="E33" i="29" s="1"/>
  <c r="B37" i="29"/>
  <c r="C37" i="29" s="1"/>
  <c r="B41" i="29"/>
  <c r="C41" i="29" s="1"/>
  <c r="B45" i="29"/>
  <c r="C45" i="29" s="1"/>
  <c r="B33" i="29"/>
  <c r="C33" i="29" s="1"/>
  <c r="D36" i="29"/>
  <c r="E36" i="29" s="1"/>
  <c r="D40" i="29"/>
  <c r="E40" i="29" s="1"/>
  <c r="D44" i="29"/>
  <c r="E44" i="29" s="1"/>
  <c r="D48" i="29"/>
  <c r="E48" i="29" s="1"/>
  <c r="B36" i="29"/>
  <c r="C36" i="29" s="1"/>
  <c r="B40" i="29"/>
  <c r="C40" i="29" s="1"/>
  <c r="B44" i="29"/>
  <c r="C44" i="29" s="1"/>
  <c r="B48" i="29"/>
  <c r="C48" i="29" s="1"/>
  <c r="D35" i="29"/>
  <c r="E35" i="29" s="1"/>
  <c r="D39" i="29"/>
  <c r="E39" i="29" s="1"/>
  <c r="D43" i="29"/>
  <c r="E43" i="29" s="1"/>
  <c r="D47" i="29"/>
  <c r="E47" i="29" s="1"/>
  <c r="B35" i="29"/>
  <c r="C35" i="29" s="1"/>
  <c r="B39" i="29"/>
  <c r="C39" i="29" s="1"/>
  <c r="B43" i="29"/>
  <c r="C43" i="29" s="1"/>
  <c r="B47" i="29"/>
  <c r="C47" i="29" s="1"/>
  <c r="D38" i="29"/>
  <c r="E38" i="29" s="1"/>
  <c r="D42" i="29"/>
  <c r="E42" i="29" s="1"/>
  <c r="D46" i="29"/>
  <c r="E46" i="29" s="1"/>
  <c r="B38" i="29"/>
  <c r="C38" i="29" s="1"/>
  <c r="B42" i="29"/>
  <c r="C42" i="29" s="1"/>
  <c r="B46" i="29"/>
  <c r="C46" i="29" s="1"/>
  <c r="P89" i="16"/>
  <c r="O89" i="16"/>
  <c r="P67" i="16"/>
  <c r="P44" i="16"/>
  <c r="P22" i="16"/>
  <c r="O67" i="16"/>
  <c r="O44" i="16"/>
  <c r="O22" i="16"/>
  <c r="D77" i="16"/>
  <c r="P66" i="16"/>
  <c r="P58" i="16"/>
  <c r="P54" i="16"/>
  <c r="P81" i="16"/>
  <c r="P77" i="16"/>
  <c r="D79" i="16"/>
  <c r="O30" i="16"/>
  <c r="P31" i="16"/>
  <c r="O34" i="16"/>
  <c r="P35" i="16"/>
  <c r="O8" i="16"/>
  <c r="P9" i="16"/>
  <c r="O12" i="16"/>
  <c r="P13" i="16"/>
  <c r="O31" i="16"/>
  <c r="P32" i="16"/>
  <c r="O35" i="16"/>
  <c r="P36" i="16"/>
  <c r="O9" i="16"/>
  <c r="P10" i="16"/>
  <c r="O13" i="16"/>
  <c r="P14" i="16"/>
  <c r="O32" i="16"/>
  <c r="P33" i="16"/>
  <c r="O36" i="16"/>
  <c r="P37" i="16"/>
  <c r="O10" i="16"/>
  <c r="P11" i="16"/>
  <c r="O14" i="16"/>
  <c r="P15" i="16"/>
  <c r="P30" i="16"/>
  <c r="O33" i="16"/>
  <c r="P34" i="16"/>
  <c r="O37" i="16"/>
  <c r="P8" i="16"/>
  <c r="O11" i="16"/>
  <c r="P12" i="16"/>
  <c r="O15" i="16"/>
  <c r="P59" i="16"/>
  <c r="P55" i="16"/>
  <c r="P82" i="16"/>
  <c r="D81" i="16"/>
  <c r="D76" i="16"/>
  <c r="P60" i="16"/>
  <c r="P56" i="16"/>
  <c r="P79" i="16"/>
  <c r="P75" i="16"/>
  <c r="D78" i="16"/>
  <c r="D75" i="16"/>
  <c r="P78" i="16"/>
  <c r="P57" i="16"/>
  <c r="P53" i="16"/>
  <c r="P80" i="16"/>
  <c r="P76" i="16"/>
  <c r="D82" i="16"/>
  <c r="D80" i="16"/>
  <c r="D87" i="16"/>
  <c r="P64" i="16"/>
  <c r="P65" i="16"/>
  <c r="P61" i="16"/>
  <c r="P86" i="16"/>
  <c r="D85" i="16"/>
  <c r="P62" i="16"/>
  <c r="P87" i="16"/>
  <c r="P83" i="16"/>
  <c r="D83" i="16"/>
  <c r="D84" i="16"/>
  <c r="D86" i="16"/>
  <c r="P88" i="16"/>
  <c r="P84" i="16"/>
  <c r="O39" i="16"/>
  <c r="P40" i="16"/>
  <c r="O43" i="16"/>
  <c r="O17" i="16"/>
  <c r="P18" i="16"/>
  <c r="O21" i="16"/>
  <c r="O40" i="16"/>
  <c r="P41" i="16"/>
  <c r="O18" i="16"/>
  <c r="P19" i="16"/>
  <c r="P38" i="16"/>
  <c r="O41" i="16"/>
  <c r="P42" i="16"/>
  <c r="P16" i="16"/>
  <c r="O19" i="16"/>
  <c r="P20" i="16"/>
  <c r="O38" i="16"/>
  <c r="P39" i="16"/>
  <c r="O42" i="16"/>
  <c r="P43" i="16"/>
  <c r="O16" i="16"/>
  <c r="P17" i="16"/>
  <c r="O20" i="16"/>
  <c r="P21" i="16"/>
  <c r="P63" i="16"/>
  <c r="P85" i="16"/>
  <c r="D88" i="16"/>
  <c r="O75" i="16"/>
  <c r="O76" i="16"/>
  <c r="O77" i="16"/>
  <c r="O78" i="16"/>
  <c r="O79" i="16"/>
  <c r="O80" i="16"/>
  <c r="O82" i="16"/>
  <c r="O84" i="16"/>
  <c r="O87" i="16"/>
  <c r="O81" i="16"/>
  <c r="O83" i="16"/>
  <c r="O85" i="16"/>
  <c r="O86" i="16"/>
  <c r="O88" i="16"/>
  <c r="B73" i="16"/>
  <c r="C82" i="16"/>
  <c r="C86" i="16"/>
  <c r="C83" i="16"/>
  <c r="C87" i="16"/>
  <c r="C75" i="16"/>
  <c r="C79" i="16"/>
  <c r="C76" i="16"/>
  <c r="C80" i="16"/>
  <c r="C84" i="16"/>
  <c r="C88" i="16"/>
  <c r="C77" i="16"/>
  <c r="C81" i="16"/>
  <c r="C85" i="16"/>
  <c r="C78" i="16"/>
  <c r="O53" i="16"/>
  <c r="O54" i="16"/>
  <c r="O55" i="16"/>
  <c r="O56" i="16"/>
  <c r="O57" i="16"/>
  <c r="O58" i="16"/>
  <c r="O59" i="16"/>
  <c r="O60" i="16"/>
  <c r="O61" i="16"/>
  <c r="O62" i="16"/>
  <c r="O63" i="16"/>
  <c r="O64" i="16"/>
  <c r="O65" i="16"/>
  <c r="O66" i="16"/>
  <c r="N6" i="16"/>
  <c r="N33" i="16" s="1"/>
  <c r="D25" i="44" l="1"/>
  <c r="D19" i="44"/>
  <c r="D15" i="44"/>
  <c r="E12" i="35"/>
  <c r="E20" i="35"/>
  <c r="D11" i="44"/>
  <c r="D12" i="44"/>
  <c r="E11" i="35"/>
  <c r="E19" i="35"/>
  <c r="D24" i="44"/>
  <c r="D22" i="44"/>
  <c r="E13" i="35"/>
  <c r="E21" i="35"/>
  <c r="E16" i="35"/>
  <c r="E24" i="35"/>
  <c r="D20" i="44"/>
  <c r="D18" i="44"/>
  <c r="D16" i="44"/>
  <c r="D14" i="44"/>
  <c r="D23" i="44"/>
  <c r="D21" i="44"/>
  <c r="D17" i="44"/>
  <c r="D13" i="44"/>
  <c r="E15" i="35"/>
  <c r="E23" i="35"/>
  <c r="E18" i="35"/>
  <c r="E17" i="35"/>
  <c r="E25" i="35"/>
  <c r="C31" i="36"/>
  <c r="C27" i="36"/>
  <c r="I22" i="37"/>
  <c r="I11" i="37"/>
  <c r="I18" i="37"/>
  <c r="F16" i="34"/>
  <c r="F18" i="34"/>
  <c r="F22" i="34"/>
  <c r="J22" i="38"/>
  <c r="F25" i="34"/>
  <c r="I15" i="37"/>
  <c r="G51" i="16"/>
  <c r="F51" i="16" s="1"/>
  <c r="E51" i="16" s="1"/>
  <c r="H8" i="24"/>
  <c r="H8" i="47"/>
  <c r="I23" i="37"/>
  <c r="F24" i="34"/>
  <c r="E25" i="44"/>
  <c r="E12" i="43"/>
  <c r="E24" i="43"/>
  <c r="E19" i="43"/>
  <c r="E15" i="44"/>
  <c r="E21" i="43"/>
  <c r="E16" i="43"/>
  <c r="E24" i="44"/>
  <c r="E22" i="44"/>
  <c r="E21" i="44"/>
  <c r="E19" i="44"/>
  <c r="E16" i="44"/>
  <c r="E14" i="44"/>
  <c r="E13" i="44"/>
  <c r="E11" i="44"/>
  <c r="E20" i="44"/>
  <c r="E18" i="44"/>
  <c r="E23" i="44"/>
  <c r="E17" i="44"/>
  <c r="E12" i="44"/>
  <c r="D30" i="45"/>
  <c r="B28" i="43"/>
  <c r="E14" i="43"/>
  <c r="C28" i="43"/>
  <c r="D27" i="45"/>
  <c r="C27" i="45"/>
  <c r="E15" i="43"/>
  <c r="D31" i="45"/>
  <c r="B29" i="43"/>
  <c r="C29" i="45"/>
  <c r="C28" i="45"/>
  <c r="E11" i="43"/>
  <c r="C27" i="43"/>
  <c r="C31" i="45"/>
  <c r="B31" i="43"/>
  <c r="C30" i="43"/>
  <c r="E22" i="43"/>
  <c r="C30" i="45"/>
  <c r="D29" i="45"/>
  <c r="D28" i="45"/>
  <c r="B27" i="43"/>
  <c r="E18" i="43"/>
  <c r="E13" i="43"/>
  <c r="C31" i="43"/>
  <c r="E25" i="43"/>
  <c r="B30" i="43"/>
  <c r="E17" i="43"/>
  <c r="C29" i="43"/>
  <c r="E23" i="43"/>
  <c r="E20" i="43"/>
  <c r="J19" i="38"/>
  <c r="I14" i="37"/>
  <c r="G12" i="39"/>
  <c r="K24" i="36"/>
  <c r="G16" i="39"/>
  <c r="G24" i="39"/>
  <c r="K16" i="36"/>
  <c r="I25" i="38"/>
  <c r="H24" i="36"/>
  <c r="C7" i="19"/>
  <c r="C29" i="19"/>
  <c r="B29" i="19"/>
  <c r="B7" i="19"/>
  <c r="I25" i="37"/>
  <c r="J25" i="37"/>
  <c r="F25" i="35"/>
  <c r="K25" i="37"/>
  <c r="H24" i="37"/>
  <c r="F23" i="35"/>
  <c r="H23" i="37"/>
  <c r="I22" i="38"/>
  <c r="G25" i="39"/>
  <c r="I25" i="39"/>
  <c r="H25" i="39"/>
  <c r="J25" i="39"/>
  <c r="H25" i="37"/>
  <c r="J24" i="36"/>
  <c r="G25" i="38"/>
  <c r="I25" i="36"/>
  <c r="K25" i="36"/>
  <c r="H25" i="38"/>
  <c r="J25" i="38"/>
  <c r="J16" i="38"/>
  <c r="G20" i="39"/>
  <c r="F19" i="34"/>
  <c r="H16" i="38"/>
  <c r="G16" i="38"/>
  <c r="F15" i="34"/>
  <c r="F12" i="34"/>
  <c r="F13" i="34"/>
  <c r="I19" i="37"/>
  <c r="H15" i="39"/>
  <c r="J14" i="37"/>
  <c r="H13" i="38"/>
  <c r="J22" i="36"/>
  <c r="F15" i="35"/>
  <c r="G15" i="39"/>
  <c r="H14" i="37"/>
  <c r="I22" i="36"/>
  <c r="H22" i="36"/>
  <c r="J18" i="37"/>
  <c r="I14" i="39"/>
  <c r="J18" i="36"/>
  <c r="H18" i="36"/>
  <c r="G13" i="38"/>
  <c r="H12" i="38"/>
  <c r="F21" i="34"/>
  <c r="J15" i="38"/>
  <c r="H14" i="39"/>
  <c r="H19" i="39"/>
  <c r="G14" i="39"/>
  <c r="H12" i="37"/>
  <c r="H18" i="37"/>
  <c r="F17" i="35"/>
  <c r="H11" i="37"/>
  <c r="G19" i="39"/>
  <c r="B28" i="38"/>
  <c r="I21" i="38"/>
  <c r="I21" i="36"/>
  <c r="G21" i="38"/>
  <c r="H21" i="38"/>
  <c r="B30" i="38"/>
  <c r="H22" i="38"/>
  <c r="H21" i="36"/>
  <c r="C30" i="36"/>
  <c r="G19" i="38"/>
  <c r="I19" i="38"/>
  <c r="H12" i="36"/>
  <c r="J16" i="36"/>
  <c r="I18" i="36"/>
  <c r="H13" i="36"/>
  <c r="C30" i="40"/>
  <c r="H16" i="36"/>
  <c r="I13" i="38"/>
  <c r="H24" i="38"/>
  <c r="F13" i="35"/>
  <c r="F21" i="35"/>
  <c r="H19" i="37"/>
  <c r="G22" i="39"/>
  <c r="H20" i="37"/>
  <c r="I22" i="39"/>
  <c r="H22" i="39"/>
  <c r="H16" i="37"/>
  <c r="J22" i="37"/>
  <c r="I18" i="39"/>
  <c r="H18" i="39"/>
  <c r="H22" i="37"/>
  <c r="H23" i="39"/>
  <c r="F11" i="35"/>
  <c r="F19" i="35"/>
  <c r="H15" i="37"/>
  <c r="G23" i="39"/>
  <c r="G18" i="39"/>
  <c r="K18" i="37"/>
  <c r="K11" i="37"/>
  <c r="K21" i="37"/>
  <c r="J17" i="39"/>
  <c r="K12" i="37"/>
  <c r="J20" i="39"/>
  <c r="K14" i="37"/>
  <c r="J19" i="39"/>
  <c r="J21" i="39"/>
  <c r="K16" i="37"/>
  <c r="J24" i="39"/>
  <c r="K15" i="37"/>
  <c r="K22" i="37"/>
  <c r="J18" i="39"/>
  <c r="J15" i="39"/>
  <c r="J13" i="37"/>
  <c r="I21" i="39"/>
  <c r="J12" i="37"/>
  <c r="H17" i="39"/>
  <c r="I20" i="39"/>
  <c r="J23" i="39"/>
  <c r="F14" i="35"/>
  <c r="F22" i="35"/>
  <c r="H13" i="37"/>
  <c r="I16" i="37"/>
  <c r="J19" i="37"/>
  <c r="H12" i="39"/>
  <c r="I15" i="39"/>
  <c r="H11" i="39"/>
  <c r="G11" i="39"/>
  <c r="I11" i="39"/>
  <c r="I17" i="39"/>
  <c r="I21" i="37"/>
  <c r="J24" i="37"/>
  <c r="H13" i="39"/>
  <c r="I16" i="39"/>
  <c r="F12" i="35"/>
  <c r="F20" i="35"/>
  <c r="I12" i="37"/>
  <c r="J15" i="37"/>
  <c r="J14" i="39"/>
  <c r="G21" i="39"/>
  <c r="H24" i="39"/>
  <c r="K17" i="37"/>
  <c r="J13" i="39"/>
  <c r="J21" i="37"/>
  <c r="K24" i="37"/>
  <c r="I13" i="39"/>
  <c r="J16" i="39"/>
  <c r="I17" i="37"/>
  <c r="J20" i="37"/>
  <c r="K23" i="37"/>
  <c r="I12" i="39"/>
  <c r="F18" i="35"/>
  <c r="J11" i="37"/>
  <c r="H21" i="37"/>
  <c r="I24" i="37"/>
  <c r="G17" i="39"/>
  <c r="H20" i="39"/>
  <c r="I23" i="39"/>
  <c r="J11" i="39"/>
  <c r="K13" i="37"/>
  <c r="J17" i="37"/>
  <c r="K20" i="37"/>
  <c r="J12" i="39"/>
  <c r="I13" i="37"/>
  <c r="J16" i="37"/>
  <c r="K19" i="37"/>
  <c r="H21" i="39"/>
  <c r="I24" i="39"/>
  <c r="F16" i="35"/>
  <c r="F24" i="35"/>
  <c r="H17" i="37"/>
  <c r="I20" i="37"/>
  <c r="J23" i="37"/>
  <c r="G13" i="39"/>
  <c r="H16" i="39"/>
  <c r="I19" i="39"/>
  <c r="J22" i="39"/>
  <c r="J12" i="38"/>
  <c r="K22" i="36"/>
  <c r="F17" i="34"/>
  <c r="D29" i="34"/>
  <c r="C29" i="34"/>
  <c r="K11" i="36"/>
  <c r="G27" i="36"/>
  <c r="G23" i="38"/>
  <c r="C31" i="38"/>
  <c r="I14" i="36"/>
  <c r="E28" i="36"/>
  <c r="J23" i="36"/>
  <c r="F31" i="36"/>
  <c r="J11" i="38"/>
  <c r="F27" i="38"/>
  <c r="I11" i="36"/>
  <c r="E27" i="36"/>
  <c r="H14" i="36"/>
  <c r="D28" i="36"/>
  <c r="I23" i="36"/>
  <c r="E31" i="36"/>
  <c r="I11" i="38"/>
  <c r="E27" i="38"/>
  <c r="J20" i="38"/>
  <c r="F30" i="38"/>
  <c r="F27" i="40"/>
  <c r="G30" i="40"/>
  <c r="G20" i="38"/>
  <c r="C30" i="38"/>
  <c r="K14" i="36"/>
  <c r="G28" i="36"/>
  <c r="G14" i="38"/>
  <c r="C28" i="38"/>
  <c r="H23" i="38"/>
  <c r="D31" i="38"/>
  <c r="E27" i="40"/>
  <c r="F30" i="40"/>
  <c r="H18" i="38"/>
  <c r="G15" i="38"/>
  <c r="B27" i="38"/>
  <c r="G24" i="38"/>
  <c r="I12" i="36"/>
  <c r="H19" i="36"/>
  <c r="J21" i="36"/>
  <c r="I16" i="38"/>
  <c r="F20" i="34"/>
  <c r="D30" i="34"/>
  <c r="C30" i="34"/>
  <c r="K23" i="36"/>
  <c r="G31" i="36"/>
  <c r="I17" i="36"/>
  <c r="E29" i="36"/>
  <c r="J14" i="38"/>
  <c r="F28" i="38"/>
  <c r="D27" i="40"/>
  <c r="E29" i="40"/>
  <c r="J20" i="36"/>
  <c r="F30" i="36"/>
  <c r="H20" i="38"/>
  <c r="D30" i="38"/>
  <c r="F29" i="40"/>
  <c r="H17" i="36"/>
  <c r="D29" i="36"/>
  <c r="I14" i="38"/>
  <c r="E28" i="38"/>
  <c r="D30" i="40"/>
  <c r="H23" i="36"/>
  <c r="D31" i="36"/>
  <c r="H11" i="38"/>
  <c r="D27" i="38"/>
  <c r="I20" i="38"/>
  <c r="E30" i="38"/>
  <c r="G29" i="40"/>
  <c r="K13" i="36"/>
  <c r="I15" i="38"/>
  <c r="J24" i="38"/>
  <c r="K12" i="36"/>
  <c r="B31" i="38"/>
  <c r="C27" i="40"/>
  <c r="C28" i="36"/>
  <c r="I16" i="36"/>
  <c r="K18" i="36"/>
  <c r="J25" i="36"/>
  <c r="J13" i="38"/>
  <c r="G18" i="38"/>
  <c r="F11" i="34"/>
  <c r="D27" i="34"/>
  <c r="F23" i="34"/>
  <c r="D31" i="34"/>
  <c r="C27" i="34"/>
  <c r="C31" i="34"/>
  <c r="D31" i="40"/>
  <c r="J23" i="38"/>
  <c r="F31" i="38"/>
  <c r="G27" i="40"/>
  <c r="K17" i="36"/>
  <c r="G29" i="36"/>
  <c r="G17" i="38"/>
  <c r="C29" i="38"/>
  <c r="D29" i="40"/>
  <c r="J14" i="36"/>
  <c r="F28" i="36"/>
  <c r="J11" i="36"/>
  <c r="F27" i="36"/>
  <c r="K20" i="36"/>
  <c r="G30" i="36"/>
  <c r="F28" i="40"/>
  <c r="H11" i="36"/>
  <c r="D27" i="36"/>
  <c r="I20" i="36"/>
  <c r="E30" i="36"/>
  <c r="J17" i="38"/>
  <c r="F29" i="38"/>
  <c r="K15" i="36"/>
  <c r="I18" i="38"/>
  <c r="I15" i="36"/>
  <c r="J18" i="38"/>
  <c r="H25" i="36"/>
  <c r="J13" i="36"/>
  <c r="H15" i="38"/>
  <c r="G22" i="38"/>
  <c r="I24" i="38"/>
  <c r="C29" i="40"/>
  <c r="F14" i="34"/>
  <c r="D28" i="34"/>
  <c r="C28" i="34"/>
  <c r="H20" i="36"/>
  <c r="D30" i="36"/>
  <c r="G11" i="38"/>
  <c r="C27" i="38"/>
  <c r="I17" i="38"/>
  <c r="E29" i="38"/>
  <c r="G28" i="40"/>
  <c r="H17" i="38"/>
  <c r="D29" i="38"/>
  <c r="G31" i="40"/>
  <c r="H14" i="38"/>
  <c r="D28" i="38"/>
  <c r="I23" i="38"/>
  <c r="E31" i="38"/>
  <c r="E28" i="40"/>
  <c r="F31" i="40"/>
  <c r="E30" i="40"/>
  <c r="J17" i="36"/>
  <c r="F29" i="36"/>
  <c r="D28" i="40"/>
  <c r="E31" i="40"/>
  <c r="J15" i="36"/>
  <c r="C29" i="36"/>
  <c r="I19" i="36"/>
  <c r="K21" i="36"/>
  <c r="I13" i="36"/>
  <c r="K19" i="36"/>
  <c r="C28" i="40"/>
  <c r="J19" i="36"/>
  <c r="G12" i="38"/>
  <c r="C31" i="40"/>
  <c r="J12" i="36"/>
  <c r="H15" i="36"/>
  <c r="I24" i="36"/>
  <c r="I12" i="38"/>
  <c r="B29" i="38"/>
  <c r="H19" i="38"/>
  <c r="J21" i="38"/>
  <c r="D7" i="19"/>
  <c r="E52" i="19"/>
  <c r="D29" i="19"/>
  <c r="E74" i="19"/>
  <c r="E7" i="19"/>
  <c r="E29" i="19"/>
  <c r="D52" i="19"/>
  <c r="D74" i="19"/>
  <c r="F74" i="19"/>
  <c r="F52" i="19"/>
  <c r="F29" i="19"/>
  <c r="F7" i="19"/>
  <c r="N67" i="16"/>
  <c r="N44" i="16"/>
  <c r="N89" i="16"/>
  <c r="N22" i="16"/>
  <c r="N41" i="16"/>
  <c r="N18" i="16"/>
  <c r="N39" i="16"/>
  <c r="N16" i="16"/>
  <c r="N38" i="16"/>
  <c r="N12" i="16"/>
  <c r="N34" i="16"/>
  <c r="N14" i="16"/>
  <c r="N36" i="16"/>
  <c r="N13" i="16"/>
  <c r="N35" i="16"/>
  <c r="N8" i="16"/>
  <c r="N30" i="16"/>
  <c r="N40" i="16"/>
  <c r="N21" i="16"/>
  <c r="N10" i="16"/>
  <c r="N32" i="16"/>
  <c r="N9" i="16"/>
  <c r="N31" i="16"/>
  <c r="N15" i="16"/>
  <c r="N37" i="16"/>
  <c r="N19" i="16"/>
  <c r="N17" i="16"/>
  <c r="N43" i="16"/>
  <c r="N20" i="16"/>
  <c r="N42" i="16"/>
  <c r="N11" i="16"/>
  <c r="N75" i="16"/>
  <c r="N76" i="16"/>
  <c r="N77" i="16"/>
  <c r="N78" i="16"/>
  <c r="N79" i="16"/>
  <c r="N80" i="16"/>
  <c r="N81" i="16"/>
  <c r="N82" i="16"/>
  <c r="N83" i="16"/>
  <c r="N84" i="16"/>
  <c r="N85" i="16"/>
  <c r="N86" i="16"/>
  <c r="N87" i="16"/>
  <c r="N88" i="16"/>
  <c r="B77" i="16"/>
  <c r="B81" i="16"/>
  <c r="B85" i="16"/>
  <c r="B86" i="16"/>
  <c r="B75" i="16"/>
  <c r="B79" i="16"/>
  <c r="B83" i="16"/>
  <c r="B87" i="16"/>
  <c r="B76" i="16"/>
  <c r="B80" i="16"/>
  <c r="B84" i="16"/>
  <c r="B88" i="16"/>
  <c r="B78" i="16"/>
  <c r="B82" i="16"/>
  <c r="N53" i="16"/>
  <c r="N54" i="16"/>
  <c r="N55" i="16"/>
  <c r="N56" i="16"/>
  <c r="N57" i="16"/>
  <c r="N58" i="16"/>
  <c r="N59" i="16"/>
  <c r="N60" i="16"/>
  <c r="N61" i="16"/>
  <c r="N62" i="16"/>
  <c r="N63" i="16"/>
  <c r="N64" i="16"/>
  <c r="N65" i="16"/>
  <c r="N66" i="16"/>
  <c r="M6" i="16"/>
  <c r="H27" i="36" l="1"/>
  <c r="K27" i="36"/>
  <c r="J27" i="36"/>
  <c r="I27" i="36"/>
  <c r="F27" i="34"/>
  <c r="E27" i="34"/>
  <c r="G27" i="34" s="1"/>
  <c r="F15" i="44"/>
  <c r="F23" i="44"/>
  <c r="F22" i="44"/>
  <c r="F13" i="44"/>
  <c r="F17" i="44"/>
  <c r="F25" i="44"/>
  <c r="F21" i="44"/>
  <c r="F20" i="44"/>
  <c r="F16" i="44"/>
  <c r="F24" i="44"/>
  <c r="F12" i="44"/>
  <c r="F18" i="44"/>
  <c r="F19" i="44"/>
  <c r="F14" i="44"/>
  <c r="F15" i="43"/>
  <c r="F13" i="43"/>
  <c r="F25" i="43"/>
  <c r="F16" i="43"/>
  <c r="F22" i="43"/>
  <c r="F12" i="43"/>
  <c r="F24" i="43"/>
  <c r="F21" i="43"/>
  <c r="F19" i="43"/>
  <c r="F18" i="43"/>
  <c r="G27" i="38"/>
  <c r="J28" i="38"/>
  <c r="G15" i="35"/>
  <c r="G17" i="35"/>
  <c r="G19" i="35"/>
  <c r="G13" i="35"/>
  <c r="G22" i="35"/>
  <c r="G12" i="35"/>
  <c r="G16" i="35"/>
  <c r="G23" i="35"/>
  <c r="G21" i="35"/>
  <c r="G14" i="35"/>
  <c r="G20" i="35"/>
  <c r="G24" i="35"/>
  <c r="G11" i="35"/>
  <c r="G18" i="35"/>
  <c r="G25" i="35"/>
  <c r="G22" i="34"/>
  <c r="G11" i="34"/>
  <c r="G16" i="34"/>
  <c r="G15" i="34"/>
  <c r="G24" i="34"/>
  <c r="G13" i="34"/>
  <c r="G19" i="34"/>
  <c r="G21" i="34"/>
  <c r="G18" i="34"/>
  <c r="G12" i="34"/>
  <c r="G25" i="34"/>
  <c r="H30" i="36"/>
  <c r="J30" i="36"/>
  <c r="D51" i="16"/>
  <c r="E8" i="24"/>
  <c r="E8" i="47"/>
  <c r="F11" i="44"/>
  <c r="E31" i="45"/>
  <c r="E27" i="43"/>
  <c r="E28" i="43"/>
  <c r="E30" i="43"/>
  <c r="F11" i="43"/>
  <c r="D27" i="43"/>
  <c r="E27" i="45"/>
  <c r="F17" i="43"/>
  <c r="D29" i="43"/>
  <c r="E29" i="43"/>
  <c r="E28" i="45"/>
  <c r="F20" i="43"/>
  <c r="D30" i="43"/>
  <c r="E30" i="45"/>
  <c r="F23" i="43"/>
  <c r="D31" i="43"/>
  <c r="F14" i="43"/>
  <c r="D28" i="43"/>
  <c r="E29" i="45"/>
  <c r="E31" i="43"/>
  <c r="I31" i="38"/>
  <c r="H27" i="38"/>
  <c r="G28" i="38"/>
  <c r="H28" i="38"/>
  <c r="I28" i="38"/>
  <c r="K30" i="36"/>
  <c r="I30" i="36"/>
  <c r="H30" i="38"/>
  <c r="G30" i="38"/>
  <c r="I30" i="38"/>
  <c r="J30" i="38"/>
  <c r="F28" i="34"/>
  <c r="F30" i="34"/>
  <c r="J29" i="36"/>
  <c r="H29" i="36"/>
  <c r="G20" i="34"/>
  <c r="E30" i="34"/>
  <c r="G17" i="34"/>
  <c r="E29" i="34"/>
  <c r="K29" i="36"/>
  <c r="J31" i="38"/>
  <c r="F31" i="34"/>
  <c r="H29" i="38"/>
  <c r="I29" i="38"/>
  <c r="H31" i="36"/>
  <c r="I29" i="36"/>
  <c r="H31" i="38"/>
  <c r="K28" i="36"/>
  <c r="I31" i="36"/>
  <c r="J31" i="36"/>
  <c r="G31" i="38"/>
  <c r="F29" i="34"/>
  <c r="G14" i="34"/>
  <c r="E28" i="34"/>
  <c r="J29" i="38"/>
  <c r="J28" i="36"/>
  <c r="G29" i="38"/>
  <c r="G23" i="34"/>
  <c r="E31" i="34"/>
  <c r="K31" i="36"/>
  <c r="I27" i="38"/>
  <c r="H28" i="36"/>
  <c r="J27" i="38"/>
  <c r="I28" i="36"/>
  <c r="M22" i="16"/>
  <c r="M67" i="16"/>
  <c r="M89" i="16"/>
  <c r="M44" i="16"/>
  <c r="M34" i="16"/>
  <c r="M15" i="16"/>
  <c r="M37" i="16"/>
  <c r="M14" i="16"/>
  <c r="M35" i="16"/>
  <c r="M12" i="16"/>
  <c r="M19" i="16"/>
  <c r="M18" i="16"/>
  <c r="M43" i="16"/>
  <c r="M17" i="16"/>
  <c r="M39" i="16"/>
  <c r="M21" i="16"/>
  <c r="M9" i="16"/>
  <c r="M33" i="16"/>
  <c r="M42" i="16"/>
  <c r="M20" i="16"/>
  <c r="M38" i="16"/>
  <c r="M40" i="16"/>
  <c r="M31" i="16"/>
  <c r="M11" i="16"/>
  <c r="M30" i="16"/>
  <c r="M10" i="16"/>
  <c r="M36" i="16"/>
  <c r="M13" i="16"/>
  <c r="M32" i="16"/>
  <c r="M8" i="16"/>
  <c r="M41" i="16"/>
  <c r="M16" i="16"/>
  <c r="M75" i="16"/>
  <c r="M76" i="16"/>
  <c r="M77" i="16"/>
  <c r="M78" i="16"/>
  <c r="M79" i="16"/>
  <c r="M80" i="16"/>
  <c r="M81" i="16"/>
  <c r="M82" i="16"/>
  <c r="M83" i="16"/>
  <c r="M84" i="16"/>
  <c r="M85" i="16"/>
  <c r="M86" i="16"/>
  <c r="M87" i="16"/>
  <c r="M88" i="16"/>
  <c r="M53" i="16"/>
  <c r="M54" i="16"/>
  <c r="M55" i="16"/>
  <c r="M56" i="16"/>
  <c r="M57" i="16"/>
  <c r="M58" i="16"/>
  <c r="M59" i="16"/>
  <c r="M60" i="16"/>
  <c r="M61" i="16"/>
  <c r="M62" i="16"/>
  <c r="M63" i="16"/>
  <c r="M64" i="16"/>
  <c r="M65" i="16"/>
  <c r="M66" i="16"/>
  <c r="L6" i="16"/>
  <c r="F31" i="43" l="1"/>
  <c r="F30" i="43"/>
  <c r="F28" i="43"/>
  <c r="F27" i="43"/>
  <c r="F29" i="43"/>
  <c r="G28" i="34"/>
  <c r="G30" i="34"/>
  <c r="G31" i="34"/>
  <c r="G29" i="34"/>
  <c r="C51" i="16"/>
  <c r="D57" i="16"/>
  <c r="D55" i="16"/>
  <c r="D64" i="16"/>
  <c r="D66" i="16"/>
  <c r="D54" i="16"/>
  <c r="D56" i="16"/>
  <c r="D60" i="16"/>
  <c r="D53" i="16"/>
  <c r="D65" i="16"/>
  <c r="D61" i="16"/>
  <c r="D58" i="16"/>
  <c r="D62" i="16"/>
  <c r="D59" i="16"/>
  <c r="D63" i="16"/>
  <c r="L22" i="16"/>
  <c r="L89" i="16"/>
  <c r="L67" i="16"/>
  <c r="L44" i="16"/>
  <c r="L53" i="16"/>
  <c r="L54" i="16"/>
  <c r="L55" i="16"/>
  <c r="L56" i="16"/>
  <c r="L57" i="16"/>
  <c r="L58" i="16"/>
  <c r="L59" i="16"/>
  <c r="L60" i="16"/>
  <c r="L61" i="16"/>
  <c r="L62" i="16"/>
  <c r="L63" i="16"/>
  <c r="L64" i="16"/>
  <c r="L65" i="16"/>
  <c r="L66" i="16"/>
  <c r="L10" i="16"/>
  <c r="L14" i="16"/>
  <c r="L18" i="16"/>
  <c r="L75" i="16"/>
  <c r="L80" i="16"/>
  <c r="L30" i="16"/>
  <c r="L31" i="16"/>
  <c r="L32" i="16"/>
  <c r="L33" i="16"/>
  <c r="L34" i="16"/>
  <c r="L35" i="16"/>
  <c r="L36" i="16"/>
  <c r="L37" i="16"/>
  <c r="L38" i="16"/>
  <c r="L39" i="16"/>
  <c r="L40" i="16"/>
  <c r="L41" i="16"/>
  <c r="L42" i="16"/>
  <c r="L43" i="16"/>
  <c r="L8" i="16"/>
  <c r="L11" i="16"/>
  <c r="L15" i="16"/>
  <c r="L19" i="16"/>
  <c r="L76" i="16"/>
  <c r="L77" i="16"/>
  <c r="L78" i="16"/>
  <c r="L79" i="16"/>
  <c r="L81" i="16"/>
  <c r="L82" i="16"/>
  <c r="L83" i="16"/>
  <c r="L84" i="16"/>
  <c r="L85" i="16"/>
  <c r="L86" i="16"/>
  <c r="L87" i="16"/>
  <c r="L88" i="16"/>
  <c r="L13" i="16"/>
  <c r="L21" i="16"/>
  <c r="L12" i="16"/>
  <c r="L20" i="16"/>
  <c r="L9" i="16"/>
  <c r="L17" i="16"/>
  <c r="L16" i="16"/>
  <c r="K6" i="16"/>
  <c r="C54" i="16" l="1"/>
  <c r="C55" i="16"/>
  <c r="C60" i="16"/>
  <c r="C61" i="16"/>
  <c r="C62" i="16"/>
  <c r="C63" i="16"/>
  <c r="C53" i="16"/>
  <c r="B51" i="16"/>
  <c r="C66" i="16"/>
  <c r="C56" i="16"/>
  <c r="C57" i="16"/>
  <c r="C58" i="16"/>
  <c r="C59" i="16"/>
  <c r="C64" i="16"/>
  <c r="C65" i="16"/>
  <c r="K22" i="16"/>
  <c r="K89" i="16"/>
  <c r="K67" i="16"/>
  <c r="K44" i="16"/>
  <c r="K11" i="16"/>
  <c r="K75" i="16"/>
  <c r="K76" i="16"/>
  <c r="K77" i="16"/>
  <c r="K78" i="16"/>
  <c r="K79" i="16"/>
  <c r="K80" i="16"/>
  <c r="K81" i="16"/>
  <c r="K82" i="16"/>
  <c r="K83" i="16"/>
  <c r="K84" i="16"/>
  <c r="K85" i="16"/>
  <c r="K86" i="16"/>
  <c r="K87" i="16"/>
  <c r="K88" i="16"/>
  <c r="K9" i="16"/>
  <c r="K13" i="16"/>
  <c r="K17" i="16"/>
  <c r="K21" i="16"/>
  <c r="K53" i="16"/>
  <c r="K54" i="16"/>
  <c r="K55" i="16"/>
  <c r="K56" i="16"/>
  <c r="K57" i="16"/>
  <c r="K58" i="16"/>
  <c r="K59" i="16"/>
  <c r="K60" i="16"/>
  <c r="K61" i="16"/>
  <c r="K62" i="16"/>
  <c r="K63" i="16"/>
  <c r="K64" i="16"/>
  <c r="K65" i="16"/>
  <c r="K66" i="16"/>
  <c r="K10" i="16"/>
  <c r="K14" i="16"/>
  <c r="K18" i="16"/>
  <c r="K32" i="16"/>
  <c r="K36" i="16"/>
  <c r="K40" i="16"/>
  <c r="K16" i="16"/>
  <c r="K33" i="16"/>
  <c r="K37" i="16"/>
  <c r="K41" i="16"/>
  <c r="K8" i="16"/>
  <c r="K15" i="16"/>
  <c r="K30" i="16"/>
  <c r="K34" i="16"/>
  <c r="K38" i="16"/>
  <c r="K42" i="16"/>
  <c r="K12" i="16"/>
  <c r="K20" i="16"/>
  <c r="K31" i="16"/>
  <c r="K35" i="16"/>
  <c r="K39" i="16"/>
  <c r="K43" i="16"/>
  <c r="K19" i="16"/>
  <c r="J6" i="16"/>
  <c r="B8" i="24" l="1"/>
  <c r="B8" i="47"/>
  <c r="B61" i="16"/>
  <c r="B62" i="16"/>
  <c r="B63" i="16"/>
  <c r="B65" i="16"/>
  <c r="B66" i="16"/>
  <c r="B56" i="16"/>
  <c r="B57" i="16"/>
  <c r="B58" i="16"/>
  <c r="B59" i="16"/>
  <c r="B64" i="16"/>
  <c r="B53" i="16"/>
  <c r="B54" i="16"/>
  <c r="B55" i="16"/>
  <c r="B60" i="16"/>
  <c r="J44" i="16"/>
  <c r="J89" i="16"/>
  <c r="J67" i="16"/>
  <c r="J22" i="16"/>
  <c r="J75" i="16"/>
  <c r="J76" i="16"/>
  <c r="J77" i="16"/>
  <c r="J78" i="16"/>
  <c r="J79" i="16"/>
  <c r="J80" i="16"/>
  <c r="J81" i="16"/>
  <c r="J82" i="16"/>
  <c r="J83" i="16"/>
  <c r="J84" i="16"/>
  <c r="J85" i="16"/>
  <c r="J86" i="16"/>
  <c r="J87" i="16"/>
  <c r="J88" i="16"/>
  <c r="J30" i="16"/>
  <c r="J31" i="16"/>
  <c r="J32" i="16"/>
  <c r="J33" i="16"/>
  <c r="J34" i="16"/>
  <c r="J35" i="16"/>
  <c r="J36" i="16"/>
  <c r="J37" i="16"/>
  <c r="J38" i="16"/>
  <c r="J39" i="16"/>
  <c r="J40" i="16"/>
  <c r="J41" i="16"/>
  <c r="J42" i="16"/>
  <c r="J43" i="16"/>
  <c r="J8" i="16"/>
  <c r="J12" i="16"/>
  <c r="J16" i="16"/>
  <c r="J20" i="16"/>
  <c r="J54" i="16"/>
  <c r="J56" i="16"/>
  <c r="J58" i="16"/>
  <c r="J60" i="16"/>
  <c r="J62" i="16"/>
  <c r="J64" i="16"/>
  <c r="J66" i="16"/>
  <c r="J10" i="16"/>
  <c r="J9" i="16"/>
  <c r="J13" i="16"/>
  <c r="J17" i="16"/>
  <c r="J21" i="16"/>
  <c r="J53" i="16"/>
  <c r="J55" i="16"/>
  <c r="J57" i="16"/>
  <c r="J59" i="16"/>
  <c r="J61" i="16"/>
  <c r="J63" i="16"/>
  <c r="J65" i="16"/>
  <c r="J19" i="16"/>
  <c r="J11" i="16"/>
  <c r="J18" i="16"/>
  <c r="J15" i="16"/>
  <c r="J14" i="16"/>
  <c r="I6" i="16"/>
  <c r="I44" i="16" l="1"/>
  <c r="I22" i="16"/>
  <c r="I67" i="16"/>
  <c r="I89" i="16"/>
  <c r="I53" i="16"/>
  <c r="I54" i="16"/>
  <c r="I55" i="16"/>
  <c r="I56" i="16"/>
  <c r="I57" i="16"/>
  <c r="I58" i="16"/>
  <c r="I59" i="16"/>
  <c r="I60" i="16"/>
  <c r="I61" i="16"/>
  <c r="I62" i="16"/>
  <c r="I63" i="16"/>
  <c r="I64" i="16"/>
  <c r="I65" i="16"/>
  <c r="I66" i="16"/>
  <c r="I11" i="16"/>
  <c r="I15" i="16"/>
  <c r="I19" i="16"/>
  <c r="I75" i="16"/>
  <c r="I76" i="16"/>
  <c r="I77" i="16"/>
  <c r="I78" i="16"/>
  <c r="I79" i="16"/>
  <c r="I80" i="16"/>
  <c r="I81" i="16"/>
  <c r="I82" i="16"/>
  <c r="I83" i="16"/>
  <c r="I84" i="16"/>
  <c r="I85" i="16"/>
  <c r="I86" i="16"/>
  <c r="I87" i="16"/>
  <c r="I88" i="16"/>
  <c r="I30" i="16"/>
  <c r="I31" i="16"/>
  <c r="I32" i="16"/>
  <c r="I33" i="16"/>
  <c r="I34" i="16"/>
  <c r="I35" i="16"/>
  <c r="I36" i="16"/>
  <c r="I37" i="16"/>
  <c r="I38" i="16"/>
  <c r="I39" i="16"/>
  <c r="I40" i="16"/>
  <c r="I41" i="16"/>
  <c r="I42" i="16"/>
  <c r="I43" i="16"/>
  <c r="I8" i="16"/>
  <c r="I12" i="16"/>
  <c r="I16" i="16"/>
  <c r="I20" i="16"/>
  <c r="I9" i="16"/>
  <c r="I10" i="16"/>
  <c r="I14" i="16"/>
  <c r="I13" i="16"/>
  <c r="I21" i="16"/>
  <c r="I18" i="16"/>
  <c r="I17" i="16"/>
  <c r="H6" i="16"/>
  <c r="H44" i="16" l="1"/>
  <c r="H22" i="16"/>
  <c r="H89" i="16"/>
  <c r="H67" i="16"/>
  <c r="H38" i="16"/>
  <c r="H53" i="16"/>
  <c r="H54" i="16"/>
  <c r="H55" i="16"/>
  <c r="H56" i="16"/>
  <c r="H57" i="16"/>
  <c r="H58" i="16"/>
  <c r="H59" i="16"/>
  <c r="H60" i="16"/>
  <c r="H61" i="16"/>
  <c r="H62" i="16"/>
  <c r="H63" i="16"/>
  <c r="H64" i="16"/>
  <c r="H65" i="16"/>
  <c r="H66" i="16"/>
  <c r="H10" i="16"/>
  <c r="H14" i="16"/>
  <c r="H18" i="16"/>
  <c r="H30" i="16"/>
  <c r="H31" i="16"/>
  <c r="H32" i="16"/>
  <c r="H33" i="16"/>
  <c r="H34" i="16"/>
  <c r="H35" i="16"/>
  <c r="H36" i="16"/>
  <c r="H37" i="16"/>
  <c r="H39" i="16"/>
  <c r="H40" i="16"/>
  <c r="H41" i="16"/>
  <c r="H42" i="16"/>
  <c r="H43" i="16"/>
  <c r="H8" i="16"/>
  <c r="H11" i="16"/>
  <c r="H15" i="16"/>
  <c r="H19" i="16"/>
  <c r="H75" i="16"/>
  <c r="H76" i="16"/>
  <c r="H77" i="16"/>
  <c r="H78" i="16"/>
  <c r="H79" i="16"/>
  <c r="H80" i="16"/>
  <c r="H81" i="16"/>
  <c r="H82" i="16"/>
  <c r="H83" i="16"/>
  <c r="H84" i="16"/>
  <c r="H85" i="16"/>
  <c r="H86" i="16"/>
  <c r="H87" i="16"/>
  <c r="H88" i="16"/>
  <c r="H12" i="16"/>
  <c r="H17" i="16"/>
  <c r="H16" i="16"/>
  <c r="H13" i="16"/>
  <c r="H21" i="16"/>
  <c r="H9" i="16"/>
  <c r="H20" i="16"/>
  <c r="G6" i="16"/>
  <c r="G89" i="16" s="1"/>
  <c r="G44" i="16" l="1"/>
  <c r="G22" i="16"/>
  <c r="G67" i="16"/>
  <c r="G75" i="16"/>
  <c r="G76" i="16"/>
  <c r="G77" i="16"/>
  <c r="G78" i="16"/>
  <c r="G79" i="16"/>
  <c r="G80" i="16"/>
  <c r="G81" i="16"/>
  <c r="G82" i="16"/>
  <c r="G83" i="16"/>
  <c r="G84" i="16"/>
  <c r="G85" i="16"/>
  <c r="G86" i="16"/>
  <c r="G87" i="16"/>
  <c r="G88" i="16"/>
  <c r="G9" i="16"/>
  <c r="G13" i="16"/>
  <c r="G17" i="16"/>
  <c r="G21" i="16"/>
  <c r="G11" i="16"/>
  <c r="G53" i="16"/>
  <c r="G54" i="16"/>
  <c r="G55" i="16"/>
  <c r="G56" i="16"/>
  <c r="G57" i="16"/>
  <c r="G58" i="16"/>
  <c r="G59" i="16"/>
  <c r="G60" i="16"/>
  <c r="G61" i="16"/>
  <c r="G62" i="16"/>
  <c r="G63" i="16"/>
  <c r="G64" i="16"/>
  <c r="G65" i="16"/>
  <c r="G66" i="16"/>
  <c r="G10" i="16"/>
  <c r="G14" i="16"/>
  <c r="G18" i="16"/>
  <c r="G31" i="16"/>
  <c r="G35" i="16"/>
  <c r="G39" i="16"/>
  <c r="G43" i="16"/>
  <c r="G20" i="16"/>
  <c r="G32" i="16"/>
  <c r="G36" i="16"/>
  <c r="G40" i="16"/>
  <c r="G19" i="16"/>
  <c r="G33" i="16"/>
  <c r="G37" i="16"/>
  <c r="G41" i="16"/>
  <c r="G8" i="16"/>
  <c r="G16" i="16"/>
  <c r="G30" i="16"/>
  <c r="G34" i="16"/>
  <c r="G38" i="16"/>
  <c r="G42" i="16"/>
  <c r="G12" i="16"/>
  <c r="G15" i="16"/>
  <c r="F6" i="16"/>
  <c r="F67" i="16" l="1"/>
  <c r="F89" i="16"/>
  <c r="F22" i="16"/>
  <c r="F44" i="16"/>
  <c r="F10" i="16"/>
  <c r="F75" i="16"/>
  <c r="F76" i="16"/>
  <c r="F77" i="16"/>
  <c r="F78" i="16"/>
  <c r="F79" i="16"/>
  <c r="F80" i="16"/>
  <c r="F81" i="16"/>
  <c r="F82" i="16"/>
  <c r="F83" i="16"/>
  <c r="F84" i="16"/>
  <c r="F85" i="16"/>
  <c r="F86" i="16"/>
  <c r="F87" i="16"/>
  <c r="F88" i="16"/>
  <c r="F30" i="16"/>
  <c r="F31" i="16"/>
  <c r="F32" i="16"/>
  <c r="F33" i="16"/>
  <c r="F34" i="16"/>
  <c r="F35" i="16"/>
  <c r="F36" i="16"/>
  <c r="F37" i="16"/>
  <c r="F38" i="16"/>
  <c r="F39" i="16"/>
  <c r="F40" i="16"/>
  <c r="F41" i="16"/>
  <c r="F42" i="16"/>
  <c r="F43" i="16"/>
  <c r="F8" i="16"/>
  <c r="F12" i="16"/>
  <c r="F16" i="16"/>
  <c r="F20" i="16"/>
  <c r="F57" i="16"/>
  <c r="F59" i="16"/>
  <c r="F61" i="16"/>
  <c r="F63" i="16"/>
  <c r="F65" i="16"/>
  <c r="F9" i="16"/>
  <c r="F13" i="16"/>
  <c r="F17" i="16"/>
  <c r="F21" i="16"/>
  <c r="F53" i="16"/>
  <c r="F54" i="16"/>
  <c r="F55" i="16"/>
  <c r="F56" i="16"/>
  <c r="F58" i="16"/>
  <c r="F60" i="16"/>
  <c r="F62" i="16"/>
  <c r="F64" i="16"/>
  <c r="F66" i="16"/>
  <c r="F15" i="16"/>
  <c r="F14" i="16"/>
  <c r="F11" i="16"/>
  <c r="F19" i="16"/>
  <c r="F18" i="16"/>
  <c r="E6" i="16"/>
  <c r="D6" i="16" l="1"/>
  <c r="D29" i="16" s="1"/>
  <c r="E89" i="16"/>
  <c r="E67" i="16"/>
  <c r="E44" i="16"/>
  <c r="E22" i="16"/>
  <c r="E53" i="16"/>
  <c r="E54" i="16"/>
  <c r="E55" i="16"/>
  <c r="E56" i="16"/>
  <c r="E57" i="16"/>
  <c r="E58" i="16"/>
  <c r="E59" i="16"/>
  <c r="E60" i="16"/>
  <c r="E61" i="16"/>
  <c r="E62" i="16"/>
  <c r="E63" i="16"/>
  <c r="E64" i="16"/>
  <c r="E65" i="16"/>
  <c r="E66" i="16"/>
  <c r="E11" i="16"/>
  <c r="E15" i="16"/>
  <c r="E19" i="16"/>
  <c r="E75" i="16"/>
  <c r="E76" i="16"/>
  <c r="E77" i="16"/>
  <c r="E78" i="16"/>
  <c r="E79" i="16"/>
  <c r="E80" i="16"/>
  <c r="E81" i="16"/>
  <c r="E82" i="16"/>
  <c r="E83" i="16"/>
  <c r="E84" i="16"/>
  <c r="E85" i="16"/>
  <c r="E86" i="16"/>
  <c r="E87" i="16"/>
  <c r="E88" i="16"/>
  <c r="E30" i="16"/>
  <c r="E31" i="16"/>
  <c r="E32" i="16"/>
  <c r="E33" i="16"/>
  <c r="E34" i="16"/>
  <c r="E35" i="16"/>
  <c r="E36" i="16"/>
  <c r="E37" i="16"/>
  <c r="E38" i="16"/>
  <c r="E39" i="16"/>
  <c r="E40" i="16"/>
  <c r="E41" i="16"/>
  <c r="E42" i="16"/>
  <c r="E43" i="16"/>
  <c r="E10" i="16"/>
  <c r="E14" i="16"/>
  <c r="E18" i="16"/>
  <c r="E8" i="16"/>
  <c r="E12" i="16"/>
  <c r="E20" i="16"/>
  <c r="E9" i="16"/>
  <c r="E17" i="16"/>
  <c r="E16" i="16"/>
  <c r="E13" i="16"/>
  <c r="E21" i="16"/>
  <c r="D20" i="16" l="1"/>
  <c r="D22" i="16"/>
  <c r="D35" i="16"/>
  <c r="D36" i="16"/>
  <c r="D13" i="16"/>
  <c r="D11" i="16"/>
  <c r="D39" i="16"/>
  <c r="D44" i="16"/>
  <c r="D17" i="16"/>
  <c r="D8" i="16"/>
  <c r="D43" i="16"/>
  <c r="D34" i="16"/>
  <c r="D21" i="16"/>
  <c r="D16" i="16"/>
  <c r="D18" i="16"/>
  <c r="D38" i="16"/>
  <c r="D41" i="16"/>
  <c r="D37" i="16"/>
  <c r="D19" i="16"/>
  <c r="D15" i="16"/>
  <c r="D14" i="16"/>
  <c r="D42" i="16"/>
  <c r="D40" i="16"/>
  <c r="D33" i="16"/>
  <c r="C6" i="16"/>
  <c r="C89" i="16" s="1"/>
  <c r="D9" i="16"/>
  <c r="D12" i="16"/>
  <c r="D7" i="16"/>
  <c r="D10" i="16"/>
  <c r="D31" i="16"/>
  <c r="D30" i="16"/>
  <c r="D32" i="16"/>
  <c r="D89" i="16"/>
  <c r="D67" i="16"/>
  <c r="C22" i="16" l="1"/>
  <c r="C30" i="16"/>
  <c r="C19" i="16"/>
  <c r="C31" i="16"/>
  <c r="C20" i="16"/>
  <c r="B6" i="16"/>
  <c r="A2" i="54" s="1"/>
  <c r="C32" i="16"/>
  <c r="C21" i="16"/>
  <c r="C29" i="16"/>
  <c r="C8" i="16"/>
  <c r="C7" i="16"/>
  <c r="C10" i="16"/>
  <c r="C9" i="16"/>
  <c r="C35" i="16"/>
  <c r="C34" i="16"/>
  <c r="C33" i="16"/>
  <c r="C36" i="16"/>
  <c r="C12" i="16"/>
  <c r="C11" i="16"/>
  <c r="C14" i="16"/>
  <c r="C13" i="16"/>
  <c r="C39" i="16"/>
  <c r="C38" i="16"/>
  <c r="C37" i="16"/>
  <c r="C40" i="16"/>
  <c r="C67" i="16"/>
  <c r="C16" i="16"/>
  <c r="C15" i="16"/>
  <c r="C18" i="16"/>
  <c r="C17" i="16"/>
  <c r="C43" i="16"/>
  <c r="C42" i="16"/>
  <c r="C41" i="16"/>
  <c r="C44" i="16"/>
  <c r="B33" i="16"/>
  <c r="B13" i="16"/>
  <c r="B67" i="16" l="1"/>
  <c r="A2" i="24"/>
  <c r="A2" i="47"/>
  <c r="B34" i="16"/>
  <c r="B10" i="16"/>
  <c r="B36" i="16"/>
  <c r="B7" i="16"/>
  <c r="B12" i="16"/>
  <c r="B35" i="16"/>
  <c r="B19" i="16"/>
  <c r="B22" i="16"/>
  <c r="B9" i="16"/>
  <c r="B8" i="16"/>
  <c r="B29" i="16"/>
  <c r="B30" i="16"/>
  <c r="B32" i="16"/>
  <c r="B31" i="16"/>
  <c r="B21" i="16"/>
  <c r="B15" i="16"/>
  <c r="B18" i="16"/>
  <c r="B20" i="16"/>
  <c r="B41" i="16"/>
  <c r="B42" i="16"/>
  <c r="B44" i="16"/>
  <c r="B43" i="16"/>
  <c r="B89" i="16"/>
  <c r="B17" i="16"/>
  <c r="B11" i="16"/>
  <c r="B14" i="16"/>
  <c r="B16" i="16"/>
  <c r="B37" i="16"/>
  <c r="B38" i="16"/>
  <c r="B40" i="16"/>
  <c r="B39" i="16"/>
  <c r="P52" i="16" l="1"/>
  <c r="B52" i="16"/>
  <c r="M7" i="16"/>
  <c r="M29" i="16"/>
  <c r="L7" i="16"/>
  <c r="J7" i="16"/>
  <c r="I74" i="16"/>
  <c r="I52" i="16"/>
  <c r="H7" i="16"/>
  <c r="H52" i="16"/>
  <c r="G29" i="16"/>
  <c r="F7" i="16"/>
  <c r="E7" i="16"/>
  <c r="P29" i="16"/>
  <c r="P7" i="16"/>
  <c r="P74" i="16"/>
  <c r="L74" i="16"/>
  <c r="L29" i="16"/>
  <c r="K7" i="16"/>
  <c r="J29" i="16"/>
  <c r="I29" i="16"/>
  <c r="H74" i="16"/>
  <c r="G7" i="16"/>
  <c r="F74" i="16"/>
  <c r="E52" i="16"/>
  <c r="D52" i="16"/>
  <c r="O7" i="16"/>
  <c r="O74" i="16"/>
  <c r="C52" i="16"/>
  <c r="M52" i="16"/>
  <c r="L52" i="16"/>
  <c r="K29" i="16"/>
  <c r="K52" i="16"/>
  <c r="I7" i="16"/>
  <c r="G52" i="16"/>
  <c r="F52" i="16"/>
  <c r="D74" i="16"/>
  <c r="O29" i="16"/>
  <c r="O52" i="16"/>
  <c r="C74" i="16"/>
  <c r="B74" i="16"/>
  <c r="M74" i="16"/>
  <c r="K74" i="16"/>
  <c r="J52" i="16"/>
  <c r="J74" i="16"/>
  <c r="H29" i="16"/>
  <c r="G74" i="16"/>
  <c r="F29" i="16"/>
  <c r="E29" i="16"/>
  <c r="E74" i="16"/>
  <c r="N7" i="16"/>
  <c r="N74" i="16"/>
  <c r="N29" i="16"/>
  <c r="N52" i="16"/>
</calcChain>
</file>

<file path=xl/sharedStrings.xml><?xml version="1.0" encoding="utf-8"?>
<sst xmlns="http://schemas.openxmlformats.org/spreadsheetml/2006/main" count="7369" uniqueCount="2224">
  <si>
    <t>Ayrshire and Arran</t>
  </si>
  <si>
    <t>Borders</t>
  </si>
  <si>
    <t>Fife</t>
  </si>
  <si>
    <t>Forth Valley</t>
  </si>
  <si>
    <t>Grampian</t>
  </si>
  <si>
    <t>Greater Glasgow</t>
  </si>
  <si>
    <t>Highland</t>
  </si>
  <si>
    <t>Lanarkshire</t>
  </si>
  <si>
    <t>Lothian</t>
  </si>
  <si>
    <t>Orkney</t>
  </si>
  <si>
    <t>Shetland</t>
  </si>
  <si>
    <t>Tayside</t>
  </si>
  <si>
    <t>Western Isles</t>
  </si>
  <si>
    <t>XXX</t>
  </si>
  <si>
    <t>01-January</t>
  </si>
  <si>
    <t>02-february</t>
  </si>
  <si>
    <t>03-March</t>
  </si>
  <si>
    <t>04-April</t>
  </si>
  <si>
    <t>05-May</t>
  </si>
  <si>
    <t>06-June</t>
  </si>
  <si>
    <t>07-July</t>
  </si>
  <si>
    <t>08-August</t>
  </si>
  <si>
    <t>09-September</t>
  </si>
  <si>
    <t>10-October</t>
  </si>
  <si>
    <t>11-November</t>
  </si>
  <si>
    <t>12-December</t>
  </si>
  <si>
    <t>Dumfries and Galloway</t>
  </si>
  <si>
    <t>Unadjusted</t>
  </si>
  <si>
    <t>Scotland</t>
  </si>
  <si>
    <t>Referrals</t>
  </si>
  <si>
    <t>over 53</t>
  </si>
  <si>
    <t xml:space="preserve">Month </t>
  </si>
  <si>
    <t>Total Patients Seen</t>
  </si>
  <si>
    <t xml:space="preserve">Number of patients </t>
  </si>
  <si>
    <t>0-18 weeks</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</si>
  <si>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</si>
  <si>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</si>
  <si>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</si>
  <si>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</si>
  <si>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</si>
  <si>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</si>
  <si>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</si>
  <si>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</si>
  <si>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</si>
  <si>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</si>
  <si>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</si>
  <si>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</si>
  <si>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</si>
  <si>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</si>
  <si>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</si>
  <si>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</si>
  <si>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</si>
  <si>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</si>
  <si>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</si>
  <si>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</si>
  <si>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</si>
  <si>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</si>
  <si>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</si>
  <si>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</si>
  <si>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</si>
  <si>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</si>
  <si>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</si>
  <si>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</si>
  <si>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</si>
  <si>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</si>
  <si>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</si>
  <si>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</si>
  <si>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</si>
  <si>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</si>
  <si>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AI</t>
  </si>
  <si>
    <t>AJ</t>
  </si>
  <si>
    <t>AK</t>
  </si>
  <si>
    <t>AL</t>
  </si>
  <si>
    <t>AM</t>
  </si>
  <si>
    <t>AN</t>
  </si>
  <si>
    <t>AO</t>
  </si>
  <si>
    <t>AP</t>
  </si>
  <si>
    <t>AQ</t>
  </si>
  <si>
    <t>AR</t>
  </si>
  <si>
    <t>AS</t>
  </si>
  <si>
    <t>AT</t>
  </si>
  <si>
    <t>AU</t>
  </si>
  <si>
    <t>AV</t>
  </si>
  <si>
    <t>AW</t>
  </si>
  <si>
    <t>AX</t>
  </si>
  <si>
    <t>AY</t>
  </si>
  <si>
    <t>AZ</t>
  </si>
  <si>
    <t>BA</t>
  </si>
  <si>
    <t>BB</t>
  </si>
  <si>
    <t>BC</t>
  </si>
  <si>
    <t>BD</t>
  </si>
  <si>
    <t>BE</t>
  </si>
  <si>
    <t>BF</t>
  </si>
  <si>
    <t>BG</t>
  </si>
  <si>
    <t>BH</t>
  </si>
  <si>
    <t>BI</t>
  </si>
  <si>
    <t>BJ</t>
  </si>
  <si>
    <t>BK</t>
  </si>
  <si>
    <t>BL</t>
  </si>
  <si>
    <t>BM</t>
  </si>
  <si>
    <t>BN</t>
  </si>
  <si>
    <t>BO</t>
  </si>
  <si>
    <t>BP</t>
  </si>
  <si>
    <t>BQ</t>
  </si>
  <si>
    <t>BR</t>
  </si>
  <si>
    <t>BS</t>
  </si>
  <si>
    <t>BT</t>
  </si>
  <si>
    <t>BU</t>
  </si>
  <si>
    <t>BV</t>
  </si>
  <si>
    <t>BW</t>
  </si>
  <si>
    <t>BX</t>
  </si>
  <si>
    <t>BY</t>
  </si>
  <si>
    <t>BZ</t>
  </si>
  <si>
    <t>CA</t>
  </si>
  <si>
    <t>CB</t>
  </si>
  <si>
    <t>CC</t>
  </si>
  <si>
    <t>CD</t>
  </si>
  <si>
    <t>CE</t>
  </si>
  <si>
    <t>CF</t>
  </si>
  <si>
    <t>CG</t>
  </si>
  <si>
    <t>CH</t>
  </si>
  <si>
    <t>CI</t>
  </si>
  <si>
    <t>CJ</t>
  </si>
  <si>
    <t>CK</t>
  </si>
  <si>
    <t>CL</t>
  </si>
  <si>
    <t>CM</t>
  </si>
  <si>
    <t>CN</t>
  </si>
  <si>
    <t>CO</t>
  </si>
  <si>
    <t>CP</t>
  </si>
  <si>
    <t>CQ</t>
  </si>
  <si>
    <t>CR</t>
  </si>
  <si>
    <t>CS</t>
  </si>
  <si>
    <t>CT</t>
  </si>
  <si>
    <t>CU</t>
  </si>
  <si>
    <t>CV</t>
  </si>
  <si>
    <t>CW</t>
  </si>
  <si>
    <t>NHS Ayrshire &amp; Arran</t>
  </si>
  <si>
    <t>NHS Borders</t>
  </si>
  <si>
    <t>NHS Fife</t>
  </si>
  <si>
    <t>NHS Forth Valley</t>
  </si>
  <si>
    <t>NHS Grampian</t>
  </si>
  <si>
    <t>NHS Greater Glasgow &amp; Clyde</t>
  </si>
  <si>
    <t>NHS Highland</t>
  </si>
  <si>
    <t>NHS Lothian</t>
  </si>
  <si>
    <t>NHS Orkney</t>
  </si>
  <si>
    <t>NHS Shetland</t>
  </si>
  <si>
    <t>NHS Tayside</t>
  </si>
  <si>
    <t>NHS Western Isles</t>
  </si>
  <si>
    <t>median</t>
  </si>
  <si>
    <t>Excel VBA Macros used to check Psychological Therapies</t>
  </si>
  <si>
    <t>Use this button for checking total number of patients, 0-18 weeks and over 18 weeks</t>
  </si>
  <si>
    <t>Use this button to check the patient distribuition.</t>
  </si>
  <si>
    <t>You'll be asked to input the date of the month to check</t>
  </si>
  <si>
    <t>You'll be asked to input the date of the month to check.</t>
  </si>
  <si>
    <t>Use this button to check box plots.</t>
  </si>
  <si>
    <t/>
  </si>
  <si>
    <t/>
  </si>
  <si>
    <t/>
  </si>
  <si>
    <t>Heat Waiting Times_Report.xls</t>
  </si>
  <si>
    <t>Waiting Times UNADJUSTED_Report.xls</t>
  </si>
  <si>
    <t>NHS Dumfries &amp; Galloway</t>
  </si>
  <si>
    <t>Adjusted: patients-seen 26 weeks</t>
  </si>
  <si>
    <t>Adjusted: patients-waiting 26 weeks</t>
  </si>
  <si>
    <t>Adjusted: Patients-seen18wks</t>
  </si>
  <si>
    <t>Adjusted: patients-waiting18wks</t>
  </si>
  <si>
    <t>Unadjusted: patients-seen 26 weeks</t>
  </si>
  <si>
    <t>Unadjusted: patients-waiting 26 weeks</t>
  </si>
  <si>
    <t>Unadjusted: Patients-seen18wks</t>
  </si>
  <si>
    <t>Unadjusted: patients-waiting18wks</t>
  </si>
  <si>
    <t>over18</t>
  </si>
  <si>
    <t>0_26</t>
  </si>
  <si>
    <t>over 26</t>
  </si>
  <si>
    <t>36_52</t>
  </si>
  <si>
    <t xml:space="preserve">Adjusted seen </t>
  </si>
  <si>
    <t>Adjusted seen over_65</t>
  </si>
  <si>
    <t xml:space="preserve">Unadjusted seen </t>
  </si>
  <si>
    <t>Unadjusted seen over_65</t>
  </si>
  <si>
    <t>referrals received</t>
  </si>
  <si>
    <t>referrals accepted</t>
  </si>
  <si>
    <t>Unadjusted seen over_66</t>
  </si>
  <si>
    <t>NHS Board of treatment</t>
  </si>
  <si>
    <t>Median</t>
  </si>
  <si>
    <t>90th Percentile</t>
  </si>
  <si>
    <t>Type of adjustment</t>
  </si>
  <si>
    <t>90percent</t>
  </si>
  <si>
    <t>MANAGEMENT INFORMATION – NOT FOR ONWARD RELEASE</t>
  </si>
  <si>
    <t>While NHS Boards are developing their systems to improve completeness and consistency of the data, NHS Board figures may not be directly comparable.</t>
  </si>
  <si>
    <t>Percentage of patients</t>
  </si>
  <si>
    <t>19-35 weeks</t>
  </si>
  <si>
    <t>over 35 weeks</t>
  </si>
  <si>
    <t xml:space="preserve"> - denotes zero</t>
  </si>
  <si>
    <t xml:space="preserve"> .. denotes data unavailable</t>
  </si>
  <si>
    <t>NHS Lanarkshire</t>
  </si>
  <si>
    <t>Total Patients Waiting</t>
  </si>
  <si>
    <t xml:space="preserve">Adjusted Waiting </t>
  </si>
  <si>
    <t>Adjusted Waiting over_65</t>
  </si>
  <si>
    <t xml:space="preserve">Unadjusted Waiting </t>
  </si>
  <si>
    <t>Unadjusted Waiting over_65</t>
  </si>
  <si>
    <t>Section for checking tables against source</t>
  </si>
  <si>
    <t>select activity to check from menu</t>
  </si>
  <si>
    <t>Click on button to start running the check</t>
  </si>
  <si>
    <t>Psych Therapies heat waiting times January 2015 report.xls</t>
  </si>
  <si>
    <t>Psych Therapies Heat waiting times January 2015 report - over 65.xls</t>
  </si>
  <si>
    <t>Psych Therapies unadjusted waiting times report January 2015.xls</t>
  </si>
  <si>
    <t xml:space="preserve">Unadjusted Patients waiting </t>
  </si>
  <si>
    <t>2012-01</t>
  </si>
  <si>
    <t>2012-02</t>
  </si>
  <si>
    <t>2012-03</t>
  </si>
  <si>
    <t>2012-04</t>
  </si>
  <si>
    <t>2012-05</t>
  </si>
  <si>
    <t>2012-06</t>
  </si>
  <si>
    <t>2012-07</t>
  </si>
  <si>
    <t>2012-08</t>
  </si>
  <si>
    <t>2012-09</t>
  </si>
  <si>
    <t>2012-10</t>
  </si>
  <si>
    <t>2012-11</t>
  </si>
  <si>
    <t>2012-12</t>
  </si>
  <si>
    <t>2013-01</t>
  </si>
  <si>
    <t>2013-02</t>
  </si>
  <si>
    <t>2013-03</t>
  </si>
  <si>
    <t>2013-04</t>
  </si>
  <si>
    <t>2013-05</t>
  </si>
  <si>
    <t>2013-06</t>
  </si>
  <si>
    <t>2013-07</t>
  </si>
  <si>
    <t>2013-08</t>
  </si>
  <si>
    <t>2013-09</t>
  </si>
  <si>
    <t>2013-10</t>
  </si>
  <si>
    <t>2013-11</t>
  </si>
  <si>
    <t>2013-12</t>
  </si>
  <si>
    <t>2014-01</t>
  </si>
  <si>
    <t>2014-02</t>
  </si>
  <si>
    <t>2014-03</t>
  </si>
  <si>
    <t>2014-04</t>
  </si>
  <si>
    <t>2014-05</t>
  </si>
  <si>
    <t>2014-06</t>
  </si>
  <si>
    <t>2014-07</t>
  </si>
  <si>
    <t>2014-08</t>
  </si>
  <si>
    <t>2014-09</t>
  </si>
  <si>
    <t>2014-10</t>
  </si>
  <si>
    <t>2014-11</t>
  </si>
  <si>
    <t>2014-12</t>
  </si>
  <si>
    <t>2015-01</t>
  </si>
  <si>
    <t>2015-02</t>
  </si>
  <si>
    <t>2015-03</t>
  </si>
  <si>
    <t>2015-04</t>
  </si>
  <si>
    <t>2015-05</t>
  </si>
  <si>
    <t>2015-06</t>
  </si>
  <si>
    <t>2015-07</t>
  </si>
  <si>
    <t>2015-08</t>
  </si>
  <si>
    <t>2015-09</t>
  </si>
  <si>
    <t>2015-10</t>
  </si>
  <si>
    <t>2015-11</t>
  </si>
  <si>
    <t>2015-12</t>
  </si>
  <si>
    <t>2016-01</t>
  </si>
  <si>
    <t>2016-02</t>
  </si>
  <si>
    <t>2016-03</t>
  </si>
  <si>
    <t>2016-04</t>
  </si>
  <si>
    <t>2016-05</t>
  </si>
  <si>
    <t>2016-06</t>
  </si>
  <si>
    <t>2016-07</t>
  </si>
  <si>
    <t>2016-08</t>
  </si>
  <si>
    <t>2016-09</t>
  </si>
  <si>
    <t>2016-10</t>
  </si>
  <si>
    <t>2016-11</t>
  </si>
  <si>
    <t>2016-12</t>
  </si>
  <si>
    <t>2017-01</t>
  </si>
  <si>
    <t>2017-02</t>
  </si>
  <si>
    <t>2017-03</t>
  </si>
  <si>
    <t>2017-04</t>
  </si>
  <si>
    <t>2017-05</t>
  </si>
  <si>
    <t>2017-06</t>
  </si>
  <si>
    <t>2017-07</t>
  </si>
  <si>
    <t>2017-08</t>
  </si>
  <si>
    <t>2017-09</t>
  </si>
  <si>
    <t>2017-10</t>
  </si>
  <si>
    <t>2017-11</t>
  </si>
  <si>
    <t>2017-12</t>
  </si>
  <si>
    <t>2018-01</t>
  </si>
  <si>
    <t>2018-02</t>
  </si>
  <si>
    <t>2018-03</t>
  </si>
  <si>
    <t>2018-04</t>
  </si>
  <si>
    <t>2018-05</t>
  </si>
  <si>
    <t>2018-06</t>
  </si>
  <si>
    <t>2018-07</t>
  </si>
  <si>
    <t>2018-08</t>
  </si>
  <si>
    <t>2018-09</t>
  </si>
  <si>
    <t>2018-10</t>
  </si>
  <si>
    <t>2018-11</t>
  </si>
  <si>
    <t>2018-12</t>
  </si>
  <si>
    <t>January 2012</t>
  </si>
  <si>
    <t>xxx</t>
  </si>
  <si>
    <t>Section for checking current MMI report agains last MMI report</t>
  </si>
  <si>
    <t>Section to input individual board data</t>
  </si>
  <si>
    <t>Select board from drop down menu</t>
  </si>
  <si>
    <r>
      <t xml:space="preserve">(don't need to put file in the </t>
    </r>
    <r>
      <rPr>
        <i/>
        <sz val="9"/>
        <color indexed="8"/>
        <rFont val="Calibri"/>
        <family val="2"/>
      </rPr>
      <t>current folder</t>
    </r>
    <r>
      <rPr>
        <sz val="9"/>
        <color indexed="8"/>
        <rFont val="Calibri"/>
        <family val="2"/>
      </rPr>
      <t>. It will go directly to the chosen board)</t>
    </r>
  </si>
  <si>
    <t xml:space="preserve">Step 1 </t>
  </si>
  <si>
    <t>It asks for the date of the month you need to input data into the accesss database</t>
  </si>
  <si>
    <t>Select Month</t>
  </si>
  <si>
    <t>Click on this button to select the months to check</t>
  </si>
  <si>
    <t>Results in report tab</t>
  </si>
  <si>
    <t xml:space="preserve"> </t>
  </si>
  <si>
    <t>Referrals received</t>
  </si>
  <si>
    <t>Unadjusted seen referrals received</t>
  </si>
  <si>
    <t>OVER 65</t>
  </si>
  <si>
    <t>Section to check referrals</t>
  </si>
  <si>
    <t>Select referral type from the drop down menu</t>
  </si>
  <si>
    <t>Check results in tab Report</t>
  </si>
  <si>
    <t>referrals received all age</t>
  </si>
  <si>
    <t>referrals accepted all age</t>
  </si>
  <si>
    <t>referrals received over 65</t>
  </si>
  <si>
    <t>referrals accepted over 65</t>
  </si>
  <si>
    <t>Section to check files as they arrive from the boards</t>
  </si>
  <si>
    <t>Look for results in tab Reportcheckingfiles</t>
  </si>
  <si>
    <t>NA, U</t>
  </si>
  <si>
    <t>NA, U, RO</t>
  </si>
  <si>
    <t>..</t>
  </si>
  <si>
    <t>Number of referrals</t>
  </si>
  <si>
    <t>36-52 weeks</t>
  </si>
  <si>
    <t>Select activity (seen or waiting)</t>
  </si>
  <si>
    <t>To check boards month by month</t>
  </si>
  <si>
    <t>patients-waiting by month</t>
  </si>
  <si>
    <t>Section to input type of adjustment</t>
  </si>
  <si>
    <t>just press the button</t>
  </si>
  <si>
    <t>Patients seen Adjusted</t>
  </si>
  <si>
    <t>Patients waiting Adjusted</t>
  </si>
  <si>
    <t>Unadjusted Patients seen</t>
  </si>
  <si>
    <t>Unadjusted Patients waiting</t>
  </si>
  <si>
    <t>NHS Island Boards</t>
  </si>
  <si>
    <t>NHS24</t>
  </si>
  <si>
    <t xml:space="preserve">Type of Adjustment </t>
  </si>
  <si>
    <t>Number of patients</t>
  </si>
  <si>
    <t>53 weeks +</t>
  </si>
  <si>
    <t>weeks</t>
  </si>
  <si>
    <t>Data Source</t>
  </si>
  <si>
    <t>ISD Psychological Therapies Waiting Times database</t>
  </si>
  <si>
    <t>NSS.isdPsychtherapies@nhs.net</t>
  </si>
  <si>
    <t>Caveats</t>
  </si>
  <si>
    <t>Adjustment Codes</t>
  </si>
  <si>
    <r>
      <rPr>
        <b/>
        <sz val="10"/>
        <rFont val="Arial"/>
        <family val="2"/>
      </rPr>
      <t>NA</t>
    </r>
    <r>
      <rPr>
        <sz val="10"/>
        <rFont val="Arial"/>
        <family val="2"/>
      </rPr>
      <t xml:space="preserve">
</t>
    </r>
  </si>
  <si>
    <t>Non Attendance</t>
  </si>
  <si>
    <t>The NHS Board may adjust waits if a person does not attend or rearranges an appointment.  Their waiting time is reset to zero on the day that they do not attend or contact the service.  The timing of the next offered appointment is a clinical decision.</t>
  </si>
  <si>
    <t>Unavailability</t>
  </si>
  <si>
    <t>The NHS Board may adjust waits where a patient is unavailable for treatment.  This period of time is subtracted from their total waiting time.</t>
  </si>
  <si>
    <r>
      <rPr>
        <b/>
        <sz val="10"/>
        <rFont val="Arial"/>
        <family val="2"/>
      </rPr>
      <t>RO</t>
    </r>
    <r>
      <rPr>
        <sz val="10"/>
        <rFont val="Arial"/>
        <family val="2"/>
      </rPr>
      <t xml:space="preserve">
</t>
    </r>
  </si>
  <si>
    <t>Refuses Reasonable Offer</t>
  </si>
  <si>
    <t>The NHS Board may adjust waits if a patient refuses a reasonable offer (2 or more different dates of appointment). Their waiting time is reset to zero if it is clinically appropriate to do so.  NHS Boards report that this happens very rarely as most appointments are agreed by telephone.</t>
  </si>
  <si>
    <t>The NHS Board does not submit adjusted data</t>
  </si>
  <si>
    <t>Type of Adjustment</t>
  </si>
  <si>
    <t xml:space="preserve">All referrals </t>
  </si>
  <si>
    <t>Referrals (excluding rejected)</t>
  </si>
  <si>
    <t>Referrals - rate per 1,000 people</t>
  </si>
  <si>
    <t>Adjusted Waiting</t>
  </si>
  <si>
    <t>Adjusted Seen</t>
  </si>
  <si>
    <t>Unadjusted Seen</t>
  </si>
  <si>
    <t>Unadjusted Waiting</t>
  </si>
  <si>
    <t>Adjusted Seen over 65</t>
  </si>
  <si>
    <t>Adjusted Waiting over 65</t>
  </si>
  <si>
    <t>Referrals over 65</t>
  </si>
  <si>
    <t>quarter ending</t>
  </si>
  <si>
    <t>Unadjusted seen referrals accepted</t>
  </si>
  <si>
    <t>Unadjusted seen over_65referrals received</t>
  </si>
  <si>
    <t>Unadjusted seen over_65referrals accepted</t>
  </si>
  <si>
    <t>over 18 weeks</t>
  </si>
  <si>
    <t xml:space="preserve">
All Referrals received</t>
  </si>
  <si>
    <t>Referrals per 1,000 people</t>
  </si>
  <si>
    <t>2019-01</t>
  </si>
  <si>
    <t>2019-02</t>
  </si>
  <si>
    <t>2019-03</t>
  </si>
  <si>
    <t>2019-04</t>
  </si>
  <si>
    <t>2019-05</t>
  </si>
  <si>
    <t>2019-06</t>
  </si>
  <si>
    <t>2019-07</t>
  </si>
  <si>
    <t>2019-08</t>
  </si>
  <si>
    <t>2019-09</t>
  </si>
  <si>
    <t>2019-10</t>
  </si>
  <si>
    <t>2019-11</t>
  </si>
  <si>
    <t>2019-12</t>
  </si>
  <si>
    <t>2020-01</t>
  </si>
  <si>
    <t>2020-02</t>
  </si>
  <si>
    <t>2020-03</t>
  </si>
  <si>
    <t>2020-04</t>
  </si>
  <si>
    <t>2020-05</t>
  </si>
  <si>
    <t>2020-06</t>
  </si>
  <si>
    <t>2020-07</t>
  </si>
  <si>
    <t>2020-08</t>
  </si>
  <si>
    <t>2020-09</t>
  </si>
  <si>
    <t>2020-10</t>
  </si>
  <si>
    <t>2020-11</t>
  </si>
  <si>
    <t>2020-12</t>
  </si>
  <si>
    <t>list of tables</t>
  </si>
  <si>
    <t>1a</t>
  </si>
  <si>
    <t>1b</t>
  </si>
  <si>
    <t>1c</t>
  </si>
  <si>
    <t>1d</t>
  </si>
  <si>
    <t>2a</t>
  </si>
  <si>
    <t>2b</t>
  </si>
  <si>
    <t>2c</t>
  </si>
  <si>
    <t>2d</t>
  </si>
  <si>
    <t>3a</t>
  </si>
  <si>
    <t>3b</t>
  </si>
  <si>
    <t>3c</t>
  </si>
  <si>
    <t>3d</t>
  </si>
  <si>
    <t>4a</t>
  </si>
  <si>
    <t>4b</t>
  </si>
  <si>
    <t>CX</t>
  </si>
  <si>
    <t>CY</t>
  </si>
  <si>
    <t>CZ</t>
  </si>
  <si>
    <t>DA</t>
  </si>
  <si>
    <t>NA</t>
  </si>
  <si>
    <t>Population estimate (mid 2019)</t>
  </si>
  <si>
    <t>Source: PHS Psychological Therapies Waiting Times database</t>
  </si>
  <si>
    <t>Patients seen</t>
  </si>
  <si>
    <t>Quarter ending September 2020</t>
  </si>
  <si>
    <t>Quarter ending June 2020</t>
  </si>
  <si>
    <t>Scotland level data include unadjusted waits for NHS Boards where adjusted waits are not available.</t>
  </si>
  <si>
    <r>
      <t xml:space="preserve">1.    </t>
    </r>
    <r>
      <rPr>
        <sz val="11"/>
        <color rgb="FF17365D"/>
        <rFont val="Arial"/>
        <family val="2"/>
      </rPr>
      <t>NHS Ayrshire and Arran included all Adult Mental Health Services activity prior to April 2019; they now only include Psychological Therapies as defined in the Matrix</t>
    </r>
  </si>
  <si>
    <r>
      <t xml:space="preserve">3.    </t>
    </r>
    <r>
      <rPr>
        <sz val="11"/>
        <color rgb="FF17365D"/>
        <rFont val="Arial"/>
        <family val="2"/>
      </rPr>
      <t>NHS Fife have advised that Occupational Therapy service is migrating to an electronic system, leading to missing data (small numbers).</t>
    </r>
  </si>
  <si>
    <t>4.    NHS Highland does not report on therapies delivered in community settings by Community Mental Health Nurses and therapies delivered by AHPs.</t>
  </si>
  <si>
    <t>5.    NHS Forth Valley data quality and completeness has been low from March 2019 to January 2020. NHS Forth Valley include data from the main specialties of Psychological Therapy, Psychodynamic Therapy and Behavioural Psychotherapy, Beating the Blues data and CAMHS activity are also included.</t>
  </si>
  <si>
    <r>
      <t xml:space="preserve">6.    </t>
    </r>
    <r>
      <rPr>
        <sz val="11"/>
        <color rgb="FF092869"/>
        <rFont val="Arial"/>
        <family val="2"/>
      </rPr>
      <t xml:space="preserve">NHS Orkney estimate less than 50% completeness; Community Mental Health Team data is not captured. </t>
    </r>
  </si>
  <si>
    <t>7.    NHS Western Isles cCBT data is included from May 2019.</t>
  </si>
  <si>
    <t>8.    NHS Grampian started submitting adjusted data from February 2020.</t>
  </si>
  <si>
    <t>-</t>
  </si>
  <si>
    <t>Table Number</t>
  </si>
  <si>
    <t>Table Name</t>
  </si>
  <si>
    <t>Patients Seen All Boards (Adjusted).</t>
  </si>
  <si>
    <t>Patients Waiting All Boards (Adjusted).</t>
  </si>
  <si>
    <t>Patients Seen 18 Weeks (Adjusted).</t>
  </si>
  <si>
    <t>Patients Waiting 18 Weeks (Adjusted).</t>
  </si>
  <si>
    <t>Patients Seen 18 Weeks (Unadjusted).</t>
  </si>
  <si>
    <t>Patients Waiting 18 Weeks (Unadjusted).</t>
  </si>
  <si>
    <t>Patients Seen Distribution (Unadjusted).</t>
  </si>
  <si>
    <t>Patients Waiting Distribution (Unadjusted).</t>
  </si>
  <si>
    <t>Patients Seen Aged 65 And Over All Boards (Adjusted).</t>
  </si>
  <si>
    <t>Patients Waiting Aged 65 And Over All Boards (Adjusted).</t>
  </si>
  <si>
    <t>Patients Seen Aged 65 And Over 18 Weeks (Adjusted).</t>
  </si>
  <si>
    <t>Patients Waiting Aged 65 And Over 18 Weeks (Adjusted).</t>
  </si>
  <si>
    <t xml:space="preserve">9.    NHS Lanarkshire includes CamGlen activity from January 2020. </t>
  </si>
  <si>
    <t>Patients waiting</t>
  </si>
  <si>
    <t>Patients seen aged 65 and over</t>
  </si>
  <si>
    <t>1.     Scotland level data include unadjusted waits for NHS Boards where adjusted waits are not available.</t>
  </si>
  <si>
    <t>1.     NHS Ayrshire and Arran included all Adult Mental Health Services activity prior to April 2019; they now only include Psychological Therapies as defined in the Matrix.</t>
  </si>
  <si>
    <t xml:space="preserve">2.     NHS Borders data is based on their Older Adult Service, people aged 70 and over, until May 2020. In June 2020 changed to include people aged 65 and over.              </t>
  </si>
  <si>
    <t>3.     NHS Fife have advised that Occupational Therapy service is migrating to an electronic system, leading to missing data (small numbers).</t>
  </si>
  <si>
    <r>
      <t xml:space="preserve">4.     </t>
    </r>
    <r>
      <rPr>
        <sz val="11"/>
        <color rgb="FF092869"/>
        <rFont val="Arial"/>
        <family val="2"/>
      </rPr>
      <t>NHS Highland does not report on therapies delivered in community settings by CMHNs and therapies delivered by AHPs.</t>
    </r>
  </si>
  <si>
    <r>
      <t xml:space="preserve">5.     </t>
    </r>
    <r>
      <rPr>
        <sz val="11"/>
        <color rgb="FF092869"/>
        <rFont val="Arial"/>
        <family val="2"/>
      </rPr>
      <t>NHS Orkney estimate less than 50% completeness; CMHT data is not captured.</t>
    </r>
  </si>
  <si>
    <r>
      <t xml:space="preserve">6.     </t>
    </r>
    <r>
      <rPr>
        <sz val="11"/>
        <color rgb="FF092869"/>
        <rFont val="Arial"/>
        <family val="2"/>
      </rPr>
      <t>NHS Forth Valley data quality and completeness has been low from March 2019 to January 2020. NHS Forth Valley include data from the main specialties of Psychological Therapy, Psychodynamic Therapy and Behavioural Psychotherapy and Beating the Blues data are also included.</t>
    </r>
  </si>
  <si>
    <r>
      <t xml:space="preserve">7.     </t>
    </r>
    <r>
      <rPr>
        <sz val="11"/>
        <color rgb="FF092869"/>
        <rFont val="Arial"/>
        <family val="2"/>
      </rPr>
      <t>NHS Western Isles cCBT data is included from May 2019.</t>
    </r>
  </si>
  <si>
    <t>8.     NHS Grampian started submitting adjusted data from February 2020.</t>
  </si>
  <si>
    <t>9.     NHS Lanarkshire includes CamGlen activity from January 2020.</t>
  </si>
  <si>
    <t>Patients waiting aged 65 and over</t>
  </si>
  <si>
    <t>Referrals for patients aged 65 and over</t>
  </si>
  <si>
    <t>Footnotes</t>
  </si>
  <si>
    <t>NHS Boards, in response to the COVID-19 pandemic made changes to their service delivery in March 2020.  More information can be found in the Data Quality document.</t>
  </si>
  <si>
    <t>Completed waits for patients seen during month</t>
  </si>
  <si>
    <t>Standard data</t>
  </si>
  <si>
    <t>Patients waiting at the end of the month</t>
  </si>
  <si>
    <t xml:space="preserve">Patients waiting at the end of the month </t>
  </si>
  <si>
    <t xml:space="preserve">Patients aged 65 and over waiting at the end of the month </t>
  </si>
  <si>
    <t xml:space="preserve">Psychological Therapies Waiting times - Referrals received and accepted by mental health services </t>
  </si>
  <si>
    <r>
      <t xml:space="preserve">1.     </t>
    </r>
    <r>
      <rPr>
        <sz val="11"/>
        <color rgb="FF092869"/>
        <rFont val="Arial"/>
        <family val="2"/>
      </rPr>
      <t xml:space="preserve">Some Boards are unable to separate out referrals to Psychological Therapies from all mental health referrals. </t>
    </r>
  </si>
  <si>
    <r>
      <t xml:space="preserve">2.     </t>
    </r>
    <r>
      <rPr>
        <sz val="11"/>
        <color rgb="FF17365D"/>
        <rFont val="Arial"/>
        <family val="2"/>
      </rPr>
      <t>NHS Ayrshire and Arran included all Adult Mental Health Services activity prior to April 2019, they now only include Psychological Therapies as defined in the Matrix</t>
    </r>
    <r>
      <rPr>
        <sz val="11"/>
        <color rgb="FF092869"/>
        <rFont val="Arial"/>
        <family val="2"/>
      </rPr>
      <t>.</t>
    </r>
  </si>
  <si>
    <r>
      <t xml:space="preserve">3.     </t>
    </r>
    <r>
      <rPr>
        <sz val="11"/>
        <color rgb="FF092869"/>
        <rFont val="Arial"/>
        <family val="2"/>
      </rPr>
      <t>NHS Borders data is based on their Older Adult Service, people aged 70 and over, until May 2020. In June 2020 changed to include people aged 65 and over.</t>
    </r>
  </si>
  <si>
    <r>
      <t xml:space="preserve">4.     </t>
    </r>
    <r>
      <rPr>
        <sz val="11"/>
        <color rgb="FF17365D"/>
        <rFont val="Arial"/>
        <family val="2"/>
      </rPr>
      <t>NHS Fife have advised that Occupational Therapy service is migrating to an electronic system, leading to missing data (small numbers).</t>
    </r>
  </si>
  <si>
    <r>
      <t xml:space="preserve">5.     </t>
    </r>
    <r>
      <rPr>
        <sz val="11"/>
        <color rgb="FF092869"/>
        <rFont val="Arial"/>
        <family val="2"/>
      </rPr>
      <t xml:space="preserve">NHS Forth Valley includes data from the main specialties of Psychological Therapy, Psychodynamic Therapy and Behavioural Psychotherapy and Beating the Blues data are also included. </t>
    </r>
  </si>
  <si>
    <r>
      <t xml:space="preserve">6.     </t>
    </r>
    <r>
      <rPr>
        <sz val="11"/>
        <color rgb="FF092869"/>
        <rFont val="Arial"/>
        <family val="2"/>
      </rPr>
      <t>NHS Grampian and NHS Greater Glasgow &amp; Clyde are currently unable to provide the number of referrals rejected. Therefore, these data will be overestimated.</t>
    </r>
  </si>
  <si>
    <r>
      <t xml:space="preserve">7.     </t>
    </r>
    <r>
      <rPr>
        <sz val="11"/>
        <color rgb="FF092869"/>
        <rFont val="Arial"/>
        <family val="2"/>
      </rPr>
      <t>NHS Greater Glasgow &amp; Clyde are unable to separate out referrals for only Psychological Therapies due to the structure of their MH departments. This is explained further in the data quality section.</t>
    </r>
  </si>
  <si>
    <r>
      <t xml:space="preserve">8.     </t>
    </r>
    <r>
      <rPr>
        <sz val="11"/>
        <color rgb="FF092869"/>
        <rFont val="Arial"/>
        <family val="2"/>
      </rPr>
      <t>NHS Lanarkshire have been unable to submit CamGlen activity.</t>
    </r>
  </si>
  <si>
    <r>
      <t xml:space="preserve">9.     </t>
    </r>
    <r>
      <rPr>
        <sz val="11"/>
        <color rgb="FF092869"/>
        <rFont val="Arial"/>
        <family val="2"/>
      </rPr>
      <t>NHS Orkney, NHS Shetland and NHS Western Isles are combined to prevent disclosive numbers.</t>
    </r>
  </si>
  <si>
    <r>
      <t xml:space="preserve">10.   </t>
    </r>
    <r>
      <rPr>
        <sz val="11"/>
        <color rgb="FF092869"/>
        <rFont val="Arial"/>
        <family val="2"/>
      </rPr>
      <t>NHS 24 has advised us that their rejected referrals include inappropriate referrals and data from where they were unable to contact the patient.</t>
    </r>
  </si>
  <si>
    <t>Tables</t>
  </si>
  <si>
    <t>Footnotes to the excel tables and publication report</t>
  </si>
  <si>
    <t xml:space="preserve">1.     Some Boards are unable to separate out referrals to Psychological Therapies from all mental health referrals. </t>
  </si>
  <si>
    <t>5.     NHS Forth Valley includes data from the main specialties of Psychological Therapy, Psychodynamic Therapy and Behavioural Psychotherapy, Beating the Blues data and CAMHS activity are also included.</t>
  </si>
  <si>
    <t>6.     NHS Grampian and NHS Greater Glasgow &amp; Clyde are currently unable to provide the number of referrals rejected. Therefore, these data will be overestimated.</t>
  </si>
  <si>
    <t>7.     NHS Greater Glasgow &amp; Clyde are unable to separate out referrals for only Psychological Therapies due to the structure of their MH departments. This is explained further in the data quality section.</t>
  </si>
  <si>
    <t>8.     NHS Lanarkshire have been unable to submit CamGlen activity.</t>
  </si>
  <si>
    <r>
      <t xml:space="preserve">2.     </t>
    </r>
    <r>
      <rPr>
        <sz val="11"/>
        <color rgb="FF17365D"/>
        <rFont val="Arial"/>
        <family val="2"/>
      </rPr>
      <t>NHS Ayrshire and Arran included all Adult Mental Health Services activity prior to April 2019, they now only include Psychological Therapies as defined in the Matrix</t>
    </r>
    <r>
      <rPr>
        <sz val="11"/>
        <color rgb="FF092869"/>
        <rFont val="Arial"/>
        <family val="2"/>
      </rPr>
      <t xml:space="preserve"> .</t>
    </r>
  </si>
  <si>
    <t>Scotland except</t>
  </si>
  <si>
    <t xml:space="preserve">island boards </t>
  </si>
  <si>
    <t>Includes all Patients seen footnotes for the 5 quarters.</t>
  </si>
  <si>
    <t>Psychological Therapies Waiting times - Referrals received and accepted by mental health services for patients aged 65 and over</t>
  </si>
  <si>
    <t>NHS Ayrshire &amp; ArranAdjusted seen Total Patients Seen</t>
  </si>
  <si>
    <t>NHS Ayrshire &amp; ArranAdjusted seen 0-18 weeks</t>
  </si>
  <si>
    <t>NHS Ayrshire &amp; ArranAdjusted seen over18</t>
  </si>
  <si>
    <t>NHS Ayrshire &amp; ArranAdjusted seen Quartmedian</t>
  </si>
  <si>
    <t>Quartmedian</t>
  </si>
  <si>
    <t>NHS Ayrshire &amp; ArranAdjusted seen Quart90perc</t>
  </si>
  <si>
    <t>Quart90perc</t>
  </si>
  <si>
    <t>NHS Ayrshire &amp; ArranAdjusted seen median</t>
  </si>
  <si>
    <t>NHS Ayrshire &amp; ArranAdjusted seen 90percent</t>
  </si>
  <si>
    <t>NHS Ayrshire &amp; ArranAdjusted seen 19-35 weeks</t>
  </si>
  <si>
    <t>NHS Ayrshire &amp; ArranAdjusted seen over 35 weeks</t>
  </si>
  <si>
    <t>NHS Ayrshire &amp; ArranAdjusted seen 36_52</t>
  </si>
  <si>
    <t>NHS Ayrshire &amp; ArranAdjusted seen over 53</t>
  </si>
  <si>
    <t>NHS Ayrshire &amp; ArranAdjusted seen over_65Total Patients Seen</t>
  </si>
  <si>
    <t>NHS Ayrshire &amp; ArranAdjusted seen over_650-18 weeks</t>
  </si>
  <si>
    <t>NHS Ayrshire &amp; ArranAdjusted seen over_65over18</t>
  </si>
  <si>
    <t>NHS Ayrshire &amp; ArranAdjusted seen over_65Quartmedian</t>
  </si>
  <si>
    <t>NHS Ayrshire &amp; ArranAdjusted seen over_65Quart90perc</t>
  </si>
  <si>
    <t>NHS Ayrshire &amp; ArranAdjusted seen over_65median</t>
  </si>
  <si>
    <t>NHS Ayrshire &amp; ArranAdjusted seen over_6590percent</t>
  </si>
  <si>
    <t>NHS Ayrshire &amp; ArranAdjusted seen over_6519-35 weeks</t>
  </si>
  <si>
    <t>NHS Ayrshire &amp; ArranAdjusted seen over_65over 35 weeks</t>
  </si>
  <si>
    <t>NHS Ayrshire &amp; ArranAdjusted seen over_6536_52</t>
  </si>
  <si>
    <t>NHS Ayrshire &amp; ArranAdjusted seen over_65over 53</t>
  </si>
  <si>
    <t>NHS Ayrshire &amp; ArranUnadjusted seen Total Patients Seen</t>
  </si>
  <si>
    <t>NHS Ayrshire &amp; ArranUnadjusted seen 0-18 weeks</t>
  </si>
  <si>
    <t>NHS Ayrshire &amp; ArranUnadjusted seen over18</t>
  </si>
  <si>
    <t>NHS Ayrshire &amp; ArranUnadjusted seen Quartmedian</t>
  </si>
  <si>
    <t>NHS Ayrshire &amp; ArranUnadjusted seen Quart90perc</t>
  </si>
  <si>
    <t>NHS Ayrshire &amp; ArranUnadjusted seen median</t>
  </si>
  <si>
    <t>NHS Ayrshire &amp; ArranUnadjusted seen 90percent</t>
  </si>
  <si>
    <t>NHS Ayrshire &amp; ArranUnadjusted seen 19-35 weeks</t>
  </si>
  <si>
    <t>NHS Ayrshire &amp; ArranUnadjusted seen over 35 weeks</t>
  </si>
  <si>
    <t>NHS Ayrshire &amp; ArranUnadjusted seen 36_52</t>
  </si>
  <si>
    <t>NHS Ayrshire &amp; ArranUnadjusted seen over 53</t>
  </si>
  <si>
    <t>NHS Ayrshire &amp; ArranUnadjusted seen referrals received</t>
  </si>
  <si>
    <t>NHS Ayrshire &amp; ArranUnadjusted seen referrals accepted</t>
  </si>
  <si>
    <t>NHS Ayrshire &amp; ArranUnadjusted seen over_65Total Patients Seen</t>
  </si>
  <si>
    <t>NHS Ayrshire &amp; ArranUnadjusted seen over_650-18 weeks</t>
  </si>
  <si>
    <t>NHS Ayrshire &amp; ArranUnadjusted seen over_65over18</t>
  </si>
  <si>
    <t>NHS Ayrshire &amp; ArranUnadjusted seen over_650_26</t>
  </si>
  <si>
    <t>NHS Ayrshire &amp; ArranUnadjusted seen over_65over 26</t>
  </si>
  <si>
    <t>NHS Ayrshire &amp; ArranUnadjusted seen over_65median</t>
  </si>
  <si>
    <t>NHS Ayrshire &amp; ArranUnadjusted seen over_6590percent</t>
  </si>
  <si>
    <t>NHS Ayrshire &amp; ArranUnadjusted seen over_6519-35 weeks</t>
  </si>
  <si>
    <t>NHS Ayrshire &amp; ArranUnadjusted seen over_65over 35 weeks</t>
  </si>
  <si>
    <t>NHS Ayrshire &amp; ArranUnadjusted seen over_6536_52</t>
  </si>
  <si>
    <t>NHS Ayrshire &amp; ArranUnadjusted seen over_65over 53</t>
  </si>
  <si>
    <t>NHS Ayrshire &amp; ArranUnadjusted seen over_65referrals received</t>
  </si>
  <si>
    <t>NHS Ayrshire &amp; ArranUnadjusted seen over_65referrals accepted</t>
  </si>
  <si>
    <t>NHS BordersAdjusted seen Total Patients Seen</t>
  </si>
  <si>
    <t>NHS BordersAdjusted seen 0-18 weeks</t>
  </si>
  <si>
    <t>NHS BordersAdjusted seen over18</t>
  </si>
  <si>
    <t>NHS BordersAdjusted seen Quartmedian</t>
  </si>
  <si>
    <t>NHS BordersAdjusted seen Quart90perc</t>
  </si>
  <si>
    <t>NHS BordersAdjusted seen median</t>
  </si>
  <si>
    <t>NHS BordersAdjusted seen 90percent</t>
  </si>
  <si>
    <t>NHS BordersAdjusted seen 19-35 weeks</t>
  </si>
  <si>
    <t>NHS BordersAdjusted seen over 35 weeks</t>
  </si>
  <si>
    <t>NHS BordersAdjusted seen 36_52</t>
  </si>
  <si>
    <t>NHS BordersAdjusted seen over 53</t>
  </si>
  <si>
    <t>NHS BordersAdjusted seen over_65Total Patients Seen</t>
  </si>
  <si>
    <t>NHS BordersAdjusted seen over_650-18 weeks</t>
  </si>
  <si>
    <t>NHS BordersAdjusted seen over_65over18</t>
  </si>
  <si>
    <t>NHS BordersAdjusted seen over_65Quartmedian</t>
  </si>
  <si>
    <t>NHS BordersAdjusted seen over_65Quart90perc</t>
  </si>
  <si>
    <t>NHS BordersAdjusted seen over_65median</t>
  </si>
  <si>
    <t>NHS BordersAdjusted seen over_6590percent</t>
  </si>
  <si>
    <t>NHS BordersAdjusted seen over_6519-35 weeks</t>
  </si>
  <si>
    <t>NHS BordersAdjusted seen over_65over 35 weeks</t>
  </si>
  <si>
    <t>NHS BordersAdjusted seen over_6536_52</t>
  </si>
  <si>
    <t>NHS BordersAdjusted seen over_65over 53</t>
  </si>
  <si>
    <t>NHS BordersUnadjusted seen Total Patients Seen</t>
  </si>
  <si>
    <t>NHS BordersUnadjusted seen 0-18 weeks</t>
  </si>
  <si>
    <t>NHS BordersUnadjusted seen over18</t>
  </si>
  <si>
    <t>NHS BordersUnadjusted seen Quartmedian</t>
  </si>
  <si>
    <t>NHS BordersUnadjusted seen Quart90perc</t>
  </si>
  <si>
    <t>NHS BordersUnadjusted seen median</t>
  </si>
  <si>
    <t>NHS BordersUnadjusted seen 90percent</t>
  </si>
  <si>
    <t>NHS BordersUnadjusted seen 19-35 weeks</t>
  </si>
  <si>
    <t>NHS BordersUnadjusted seen over 35 weeks</t>
  </si>
  <si>
    <t>NHS BordersUnadjusted seen 36_52</t>
  </si>
  <si>
    <t>NHS BordersUnadjusted seen over 53</t>
  </si>
  <si>
    <t>NHS BordersUnadjusted seen referrals received</t>
  </si>
  <si>
    <t>NHS BordersUnadjusted seen referrals accepted</t>
  </si>
  <si>
    <t>NHS BordersUnadjusted seen over_65Total Patients Seen</t>
  </si>
  <si>
    <t>NHS BordersUnadjusted seen over_650-18 weeks</t>
  </si>
  <si>
    <t>NHS BordersUnadjusted seen over_65over18</t>
  </si>
  <si>
    <t>NHS BordersUnadjusted seen over_650_26</t>
  </si>
  <si>
    <t>NHS BordersUnadjusted seen over_65over 26</t>
  </si>
  <si>
    <t>NHS BordersUnadjusted seen over_65median</t>
  </si>
  <si>
    <t>NHS BordersUnadjusted seen over_6590percent</t>
  </si>
  <si>
    <t>NHS BordersUnadjusted seen over_6519-35 weeks</t>
  </si>
  <si>
    <t>NHS BordersUnadjusted seen over_66over 35 weeks</t>
  </si>
  <si>
    <t>NHS BordersUnadjusted seen over_6536_52</t>
  </si>
  <si>
    <t>NHS BordersUnadjusted seen over_65over 53</t>
  </si>
  <si>
    <t>NHS BordersUnadjusted seen over_65referrals received</t>
  </si>
  <si>
    <t>NHS BordersUnadjusted seen over_65referrals accepted</t>
  </si>
  <si>
    <t>NHS Dumfries &amp; GallowayAdjusted seen Total Patients Seen</t>
  </si>
  <si>
    <t>NHS Dumfries &amp; GallowayAdjusted seen 0-18 weeks</t>
  </si>
  <si>
    <t>NHS Dumfries &amp; GallowayAdjusted seen over18</t>
  </si>
  <si>
    <t>NHS Dumfries &amp; GallowayAdjusted seen Quartmedian</t>
  </si>
  <si>
    <t>NHS Dumfries &amp; GallowayAdjusted seen Quart90perc</t>
  </si>
  <si>
    <t>NHS Dumfries &amp; GallowayAdjusted seen median</t>
  </si>
  <si>
    <t>NHS Dumfries &amp; GallowayAdjusted seen 90percent</t>
  </si>
  <si>
    <t>NHS Dumfries &amp; GallowayAdjusted seen 19-35 weeks</t>
  </si>
  <si>
    <t>NHS Dumfries &amp; GallowayAdjusted seen over 35 weeks</t>
  </si>
  <si>
    <t>NHS Dumfries &amp; GallowayAdjusted seen 36_52</t>
  </si>
  <si>
    <t>NHS Dumfries &amp; GallowayAdjusted seen over 53</t>
  </si>
  <si>
    <t>NHS Dumfries &amp; GallowayAdjusted seen over_65Total Patients Seen</t>
  </si>
  <si>
    <t>NHS Dumfries &amp; GallowayAdjusted seen over_650-18 weeks</t>
  </si>
  <si>
    <t>NHS Dumfries &amp; GallowayAdjusted seen over_65over18</t>
  </si>
  <si>
    <t>NHS Dumfries &amp; GallowayAdjusted seen over_65Quartmedian</t>
  </si>
  <si>
    <t>NHS Dumfries &amp; GallowayAdjusted seen over_65Quart90perc</t>
  </si>
  <si>
    <t>NHS Dumfries &amp; GallowayAdjusted seen over_65median</t>
  </si>
  <si>
    <t>NHS Dumfries &amp; GallowayAdjusted seen over_6590percent</t>
  </si>
  <si>
    <t>NHS Dumfries &amp; GallowayAdjusted seen over_6519-35 weeks</t>
  </si>
  <si>
    <t>NHS Dumfries &amp; GallowayAdjusted seen over_65over 35 weeks</t>
  </si>
  <si>
    <t>NHS Dumfries &amp; GallowayAdjusted seen over_6536_52</t>
  </si>
  <si>
    <t>NHS Dumfries &amp; GallowayAdjusted seen over_65over 53</t>
  </si>
  <si>
    <t>NHS Dumfries &amp; GallowayUnadjusted seen Total Patients Seen</t>
  </si>
  <si>
    <t>NHS Dumfries &amp; GallowayUnadjusted seen 0-18 weeks</t>
  </si>
  <si>
    <t>NHS Dumfries &amp; GallowayUnadjusted seen over18</t>
  </si>
  <si>
    <t>NHS Dumfries &amp; GallowayUnadjusted seen Quartmedian</t>
  </si>
  <si>
    <t>NHS Dumfries &amp; GallowayUnadjusted seen Quart90perc</t>
  </si>
  <si>
    <t>NHS Dumfries &amp; GallowayUnadjusted seen median</t>
  </si>
  <si>
    <t>NHS Dumfries &amp; GallowayUnadjusted seen 90percent</t>
  </si>
  <si>
    <t>NHS Dumfries &amp; GallowayUnadjusted seen 19-35 weeks</t>
  </si>
  <si>
    <t>NHS Dumfries &amp; GallowayUnadjusted seen over 35 weeks</t>
  </si>
  <si>
    <t>NHS Dumfries &amp; GallowayUnadjusted seen 36_52</t>
  </si>
  <si>
    <t>NHS Dumfries &amp; GallowayUnadjusted seen over 53</t>
  </si>
  <si>
    <t>NHS Dumfries &amp; GallowayUnadjusted seen referrals received</t>
  </si>
  <si>
    <t>NHS Dumfries &amp; GallowayUnadjusted seen referrals accepted</t>
  </si>
  <si>
    <t>NHS Dumfries &amp; GallowayUnadjusted seen over_65Total Patients Seen</t>
  </si>
  <si>
    <t>NHS Dumfries &amp; GallowayUnadjusted seen over_650-18 weeks</t>
  </si>
  <si>
    <t>NHS Dumfries &amp; GallowayUnadjusted seen over_65over18</t>
  </si>
  <si>
    <t>NHS Dumfries &amp; GallowayUnadjusted seen over_650_26</t>
  </si>
  <si>
    <t>NHS Dumfries &amp; GallowayUnadjusted seen over_65over 26</t>
  </si>
  <si>
    <t>NHS Dumfries &amp; GallowayUnadjusted seen over_65median</t>
  </si>
  <si>
    <t>NHS Dumfries &amp; GallowayUnadjusted seen over_6590percent</t>
  </si>
  <si>
    <t>NHS Dumfries &amp; GallowayUnadjusted seen over_6519-35 weeks</t>
  </si>
  <si>
    <t>NHS Dumfries &amp; GallowayUnadjusted seen over_66over 35 weeks</t>
  </si>
  <si>
    <t>NHS Dumfries &amp; GallowayUnadjusted seen over_6536_52</t>
  </si>
  <si>
    <t>NHS Dumfries &amp; GallowayUnadjusted seen over_65over 53</t>
  </si>
  <si>
    <t>NHS Dumfries &amp; GallowayUnadjusted seen over_65referrals received</t>
  </si>
  <si>
    <t>NHS Dumfries &amp; GallowayUnadjusted seen over_65referrals accepted</t>
  </si>
  <si>
    <t>NHS FifeAdjusted seen Total Patients Seen</t>
  </si>
  <si>
    <t>NHS FifeAdjusted seen 0-18 weeks</t>
  </si>
  <si>
    <t>NHS FifeAdjusted seen over18</t>
  </si>
  <si>
    <t>NHS FifeAdjusted seen Quartmedian</t>
  </si>
  <si>
    <t>NHS FifeAdjusted seen Quart90perc</t>
  </si>
  <si>
    <t>NHS FifeAdjusted seen median</t>
  </si>
  <si>
    <t>NHS FifeAdjusted seen 90percent</t>
  </si>
  <si>
    <t>NHS FifeAdjusted seen 19-35 weeks</t>
  </si>
  <si>
    <t>NHS FifeAdjusted seen over 35 weeks</t>
  </si>
  <si>
    <t>NHS FifeAdjusted seen 36_52</t>
  </si>
  <si>
    <t>NHS FifeAdjusted seen over 53</t>
  </si>
  <si>
    <t>NHS FifeAdjusted seen over_65Total Patients Seen</t>
  </si>
  <si>
    <t>NHS FifeAdjusted seen over_650-18 weeks</t>
  </si>
  <si>
    <t>NHS FifeAdjusted seen over_65over18</t>
  </si>
  <si>
    <t>NHS FifeAdjusted seen over_65Quartmedian</t>
  </si>
  <si>
    <t>NHS FifeAdjusted seen over_65Quart90perc</t>
  </si>
  <si>
    <t>NHS FifeAdjusted seen over_65median</t>
  </si>
  <si>
    <t>NHS FifeAdjusted seen over_6590percent</t>
  </si>
  <si>
    <t>NHS FifeAdjusted seen over_6519-35 weeks</t>
  </si>
  <si>
    <t>NHS FifeAdjusted seen over_65over 35 weeks</t>
  </si>
  <si>
    <t>NHS FifeAdjusted seen over_6536_52</t>
  </si>
  <si>
    <t>NHS FifeAdjusted seen over_65over 53</t>
  </si>
  <si>
    <t>NHS FifeUnadjusted seen Total Patients Seen</t>
  </si>
  <si>
    <t>NHS FifeUnadjusted seen 0-18 weeks</t>
  </si>
  <si>
    <t>NHS FifeUnadjusted seen over18</t>
  </si>
  <si>
    <t>NHS FifeUnadjusted seen Quartmedian</t>
  </si>
  <si>
    <t>NHS FifeUnadjusted seen Quart90perc</t>
  </si>
  <si>
    <t>NHS FifeUnadjusted seen median</t>
  </si>
  <si>
    <t>NHS FifeUnadjusted seen 90percent</t>
  </si>
  <si>
    <t>NHS FifeUnadjusted seen 19-35 weeks</t>
  </si>
  <si>
    <t>NHS FifeUnadjusted seen over 35 weeks</t>
  </si>
  <si>
    <t>NHS FifeUnadjusted seen 36_52</t>
  </si>
  <si>
    <t>NHS FifeUnadjusted seen over 53</t>
  </si>
  <si>
    <t>NHS FifeUnadjusted seen referrals received</t>
  </si>
  <si>
    <t>NHS FifeUnadjusted seen referrals accepted</t>
  </si>
  <si>
    <t>NHS FifeUnadjusted seen over_65Total Patients Seen</t>
  </si>
  <si>
    <t>NHS FifeUnadjusted seen over_650-18 weeks</t>
  </si>
  <si>
    <t>NHS FifeUnadjusted seen over_65over18</t>
  </si>
  <si>
    <t>NHS FifeUnadjusted seen over_650_26</t>
  </si>
  <si>
    <t>NHS FifeUnadjusted seen over_65over 26</t>
  </si>
  <si>
    <t>NHS FifeUnadjusted seen over_65median</t>
  </si>
  <si>
    <t>NHS FifeUnadjusted seen over_6590percent</t>
  </si>
  <si>
    <t>NHS FifeUnadjusted seen over_6519-35 weeks</t>
  </si>
  <si>
    <t>NHS FifeUnadjusted seen over_66over 35 weeks</t>
  </si>
  <si>
    <t>NHS FifeUnadjusted seen over_6536_52</t>
  </si>
  <si>
    <t>NHS FifeUnadjusted seen over_65over 53</t>
  </si>
  <si>
    <t>NHS FifeUnadjusted seen over_65referrals received</t>
  </si>
  <si>
    <t>NHS FifeUnadjusted seen over_65referrals accepted</t>
  </si>
  <si>
    <t>NHS Forth ValleyAdjusted seen Total Patients Seen</t>
  </si>
  <si>
    <t>NHS Forth ValleyAdjusted seen 0-18 weeks</t>
  </si>
  <si>
    <t>NHS Forth ValleyAdjusted seen over18</t>
  </si>
  <si>
    <t>NHS Forth ValleyAdjusted seen Quartmedian</t>
  </si>
  <si>
    <t>NHS Forth ValleyAdjusted seen Quart90perc</t>
  </si>
  <si>
    <t>NHS Forth ValleyAdjusted seen median</t>
  </si>
  <si>
    <t>NHS Forth ValleyAdjusted seen 90percent</t>
  </si>
  <si>
    <t>NHS Forth ValleyAdjusted seen 19-35 weeks</t>
  </si>
  <si>
    <t>NHS Forth ValleyAdjusted seen over 35 weeks</t>
  </si>
  <si>
    <t>NHS Forth ValleyAdjusted seen 36_52</t>
  </si>
  <si>
    <t>NHS Forth ValleyAdjusted seen over 53</t>
  </si>
  <si>
    <t>NHS Forth ValleyAdjusted seen over_65Total Patients Seen</t>
  </si>
  <si>
    <t>NHS Forth ValleyAdjusted seen over_650-18 weeks</t>
  </si>
  <si>
    <t>NHS Forth ValleyAdjusted seen over_65over18</t>
  </si>
  <si>
    <t>NHS Forth ValleyAdjusted seen over_65Quartmedian</t>
  </si>
  <si>
    <t>NHS Forth ValleyAdjusted seen over_65Quart90perc</t>
  </si>
  <si>
    <t>NHS Forth ValleyAdjusted seen over_65median</t>
  </si>
  <si>
    <t>NHS Forth ValleyAdjusted seen over_6590percent</t>
  </si>
  <si>
    <t>NHS Forth ValleyAdjusted seen over_6519-35 weeks</t>
  </si>
  <si>
    <t>NHS Forth ValleyAdjusted seen over_65over 35 weeks</t>
  </si>
  <si>
    <t>NHS Forth ValleyAdjusted seen over_6536_52</t>
  </si>
  <si>
    <t>NHS Forth ValleyAdjusted seen over_65over 53</t>
  </si>
  <si>
    <t>NHS Forth ValleyUnadjusted seen Total Patients Seen</t>
  </si>
  <si>
    <t>NHS Forth ValleyUnadjusted seen 0-18 weeks</t>
  </si>
  <si>
    <t>NHS Forth ValleyUnadjusted seen over18</t>
  </si>
  <si>
    <t>NHS Forth ValleyUnadjusted seen Quartmedian</t>
  </si>
  <si>
    <t>NHS Forth ValleyUnadjusted seen Quart90perc</t>
  </si>
  <si>
    <t>NHS Forth ValleyUnadjusted seen median</t>
  </si>
  <si>
    <t>NHS Forth ValleyUnadjusted seen 90percent</t>
  </si>
  <si>
    <t>NHS Forth ValleyUnadjusted seen 19-35 weeks</t>
  </si>
  <si>
    <t>NHS Forth ValleyUnadjusted seen over 35 weeks</t>
  </si>
  <si>
    <t>NHS Forth ValleyUnadjusted seen 36_52</t>
  </si>
  <si>
    <t>NHS Forth ValleyUnadjusted seen over 53</t>
  </si>
  <si>
    <t>NHS Forth ValleyUnadjusted seen referrals received</t>
  </si>
  <si>
    <t>NHS Forth ValleyUnadjusted seen referrals accepted</t>
  </si>
  <si>
    <t>NHS Forth ValleyUnadjusted seen over_65Total Patients Seen</t>
  </si>
  <si>
    <t>NHS Forth ValleyUnadjusted seen over_650-18 weeks</t>
  </si>
  <si>
    <t>NHS Forth ValleyUnadjusted seen over_65over18</t>
  </si>
  <si>
    <t>NHS Forth ValleyUnadjusted seen over_650_26</t>
  </si>
  <si>
    <t>NHS Forth ValleyUnadjusted seen over_65over 26</t>
  </si>
  <si>
    <t>NHS Forth ValleyUnadjusted seen over_65median</t>
  </si>
  <si>
    <t>NHS Forth ValleyUnadjusted seen over_6590percent</t>
  </si>
  <si>
    <t>NHS Forth ValleyUnadjusted seen over_6519-35 weeks</t>
  </si>
  <si>
    <t>NHS Forth ValleyUnadjusted seen over_66over 35 weeks</t>
  </si>
  <si>
    <t>NHS Forth ValleyUnadjusted seen over_6536_52</t>
  </si>
  <si>
    <t>NHS Forth ValleyUnadjusted seen over_65over 53</t>
  </si>
  <si>
    <t>NHS Forth ValleyUnadjusted seen over_65referrals received</t>
  </si>
  <si>
    <t>NHS Forth ValleyUnadjusted seen over_65referrals accepted</t>
  </si>
  <si>
    <t>NHS GrampianAdjusted seen Total Patients Seen</t>
  </si>
  <si>
    <t>NHS GrampianAdjusted seen 0-18 weeks</t>
  </si>
  <si>
    <t>NHS GrampianAdjusted seen over18</t>
  </si>
  <si>
    <t>NHS GrampianAdjusted seen Quartmedian</t>
  </si>
  <si>
    <t>NHS GrampianAdjusted seen Quart90perc</t>
  </si>
  <si>
    <t>NHS GrampianAdjusted seen median</t>
  </si>
  <si>
    <t>NHS GrampianAdjusted seen 90percent</t>
  </si>
  <si>
    <t>NHS GrampianAdjusted seen 19-35 weeks</t>
  </si>
  <si>
    <t>NHS GrampianAdjusted seen over 35 weeks</t>
  </si>
  <si>
    <t>NHS GrampianAdjusted seen 36_52</t>
  </si>
  <si>
    <t>NHS GrampianAdjusted seen over 53</t>
  </si>
  <si>
    <t>NHS GrampianAdjusted seen over_65Total Patients Seen</t>
  </si>
  <si>
    <t>NHS GrampianAdjusted seen over_650-18 weeks</t>
  </si>
  <si>
    <t>NHS GrampianAdjusted seen over_65over18</t>
  </si>
  <si>
    <t>NHS GrampianAdjusted seen over_65Quartmedian</t>
  </si>
  <si>
    <t>NHS GrampianAdjusted seen over_65Quart90perc</t>
  </si>
  <si>
    <t>NHS GrampianAdjusted seen over_65median</t>
  </si>
  <si>
    <t>NHS GrampianAdjusted seen over_6590percent</t>
  </si>
  <si>
    <t>NHS GrampianAdjusted seen over_6519-35 weeks</t>
  </si>
  <si>
    <t>NHS GrampianAdjusted seen over_65over 35 weeks</t>
  </si>
  <si>
    <t>NHS GrampianAdjusted seen over_6536_52</t>
  </si>
  <si>
    <t>NHS GrampianAdjusted seen over_65over 53</t>
  </si>
  <si>
    <t>NHS GrampianUnadjusted seen Total Patients Seen</t>
  </si>
  <si>
    <t>NHS GrampianUnadjusted seen 0-18 weeks</t>
  </si>
  <si>
    <t>NHS GrampianUnadjusted seen over18</t>
  </si>
  <si>
    <t>NHS GrampianUnadjusted seen Quartmedian</t>
  </si>
  <si>
    <t>NHS GrampianUnadjusted seen Quart90perc</t>
  </si>
  <si>
    <t>NHS GrampianUnadjusted seen median</t>
  </si>
  <si>
    <t>NHS GrampianUnadjusted seen 90percent</t>
  </si>
  <si>
    <t>NHS GrampianUnadjusted seen 19-35 weeks</t>
  </si>
  <si>
    <t>NHS GrampianUnadjusted seen over 35 weeks</t>
  </si>
  <si>
    <t>NHS GrampianUnadjusted seen 36_52</t>
  </si>
  <si>
    <t>NHS GrampianUnadjusted seen over 53</t>
  </si>
  <si>
    <t>NHS GrampianUnadjusted seen referrals received</t>
  </si>
  <si>
    <t>NHS GrampianUnadjusted seen referrals accepted</t>
  </si>
  <si>
    <t>NHS GrampianUnadjusted seen over_65Total Patients Seen</t>
  </si>
  <si>
    <t>NHS GrampianUnadjusted seen over_650-18 weeks</t>
  </si>
  <si>
    <t>NHS GrampianUnadjusted seen over_65over18</t>
  </si>
  <si>
    <t>NHS GrampianUnadjusted seen over_650_26</t>
  </si>
  <si>
    <t>NHS GrampianUnadjusted seen over_65over 26</t>
  </si>
  <si>
    <t>NHS GrampianUnadjusted seen over_65median</t>
  </si>
  <si>
    <t>NHS GrampianUnadjusted seen over_6590percent</t>
  </si>
  <si>
    <t>NHS GrampianUnadjusted seen over_6519-35 weeks</t>
  </si>
  <si>
    <t>NHS GrampianUnadjusted seen over_65over 35 weeks</t>
  </si>
  <si>
    <t>NHS GrampianUnadjusted seen over_6536_52</t>
  </si>
  <si>
    <t>NHS GrampianUnadjusted seen over_65over 53</t>
  </si>
  <si>
    <t>NHS GrampianUnadjusted seen over_65referrals received</t>
  </si>
  <si>
    <t>NHS GrampianUnadjusted seen over_65referrals accepted</t>
  </si>
  <si>
    <t>NHS Greater Glasgow &amp; ClydeAdjusted seen Total Patients Seen</t>
  </si>
  <si>
    <t>NHS Greater Glasgow &amp; ClydeAdjusted seen 0-18 weeks</t>
  </si>
  <si>
    <t>NHS Greater Glasgow &amp; ClydeAdjusted seen over18</t>
  </si>
  <si>
    <t>NHS Greater Glasgow &amp; ClydeAdjusted seen Quartmedian</t>
  </si>
  <si>
    <t>NHS Greater Glasgow &amp; ClydeAdjusted seen Quart90perc</t>
  </si>
  <si>
    <t>NHS Greater Glasgow &amp; ClydeAdjusted seen median</t>
  </si>
  <si>
    <t>NHS Greater Glasgow &amp; ClydeAdjusted seen 90percent</t>
  </si>
  <si>
    <t>NHS Greater Glasgow &amp; ClydeAdjusted seen 19-35 weeks</t>
  </si>
  <si>
    <t>NHS Greater Glasgow &amp; ClydeAdjusted seen over 35 weeks</t>
  </si>
  <si>
    <t>NHS Greater Glasgow &amp; ClydeAdjusted seen 36_52</t>
  </si>
  <si>
    <t>NHS Greater Glasgow &amp; ClydeAdjusted seen over 53</t>
  </si>
  <si>
    <t>NHS Greater Glasgow &amp; ClydeAdjusted seen over_65Total Patients Seen</t>
  </si>
  <si>
    <t>NHS Greater Glasgow &amp; ClydeAdjusted seen over_650-18 weeks</t>
  </si>
  <si>
    <t>NHS Greater Glasgow &amp; ClydeAdjusted seen over_65over18</t>
  </si>
  <si>
    <t>NHS Greater Glasgow &amp; ClydeAdjusted seen over_65Quartmedian</t>
  </si>
  <si>
    <t>NHS Greater Glasgow &amp; ClydeAdjusted seen over_65Quart90perc</t>
  </si>
  <si>
    <t>NHS Greater Glasgow &amp; ClydeAdjusted seen over_65median</t>
  </si>
  <si>
    <t>NHS Greater Glasgow &amp; ClydeAdjusted seen over_6590percent</t>
  </si>
  <si>
    <t>NHS Greater Glasgow &amp; ClydeAdjusted seen over_6519-35 weeks</t>
  </si>
  <si>
    <t>NHS Greater Glasgow &amp; ClydeAdjusted seen over_65over 35 weeks</t>
  </si>
  <si>
    <t>NHS Greater Glasgow &amp; ClydeAdjusted seen over_6536_52</t>
  </si>
  <si>
    <t>NHS Greater Glasgow &amp; ClydeAdjusted seen over_65over 53</t>
  </si>
  <si>
    <t>NHS Greater Glasgow &amp; ClydeUnadjusted seen Total Patients Seen</t>
  </si>
  <si>
    <t>NHS Greater Glasgow &amp; ClydeUnadjusted seen 0-18 weeks</t>
  </si>
  <si>
    <t>NHS Greater Glasgow &amp; ClydeUnadjusted seen over18</t>
  </si>
  <si>
    <t>NHS Greater Glasgow &amp; ClydeUnadjusted seen Quartmedian</t>
  </si>
  <si>
    <t>NHS Greater Glasgow &amp; ClydeUnadjusted seen Quart90perc</t>
  </si>
  <si>
    <t>NHS Greater Glasgow &amp; ClydeUnadjusted seen median</t>
  </si>
  <si>
    <t>NHS Greater Glasgow &amp; ClydeUnadjusted seen 90percent</t>
  </si>
  <si>
    <t>NHS Greater Glasgow &amp; ClydeUnadjusted seen 19-35 weeks</t>
  </si>
  <si>
    <t>NHS Greater Glasgow &amp; ClydeUnadjusted seen over 35 weeks</t>
  </si>
  <si>
    <t>NHS Greater Glasgow &amp; ClydeUnadjusted seen 36_52</t>
  </si>
  <si>
    <t>NHS Greater Glasgow &amp; ClydeUnadjusted seen over 53</t>
  </si>
  <si>
    <t>NHS Greater Glasgow &amp; ClydeUnadjusted seen referrals received</t>
  </si>
  <si>
    <t>NHS Greater Glasgow &amp; ClydeUnadjusted seen referrals accepted</t>
  </si>
  <si>
    <t>NHS Greater Glasgow &amp; ClydeUnadjusted seen over_65Total Patients Seen</t>
  </si>
  <si>
    <t>NHS Greater Glasgow &amp; ClydeUnadjusted seen over_650-18 weeks</t>
  </si>
  <si>
    <t>NHS Greater Glasgow &amp; ClydeUnadjusted seen over_65over18</t>
  </si>
  <si>
    <t>NHS Greater Glasgow &amp; ClydeUnadjusted seen over_650_26</t>
  </si>
  <si>
    <t>NHS Greater Glasgow &amp; ClydeUnadjusted seen over_65over 26</t>
  </si>
  <si>
    <t>NHS Greater Glasgow &amp; ClydeUnadjusted seen over_65median</t>
  </si>
  <si>
    <t>NHS Greater Glasgow &amp; ClydeUnadjusted seen over_6590percent</t>
  </si>
  <si>
    <t>NHS Greater Glasgow &amp; ClydeUnadjusted seen over_6519-35 weeks</t>
  </si>
  <si>
    <t>NHS Greater Glasgow &amp; ClydeUnadjusted seen over_65over 35 weeks</t>
  </si>
  <si>
    <t>NHS Greater Glasgow &amp; ClydeUnadjusted seen over_6536_52</t>
  </si>
  <si>
    <t>NHS Greater Glasgow &amp; ClydeUnadjusted seen over_65over 53</t>
  </si>
  <si>
    <t>NHS Greater Glasgow &amp; ClydeUnadjusted seen over_65referrals received</t>
  </si>
  <si>
    <t>NHS Greater Glasgow &amp; ClydeUnadjusted seen over_65referrals accepted</t>
  </si>
  <si>
    <t>NHS HighlandAdjusted seen Total Patients Seen</t>
  </si>
  <si>
    <t>NHS HighlandAdjusted seen 0-18 weeks</t>
  </si>
  <si>
    <t>NHS HighlandAdjusted seen over18</t>
  </si>
  <si>
    <t>NHS HighlandAdjusted seen Quartmedian</t>
  </si>
  <si>
    <t>NHS HighlandAdjusted seen Quart90perc</t>
  </si>
  <si>
    <t>NHS HighlandAdjusted seen median</t>
  </si>
  <si>
    <t>NHS HighlandAdjusted seen 90percent</t>
  </si>
  <si>
    <t>NHS HighlandAdjusted seen 19-35 weeks</t>
  </si>
  <si>
    <t>NHS HighlandAdjusted seen over 35 weeks</t>
  </si>
  <si>
    <t>NHS HighlandAdjusted seen 36_52</t>
  </si>
  <si>
    <t>NHS HighlandAdjusted seen over 53</t>
  </si>
  <si>
    <t>NHS HighlandAdjusted seen over_65Total Patients Seen</t>
  </si>
  <si>
    <t>NHS HighlandAdjusted seen over_650-18 weeks</t>
  </si>
  <si>
    <t>NHS HighlandAdjusted seen over_65over18</t>
  </si>
  <si>
    <t>NHS HighlandAdjusted seen over_65Quartmedian</t>
  </si>
  <si>
    <t>NHS HighlandAdjusted seen over_65Quart90perc</t>
  </si>
  <si>
    <t>NHS HighlandAdjusted seen over_65median</t>
  </si>
  <si>
    <t>NHS HighlandAdjusted seen over_6590percent</t>
  </si>
  <si>
    <t>NHS HighlandAdjusted seen over_6519-35 weeks</t>
  </si>
  <si>
    <t>NHS HighlandAdjusted seen over_65over 35 weeks</t>
  </si>
  <si>
    <t>NHS HighlandAdjusted seen over_6536_52</t>
  </si>
  <si>
    <t>NHS HighlandAdjusted seen over_65over 53</t>
  </si>
  <si>
    <t>NHS HighlandUnadjusted seen Total Patients Seen</t>
  </si>
  <si>
    <t>NHS HighlandUnadjusted seen 0-18 weeks</t>
  </si>
  <si>
    <t>NHS HighlandUnadjusted seen over18</t>
  </si>
  <si>
    <t>NHS HighlandUnadjusted seen Quartmedian</t>
  </si>
  <si>
    <t>NHS HighlandUnadjusted seen Quart90perc</t>
  </si>
  <si>
    <t>NHS HighlandUnadjusted seen median</t>
  </si>
  <si>
    <t>NHS HighlandUnadjusted seen 90percent</t>
  </si>
  <si>
    <t>NHS HighlandUnadjusted seen 19-35 weeks</t>
  </si>
  <si>
    <t>NHS HighlandUnadjusted seen over 35 weeks</t>
  </si>
  <si>
    <t>NHS HighlandUnadjusted seen 36_52</t>
  </si>
  <si>
    <t>NHS HighlandUnadjusted seen over 53</t>
  </si>
  <si>
    <t>NHS HighlandUnadjusted seen referrals received</t>
  </si>
  <si>
    <t>NHS HighlandUnadjusted seen referrals accepted</t>
  </si>
  <si>
    <t>NHS HighlandUnadjusted seen over_65Total Patients Seen</t>
  </si>
  <si>
    <t>NHS HighlandUnadjusted seen over_650-18 weeks</t>
  </si>
  <si>
    <t>NHS HighlandUnadjusted seen over_65over18</t>
  </si>
  <si>
    <t>NHS HighlandUnadjusted seen over_650_26</t>
  </si>
  <si>
    <t>NHS HighlandUnadjusted seen over_65over 26</t>
  </si>
  <si>
    <t>NHS HighlandUnadjusted seen over_65median</t>
  </si>
  <si>
    <t>NHS HighlandUnadjusted seen over_6590percent</t>
  </si>
  <si>
    <t>NHS HighlandUnadjusted seen over_6519-35 weeks</t>
  </si>
  <si>
    <t>NHS HighlandUnadjusted seen over_65over 35 weeks</t>
  </si>
  <si>
    <t>NHS HighlandUnadjusted seen over_6536_52</t>
  </si>
  <si>
    <t>NHS HighlandUnadjusted seen over_65over 53</t>
  </si>
  <si>
    <t>NHS HighlandUnadjusted seen over_65referrals received</t>
  </si>
  <si>
    <t>NHS HighlandUnadjusted seen over_65referrals accepted</t>
  </si>
  <si>
    <t>NHS LanarkshireAdjusted seen Total Patients Seen</t>
  </si>
  <si>
    <t>NHS LanarkshireAdjusted seen 0-18 weeks</t>
  </si>
  <si>
    <t>NHS LanarkshireAdjusted seen over18</t>
  </si>
  <si>
    <t>NHS LanarkshireAdjusted seen Quartmedian</t>
  </si>
  <si>
    <t>NHS LanarkshireAdjusted seen Quart90perc</t>
  </si>
  <si>
    <t>NHS LanarkshireAdjusted seen median</t>
  </si>
  <si>
    <t>NHS LanarkshireAdjusted seen 90percent</t>
  </si>
  <si>
    <t>NHS LanarkshireAdjusted seen 19-35 weeks</t>
  </si>
  <si>
    <t>NHS LanarkshireAdjusted seen over 35 weeks</t>
  </si>
  <si>
    <t>NHS LanarkshireAdjusted seen 36_52</t>
  </si>
  <si>
    <t>NHS LanarkshireAdjusted seen over 53</t>
  </si>
  <si>
    <t>NHS LanarkshireAdjusted seen over_65Total Patients Seen</t>
  </si>
  <si>
    <t>NHS LanarkshireAdjusted seen over_650-18 weeks</t>
  </si>
  <si>
    <t>NHS LanarkshireAdjusted seen over_65over18</t>
  </si>
  <si>
    <t>NHS LanarkshireAdjusted seen over_65Quartmedian</t>
  </si>
  <si>
    <t>NHS LanarkshireAdjusted seen over_65Quart90perc</t>
  </si>
  <si>
    <t>NHS LanarkshireAdjusted seen over_65median</t>
  </si>
  <si>
    <t>NHS LanarkshireAdjusted seen over_6590percent</t>
  </si>
  <si>
    <t>NHS LanarkshireAdjusted seen over_6519-35 weeks</t>
  </si>
  <si>
    <t>NHS LanarkshireAdjusted seen over_65over 35 weeks</t>
  </si>
  <si>
    <t>NHS LanarkshireAdjusted seen over_6536_52</t>
  </si>
  <si>
    <t>NHS LanarkshireAdjusted seen over_65over 53</t>
  </si>
  <si>
    <t>NHS LanarkshireUnadjusted seen Total Patients Seen</t>
  </si>
  <si>
    <t>NHS LanarkshireUnadjusted seen 0-18 weeks</t>
  </si>
  <si>
    <t>NHS LanarkshireUnadjusted seen over18</t>
  </si>
  <si>
    <t>NHS LanarkshireUnadjusted seen Quartmedian</t>
  </si>
  <si>
    <t>NHS LanarkshireUnadjusted seen Quart90perc</t>
  </si>
  <si>
    <t>NHS LanarkshireUnadjusted seen median</t>
  </si>
  <si>
    <t>NHS LanarkshireUnadjusted seen 90percent</t>
  </si>
  <si>
    <t>NHS LanarkshireUnadjusted seen 19-35 weeks</t>
  </si>
  <si>
    <t>NHS LanarkshireUnadjusted seen over 35 weeks</t>
  </si>
  <si>
    <t>NHS LanarkshireUnadjusted seen 36_52</t>
  </si>
  <si>
    <t>NHS LanarkshireUnadjusted seen over 53</t>
  </si>
  <si>
    <t>NHS LanarkshireUnadjusted seen referrals received</t>
  </si>
  <si>
    <t>NHS LanarkshireUnadjusted seen referrals accepted</t>
  </si>
  <si>
    <t>NHS LanarkshireUnadjusted seen over_65Total Patients Seen</t>
  </si>
  <si>
    <t>NHS LanarkshireUnadjusted seen over_650-18 weeks</t>
  </si>
  <si>
    <t>NHS LanarkshireUnadjusted seen over_65over18</t>
  </si>
  <si>
    <t>NHS LanarkshireUnadjusted seen over_650_26</t>
  </si>
  <si>
    <t>NHS LanarkshireUnadjusted seen over_65over 26</t>
  </si>
  <si>
    <t>NHS LanarkshireUnadjusted seen over_65median</t>
  </si>
  <si>
    <t>NHS LanarkshireUnadjusted seen over_6590percent</t>
  </si>
  <si>
    <t>NHS LanarkshireUnadjusted seen over_6519-35 weeks</t>
  </si>
  <si>
    <t>NHS LanarkshireUnadjusted seen over_65over 35 weeks</t>
  </si>
  <si>
    <t>NHS LanarkshireUnadjusted seen over_6536_52</t>
  </si>
  <si>
    <t>NHS LanarkshireUnadjusted seen over_65over 53</t>
  </si>
  <si>
    <t>NHS LanarkshireUnadjusted seen over_65referrals received</t>
  </si>
  <si>
    <t>NHS LanarkshireUnadjusted seen over_65referrals accepted</t>
  </si>
  <si>
    <t>NHS LothianAdjusted seen Total Patients Seen</t>
  </si>
  <si>
    <t>NHS LothianAdjusted seen 0-18 weeks</t>
  </si>
  <si>
    <t>NHS LothianAdjusted seen over18</t>
  </si>
  <si>
    <t>NHS LothianAdjusted seen Quartmedian</t>
  </si>
  <si>
    <t>NHS LothianAdjusted seen Quart90perc</t>
  </si>
  <si>
    <t>NHS LothianAdjusted seen median</t>
  </si>
  <si>
    <t>NHS LothianAdjusted seen 90percent</t>
  </si>
  <si>
    <t>NHS LothianAdjusted seen 19-35 weeks</t>
  </si>
  <si>
    <t>NHS LothianAdjusted seen over 35 weeks</t>
  </si>
  <si>
    <t>NHS LothianAdjusted seen 36_52</t>
  </si>
  <si>
    <t>NHS LothianAdjusted seen over 53</t>
  </si>
  <si>
    <t>NHS LothianAdjusted seen over_65Total Patients Seen</t>
  </si>
  <si>
    <t>NHS LothianAdjusted seen over_650-18 weeks</t>
  </si>
  <si>
    <t>NHS LothianAdjusted seen over_65over18</t>
  </si>
  <si>
    <t>NHS LothianAdjusted seen over_65Quartmedian</t>
  </si>
  <si>
    <t>NHS LothianAdjusted seen over_65Quart90perc</t>
  </si>
  <si>
    <t>NHS LothianAdjusted seen over_65median</t>
  </si>
  <si>
    <t>NHS LothianAdjusted seen over_6590percent</t>
  </si>
  <si>
    <t>NHS LothianAdjusted seen over_6519-35 weeks</t>
  </si>
  <si>
    <t>NHS LothianAdjusted seen over_65over 35 weeks</t>
  </si>
  <si>
    <t>NHS LothianAdjusted seen over_6536_52</t>
  </si>
  <si>
    <t>NHS LothianAdjusted seen over_65over 53</t>
  </si>
  <si>
    <t>NHS LothianUnadjusted seen Total Patients Seen</t>
  </si>
  <si>
    <t>NHS LothianUnadjusted seen 0-18 weeks</t>
  </si>
  <si>
    <t>NHS LothianUnadjusted seen over18</t>
  </si>
  <si>
    <t>NHS LothianUnadjusted seen Quartmedian</t>
  </si>
  <si>
    <t>NHS LothianUnadjusted seen Quart90perc</t>
  </si>
  <si>
    <t>NHS LothianUnadjusted seen median</t>
  </si>
  <si>
    <t>NHS LothianUnadjusted seen 90percent</t>
  </si>
  <si>
    <t>NHS LothianUnadjusted seen 19-35 weeks</t>
  </si>
  <si>
    <t>NHS LothianUnadjusted seen over 35 weeks</t>
  </si>
  <si>
    <t>NHS LothianUnadjusted seen 36_52</t>
  </si>
  <si>
    <t>NHS LothianUnadjusted seen over 53</t>
  </si>
  <si>
    <t>NHS LothianUnadjusted seen referrals received</t>
  </si>
  <si>
    <t>NHS LothianUnadjusted seen referrals accepted</t>
  </si>
  <si>
    <t>NHS LothianUnadjusted seen over_65Total Patients Seen</t>
  </si>
  <si>
    <t>NHS LothianUnadjusted seen over_650-18 weeks</t>
  </si>
  <si>
    <t>NHS LothianUnadjusted seen over_65over18</t>
  </si>
  <si>
    <t>NHS LothianUnadjusted seen over_650_26</t>
  </si>
  <si>
    <t>NHS LothianUnadjusted seen over_65over 26</t>
  </si>
  <si>
    <t>NHS LothianUnadjusted seen over_65median</t>
  </si>
  <si>
    <t>NHS LothianUnadjusted seen over_6590percent</t>
  </si>
  <si>
    <t>NHS LothianUnadjusted seen over_6519-35 weeks</t>
  </si>
  <si>
    <t>NHS LothianUnadjusted seen over_65over 35 weeks</t>
  </si>
  <si>
    <t>NHS LothianUnadjusted seen over_6536_52</t>
  </si>
  <si>
    <t>NHS LothianUnadjusted seen over_65over 53</t>
  </si>
  <si>
    <t>NHS LothianUnadjusted seen over_65referrals received</t>
  </si>
  <si>
    <t>NHS LothianUnadjusted seen over_65referrals accepted</t>
  </si>
  <si>
    <t>NHS OrkneyAdjusted seen Total Patients Seen</t>
  </si>
  <si>
    <t>NHS OrkneyAdjusted seen 0-18 weeks</t>
  </si>
  <si>
    <t>NHS OrkneyAdjusted seen over18</t>
  </si>
  <si>
    <t>NHS OrkneyAdjusted seen Quartmedian</t>
  </si>
  <si>
    <t>NHS OrkneyAdjusted seen Quart90perc</t>
  </si>
  <si>
    <t>NHS OrkneyAdjusted seen median</t>
  </si>
  <si>
    <t>NHS OrkneyAdjusted seen 90percent</t>
  </si>
  <si>
    <t>NHS OrkneyAdjusted seen 19-35 weeks</t>
  </si>
  <si>
    <t>NHS OrkneyAdjusted seen over 35 weeks</t>
  </si>
  <si>
    <t>NHS OrkneyAdjusted seen 36_52</t>
  </si>
  <si>
    <t>NHS OrkneyAdjusted seen over 53</t>
  </si>
  <si>
    <t>NHS OrkneyAdjusted seen over_65Total Patients Seen</t>
  </si>
  <si>
    <t>NHS OrkneyAdjusted seen over_650-18 weeks</t>
  </si>
  <si>
    <t>NHS OrkneyAdjusted seen over_65over18</t>
  </si>
  <si>
    <t>NHS OrkneyAdjusted seen over_65Quartmedian</t>
  </si>
  <si>
    <t>NHS OrkneyAdjusted seen over_65Quart90perc</t>
  </si>
  <si>
    <t>NHS OrkneyAdjusted seen over_65median</t>
  </si>
  <si>
    <t>NHS OrkneyAdjusted seen over_6590percent</t>
  </si>
  <si>
    <t>NHS OrkneyAdjusted seen over_6519-35 weeks</t>
  </si>
  <si>
    <t>NHS OrkneyAdjusted seen over_65over 35 weeks</t>
  </si>
  <si>
    <t>NHS OrkneyAdjusted seen over_6536_52</t>
  </si>
  <si>
    <t>NHS OrkneyAdjusted seen over_65over 53</t>
  </si>
  <si>
    <t>NHS OrkneyUnadjusted seen Total Patients Seen</t>
  </si>
  <si>
    <t>NHS OrkneyUnadjusted seen 0-18 weeks</t>
  </si>
  <si>
    <t>NHS OrkneyUnadjusted seen over18</t>
  </si>
  <si>
    <t>NHS OrkneyUnadjusted seen Quartmedian</t>
  </si>
  <si>
    <t>NHS OrkneyUnadjusted seen Quart90perc</t>
  </si>
  <si>
    <t>NHS OrkneyUnadjusted seen median</t>
  </si>
  <si>
    <t>NHS OrkneyUnadjusted seen 90percent</t>
  </si>
  <si>
    <t>NHS OrkneyUnadjusted seen 19-35 weeks</t>
  </si>
  <si>
    <t>NHS OrkneyUnadjusted seen over 35 weeks</t>
  </si>
  <si>
    <t>NHS OrkneyUnadjusted seen 36_52</t>
  </si>
  <si>
    <t>NHS OrkneyUnadjusted seen over 53</t>
  </si>
  <si>
    <t>NHS OrkneyUnadjusted seen referrals received</t>
  </si>
  <si>
    <t>NHS OrkneyUnadjusted seen referrals accepted</t>
  </si>
  <si>
    <t>NHS OrkneyUnadjusted seen over_65Total Patients Seen</t>
  </si>
  <si>
    <t>NHS OrkneyUnadjusted seen over_650-18 weeks</t>
  </si>
  <si>
    <t>NHS OrkneyUnadjusted seen over_65over18</t>
  </si>
  <si>
    <t>NHS OrkneyUnadjusted seen over_650_26</t>
  </si>
  <si>
    <t>NHS OrkneyUnadjusted seen over_65over 26</t>
  </si>
  <si>
    <t>NHS OrkneyUnadjusted seen over_65median</t>
  </si>
  <si>
    <t>NHS OrkneyUnadjusted seen over_6590percent</t>
  </si>
  <si>
    <t>NHS OrkneyUnadjusted seen over_6519-35 weeks</t>
  </si>
  <si>
    <t>NHS OrkneyUnadjusted seen over_65over 35 weeks</t>
  </si>
  <si>
    <t>NHS OrkneyUnadjusted seen over_6536_52</t>
  </si>
  <si>
    <t>NHS OrkneyUnadjusted seen over_65over 53</t>
  </si>
  <si>
    <t>NHS OrkneyUnadjusted seen over_65referrals received</t>
  </si>
  <si>
    <t>NHS OrkneyUnadjusted seen over_65referrals accepted</t>
  </si>
  <si>
    <t>NHS ShetlandAdjusted seen Total Patients Seen</t>
  </si>
  <si>
    <t>NHS ShetlandAdjusted seen 0-18 weeks</t>
  </si>
  <si>
    <t>NHS ShetlandAdjusted seen over18</t>
  </si>
  <si>
    <t>NHS ShetlandAdjusted seen Quartmedian</t>
  </si>
  <si>
    <t>NHS ShetlandAdjusted seen Quart90perc</t>
  </si>
  <si>
    <t>NHS ShetlandAdjusted seen median</t>
  </si>
  <si>
    <t>NHS ShetlandAdjusted seen 90percent</t>
  </si>
  <si>
    <t>NHS ShetlandAdjusted seen 19-35 weeks</t>
  </si>
  <si>
    <t>NHS ShetlandAdjusted seen over 35 weeks</t>
  </si>
  <si>
    <t>NHS ShetlandAdjusted seen 36_52</t>
  </si>
  <si>
    <t>NHS ShetlandAdjusted seen over 53</t>
  </si>
  <si>
    <t>NHS ShetlandAdjusted seen over_65Total Patients Seen</t>
  </si>
  <si>
    <t>NHS ShetlandAdjusted seen over_650-18 weeks</t>
  </si>
  <si>
    <t>NHS ShetlandAdjusted seen over_65over18</t>
  </si>
  <si>
    <t>NHS ShetlandAdjusted seen over_65Quartmedian</t>
  </si>
  <si>
    <t>NHS ShetlandAdjusted seen over_65Quart90perc</t>
  </si>
  <si>
    <t>NHS ShetlandAdjusted seen over_65median</t>
  </si>
  <si>
    <t>NHS ShetlandAdjusted seen over_6590percent</t>
  </si>
  <si>
    <t>NHS ShetlandAdjusted seen over_6519-35 weeks</t>
  </si>
  <si>
    <t>NHS ShetlandAdjusted seen over_65over 35 weeks</t>
  </si>
  <si>
    <t>NHS ShetlandAdjusted seen over_6536_52</t>
  </si>
  <si>
    <t>NHS ShetlandAdjusted seen over_65over 53</t>
  </si>
  <si>
    <t>NHS ShetlandUnadjusted seen Total Patients Seen</t>
  </si>
  <si>
    <t>NHS ShetlandUnadjusted seen 0-18 weeks</t>
  </si>
  <si>
    <t>NHS ShetlandUnadjusted seen over18</t>
  </si>
  <si>
    <t>NHS ShetlandUnadjusted seen Quartmedian</t>
  </si>
  <si>
    <t>NHS ShetlandUnadjusted seen Quart90perc</t>
  </si>
  <si>
    <t>NHS ShetlandUnadjusted seen median</t>
  </si>
  <si>
    <t>NHS ShetlandUnadjusted seen 90percent</t>
  </si>
  <si>
    <t>NHS ShetlandUnadjusted seen 19-35 weeks</t>
  </si>
  <si>
    <t>NHS ShetlandUnadjusted seen over 35 weeks</t>
  </si>
  <si>
    <t>NHS ShetlandUnadjusted seen 36_52</t>
  </si>
  <si>
    <t>NHS ShetlandUnadjusted seen over 53</t>
  </si>
  <si>
    <t>NHS ShetlandUnadjusted seen referrals received</t>
  </si>
  <si>
    <t>NHS ShetlandUnadjusted seen referrals accepted</t>
  </si>
  <si>
    <t>NHS ShetlandUnadjusted seen over_65Total Patients Seen</t>
  </si>
  <si>
    <t>NHS ShetlandUnadjusted seen over_650-18 weeks</t>
  </si>
  <si>
    <t>NHS ShetlandUnadjusted seen over_65over18</t>
  </si>
  <si>
    <t>NHS ShetlandUnadjusted seen over_650_26</t>
  </si>
  <si>
    <t>NHS ShetlandUnadjusted seen over_65over 26</t>
  </si>
  <si>
    <t>NHS ShetlandUnadjusted seen over_65median</t>
  </si>
  <si>
    <t>NHS ShetlandUnadjusted seen over_6590percent</t>
  </si>
  <si>
    <t>NHS ShetlandUnadjusted seen over_6519-35 weeks</t>
  </si>
  <si>
    <t>NHS ShetlandUnadjusted seen over_65over 35 weeks</t>
  </si>
  <si>
    <t>NHS ShetlandUnadjusted seen over_6536_52</t>
  </si>
  <si>
    <t>NHS ShetlandUnadjusted seen over_65over 53</t>
  </si>
  <si>
    <t>NHS ShetlandUnadjusted seen over_65referrals received</t>
  </si>
  <si>
    <t>NHS ShetlandUnadjusted seen over_65referrals accepted</t>
  </si>
  <si>
    <t>NHS TaysideAdjusted seen Total Patients Seen</t>
  </si>
  <si>
    <t>NHS TaysideAdjusted seen 0-18 weeks</t>
  </si>
  <si>
    <t>NHS TaysideAdjusted seen over18</t>
  </si>
  <si>
    <t>NHS TaysideAdjusted seen Quartmedian</t>
  </si>
  <si>
    <t>NHS TaysideAdjusted seen Quart90perc</t>
  </si>
  <si>
    <t>NHS TaysideAdjusted seen median</t>
  </si>
  <si>
    <t>NHS TaysideAdjusted seen 90percent</t>
  </si>
  <si>
    <t>NHS TaysideAdjusted seen 19-35 weeks</t>
  </si>
  <si>
    <t>NHS TaysideAdjusted seen over 35 weeks</t>
  </si>
  <si>
    <t>NHS TaysideAdjusted seen 36_52</t>
  </si>
  <si>
    <t>NHS TaysideAdjusted seen over 53</t>
  </si>
  <si>
    <t>NHS TaysideAdjusted seen over_65Total Patients Seen</t>
  </si>
  <si>
    <t>NHS TaysideAdjusted seen over_650-18 weeks</t>
  </si>
  <si>
    <t>NHS TaysideAdjusted seen over_65over18</t>
  </si>
  <si>
    <t>NHS TaysideAdjusted seen over_65Quartmedian</t>
  </si>
  <si>
    <t>NHS TaysideAdjusted seen over_65Quart90perc</t>
  </si>
  <si>
    <t>NHS TaysideAdjusted seen over_65median</t>
  </si>
  <si>
    <t>NHS TaysideAdjusted seen over_6590percent</t>
  </si>
  <si>
    <t>NHS TaysideAdjusted seen over_6519-35 weeks</t>
  </si>
  <si>
    <t>NHS TaysideAdjusted seen over_65over 35 weeks</t>
  </si>
  <si>
    <t>NHS TaysideAdjusted seen over_6536_52</t>
  </si>
  <si>
    <t>NHS TaysideAdjusted seen over_65over 53</t>
  </si>
  <si>
    <t>NHS TaysideUnadjusted seen Total Patients Seen</t>
  </si>
  <si>
    <t>NHS TaysideUnadjusted seen 0-18 weeks</t>
  </si>
  <si>
    <t>NHS TaysideUnadjusted seen over18</t>
  </si>
  <si>
    <t>NHS TaysideUnadjusted seen Quartmedian</t>
  </si>
  <si>
    <t>NHS TaysideUnadjusted seen Quart90perc</t>
  </si>
  <si>
    <t>NHS TaysideUnadjusted seen median</t>
  </si>
  <si>
    <t>NHS TaysideUnadjusted seen 90percent</t>
  </si>
  <si>
    <t>NHS TaysideUnadjusted seen 19-35 weeks</t>
  </si>
  <si>
    <t>NHS TaysideUnadjusted seen over 35 weeks</t>
  </si>
  <si>
    <t>NHS TaysideUnadjusted seen 36_52</t>
  </si>
  <si>
    <t>NHS TaysideUnadjusted seen over 53</t>
  </si>
  <si>
    <t>NHS TaysideUnadjusted seen referrals received</t>
  </si>
  <si>
    <t>NHS TaysideUnadjusted seen referrals accepted</t>
  </si>
  <si>
    <t>NHS TaysideUnadjusted seen over_65Total Patients Seen</t>
  </si>
  <si>
    <t>NHS TaysideUnadjusted seen over_650-18 weeks</t>
  </si>
  <si>
    <t>NHS TaysideUnadjusted seen over_65over18</t>
  </si>
  <si>
    <t>NHS TaysideUnadjusted seen over_650_26</t>
  </si>
  <si>
    <t>NHS TaysideUnadjusted seen over_65over 26</t>
  </si>
  <si>
    <t>NHS TaysideUnadjusted seen over_65median</t>
  </si>
  <si>
    <t>NHS TaysideUnadjusted seen over_6590percent</t>
  </si>
  <si>
    <t>NHS TaysideUnadjusted seen over_6519-35 weeks</t>
  </si>
  <si>
    <t>NHS TaysideUnadjusted seen over_65over 35 weeks</t>
  </si>
  <si>
    <t>NHS TaysideUnadjusted seen over_6536_52</t>
  </si>
  <si>
    <t>NHS TaysideUnadjusted seen over_65over 53</t>
  </si>
  <si>
    <t>NHS TaysideUnadjusted seen over_65referrals received</t>
  </si>
  <si>
    <t>NHS TaysideUnadjusted seen over_65referrals accepted</t>
  </si>
  <si>
    <t>NHS Western IslesAdjusted seen Total Patients Seen</t>
  </si>
  <si>
    <t>NHS Western IslesAdjusted seen 0-18 weeks</t>
  </si>
  <si>
    <t>NHS Western IslesAdjusted seen over18</t>
  </si>
  <si>
    <t>NHS Western IslesAdjusted seen Quartmedian</t>
  </si>
  <si>
    <t>NHS Western IslesAdjusted seen Quart90perc</t>
  </si>
  <si>
    <t>NHS Western IslesAdjusted seen median</t>
  </si>
  <si>
    <t>NHS Western IslesAdjusted seen 90percent</t>
  </si>
  <si>
    <t>NHS Western IslesAdjusted seen 19-35 weeks</t>
  </si>
  <si>
    <t>NHS Western IslesAdjusted seen over 35 weeks</t>
  </si>
  <si>
    <t>NHS Western IslesAdjusted seen 36_52</t>
  </si>
  <si>
    <t>NHS Western IslesAdjusted seen over 53</t>
  </si>
  <si>
    <t>NHS Western IslesAdjusted seen over_65Total Patients Seen</t>
  </si>
  <si>
    <t>NHS Western IslesAdjusted seen over_650-18 weeks</t>
  </si>
  <si>
    <t>NHS Western IslesAdjusted seen over_65over18</t>
  </si>
  <si>
    <t>NHS Western IslesAdjusted seen over_65Quartmedian</t>
  </si>
  <si>
    <t>NHS Western IslesAdjusted seen over_65Quart90perc</t>
  </si>
  <si>
    <t>NHS Western IslesAdjusted seen over_65median</t>
  </si>
  <si>
    <t>NHS Western IslesAdjusted seen over_6590percent</t>
  </si>
  <si>
    <t>NHS Western IslesAdjusted seen over_6519-35 weeks</t>
  </si>
  <si>
    <t>NHS Western IslesAdjusted seen over_65over 35 weeks</t>
  </si>
  <si>
    <t>NHS Western IslesAdjusted seen over_6536_52</t>
  </si>
  <si>
    <t>NHS Western IslesAdjusted seen over_65over 53</t>
  </si>
  <si>
    <t>NHS Western IslesUnadjusted seen Total Patients Seen</t>
  </si>
  <si>
    <t>NHS Western IslesUnadjusted seen 0-18 weeks</t>
  </si>
  <si>
    <t>NHS Western IslesUnadjusted seen over18</t>
  </si>
  <si>
    <t>NHS Western IslesUnadjusted seen Quartmedian</t>
  </si>
  <si>
    <t>NHS Western IslesUnadjusted seen Quart90perc</t>
  </si>
  <si>
    <t>NHS Western IslesUnadjusted seen median</t>
  </si>
  <si>
    <t>NHS Western IslesUnadjusted seen 90percent</t>
  </si>
  <si>
    <t>NHS Western IslesUnadjusted seen 19-35 weeks</t>
  </si>
  <si>
    <t>NHS Western IslesUnadjusted seen over 35 weeks</t>
  </si>
  <si>
    <t>NHS Western IslesUnadjusted seen 36_52</t>
  </si>
  <si>
    <t>NHS Western IslesUnadjusted seen over 53</t>
  </si>
  <si>
    <t>NHS Western IslesUnadjusted seen referrals received</t>
  </si>
  <si>
    <t>NHS Western IslesUnadjusted seen referrals accepted</t>
  </si>
  <si>
    <t>NHS Western IslesUnadjusted seen over_65Total Patients Seen</t>
  </si>
  <si>
    <t>NHS Western IslesUnadjusted seen over_650-18 weeks</t>
  </si>
  <si>
    <t>NHS Western IslesUnadjusted seen over_65over18</t>
  </si>
  <si>
    <t>NHS Western IslesUnadjusted seen over_650_26</t>
  </si>
  <si>
    <t>NHS Western IslesUnadjusted seen over_65over 26</t>
  </si>
  <si>
    <t>NHS Western IslesUnadjusted seen over_65median</t>
  </si>
  <si>
    <t>NHS Western IslesUnadjusted seen over_6590percent</t>
  </si>
  <si>
    <t>NHS Western IslesUnadjusted seen over_6519-35 weeks</t>
  </si>
  <si>
    <t>NHS Western IslesUnadjusted seen over_65over 35 weeks</t>
  </si>
  <si>
    <t>NHS Western IslesUnadjusted seen over_6536_52</t>
  </si>
  <si>
    <t>NHS Western IslesUnadjusted seen over_65over 53</t>
  </si>
  <si>
    <t>NHS Western IslesUnadjusted seen over_65referrals received</t>
  </si>
  <si>
    <t>NHS Western IslesUnadjusted seen over_65referrals accepted</t>
  </si>
  <si>
    <t>ScotlandAdjusted seen Total Patients Seen</t>
  </si>
  <si>
    <t>ScotlandAdjusted seen 0-18 weeks</t>
  </si>
  <si>
    <t>ScotlandAdjusted seen over18</t>
  </si>
  <si>
    <t>ScotlandAdjusted seen Quartmedian</t>
  </si>
  <si>
    <t>ScotlandAdjusted seen Quart90perc</t>
  </si>
  <si>
    <t>ScotlandAdjusted seen median</t>
  </si>
  <si>
    <t>ScotlandAdjusted seen 90percent</t>
  </si>
  <si>
    <t>ScotlandAdjusted seen 19-35 weeks</t>
  </si>
  <si>
    <t>ScotlandAdjusted seen over 35 weeks</t>
  </si>
  <si>
    <t>ScotlandAdjusted seen 36_52</t>
  </si>
  <si>
    <t>ScotlandAdjusted seen over 53</t>
  </si>
  <si>
    <t>ScotlandAdjusted seen over_65Total Patients Seen</t>
  </si>
  <si>
    <t>ScotlandAdjusted seen over_650-18 weeks</t>
  </si>
  <si>
    <t>ScotlandAdjusted seen over_65over18</t>
  </si>
  <si>
    <t>ScotlandAdjusted seen over_65Quartmedian</t>
  </si>
  <si>
    <t>ScotlandAdjusted seen over_65Quart90perc</t>
  </si>
  <si>
    <t>ScotlandAdjusted seen over_65median</t>
  </si>
  <si>
    <t>ScotlandAdjusted seen over_6590percent</t>
  </si>
  <si>
    <t>ScotlandAdjusted seen over_6519-35 weeks</t>
  </si>
  <si>
    <t>ScotlandAdjusted seen over_65over 35 weeks</t>
  </si>
  <si>
    <t>ScotlandAdjusted seen over_6536_52</t>
  </si>
  <si>
    <t>ScotlandAdjusted seen over_65over 53</t>
  </si>
  <si>
    <t>ScotlandUnadjusted seen Total Patients Seen</t>
  </si>
  <si>
    <t>ScotlandUnadjusted seen 0-18 weeks</t>
  </si>
  <si>
    <t>ScotlandUnadjusted seen over18</t>
  </si>
  <si>
    <t>ScotlandUnadjusted seen Quartmedian</t>
  </si>
  <si>
    <t>ScotlandUnadjusted seen Quart90perc</t>
  </si>
  <si>
    <t>ScotlandUnadjusted seen median</t>
  </si>
  <si>
    <t>ScotlandUnadjusted seen 90percent</t>
  </si>
  <si>
    <t>ScotlandUnadjusted seen 19-35 weeks</t>
  </si>
  <si>
    <t>ScotlandUnadjusted seen over 35 weeks</t>
  </si>
  <si>
    <t>ScotlandUnadjusted seen 36_52</t>
  </si>
  <si>
    <t>ScotlandUnadjusted seen over 53</t>
  </si>
  <si>
    <t>ScotlandUnadjusted seen referrals received</t>
  </si>
  <si>
    <t>ScotlandUnadjusted seen referrals accepted</t>
  </si>
  <si>
    <t>ScotlandUnadjusted seen over_65Total Patients Seen</t>
  </si>
  <si>
    <t>ScotlandUnadjusted seen over_650-18 weeks</t>
  </si>
  <si>
    <t>ScotlandUnadjusted seen over_65over18</t>
  </si>
  <si>
    <t>ScotlandUnadjusted seen over_650_26</t>
  </si>
  <si>
    <t>ScotlandUnadjusted seen over_65over 26</t>
  </si>
  <si>
    <t>ScotlandUnadjusted seen over_65median</t>
  </si>
  <si>
    <t>ScotlandUnadjusted seen over_6590percent</t>
  </si>
  <si>
    <t>ScotlandUnadjusted seen over_6519-35 weeks</t>
  </si>
  <si>
    <t>ScotlandUnadjusted seen over_65over 35 weeks</t>
  </si>
  <si>
    <t>ScotlandUnadjusted seen over_6536_52</t>
  </si>
  <si>
    <t>ScotlandUnadjusted seen over_65over 53</t>
  </si>
  <si>
    <t>ScotlandUnadjusted seen over_65referrals received</t>
  </si>
  <si>
    <t>ScotlandUnadjusted seen over_65referrals accepted</t>
  </si>
  <si>
    <t>NHS24Adjusted seen Total Patients Seen</t>
  </si>
  <si>
    <t>NHS24Adjusted seen 0-18 weeks</t>
  </si>
  <si>
    <t>NHS24Adjusted seen over18</t>
  </si>
  <si>
    <t>NHS24Adjusted seen Quartmedian</t>
  </si>
  <si>
    <t>NHS24Adjusted seen Quart90perc</t>
  </si>
  <si>
    <t>NHS24Adjusted seen median</t>
  </si>
  <si>
    <t>NHS24Adjusted seen 90percent</t>
  </si>
  <si>
    <t>NHS24Adjusted seen 19-35 weeks</t>
  </si>
  <si>
    <t>NHS24Adjusted seen over 35 weeks</t>
  </si>
  <si>
    <t>NHS24Adjusted seen 36_52</t>
  </si>
  <si>
    <t>NHS24Adjusted seen over 53</t>
  </si>
  <si>
    <t>NHS24Adjusted seen over_65Total Patients Seen</t>
  </si>
  <si>
    <t>NHS24Adjusted seen over_650-18 weeks</t>
  </si>
  <si>
    <t>NHS24Adjusted seen over_65over18</t>
  </si>
  <si>
    <t>NHS24Adjusted seen over_65Quartmedian</t>
  </si>
  <si>
    <t>NHS24Adjusted seen over_65Quart90perc</t>
  </si>
  <si>
    <t>NHS24Adjusted seen over_65median</t>
  </si>
  <si>
    <t>NHS24Adjusted seen over_6590percent</t>
  </si>
  <si>
    <t>NHS24Adjusted seen over_6519-35 weeks</t>
  </si>
  <si>
    <t>NHS24Adjusted seen over_65over 35 weeks</t>
  </si>
  <si>
    <t>NHS24Adjusted seen over_6536_52</t>
  </si>
  <si>
    <t>NHS24Adjusted seen over_65over 53</t>
  </si>
  <si>
    <t>NHS24Unadjusted seen Total Patients Seen</t>
  </si>
  <si>
    <t>NHS24Unadjusted seen 0-18 weeks</t>
  </si>
  <si>
    <t>NHS24Unadjusted seen over18</t>
  </si>
  <si>
    <t>NHS24Unadjusted seen Quartmedian</t>
  </si>
  <si>
    <t>NHS24Unadjusted seen Quart90perc</t>
  </si>
  <si>
    <t>NHS24Unadjusted seen median</t>
  </si>
  <si>
    <t>NHS24Unadjusted seen 90percent</t>
  </si>
  <si>
    <t>NHS24Unadjusted seen 19-35 weeks</t>
  </si>
  <si>
    <t>NHS24Unadjusted seen over 35 weeks</t>
  </si>
  <si>
    <t>NHS24Unadjusted seen 36_52</t>
  </si>
  <si>
    <t>NHS24Unadjusted seen over 53</t>
  </si>
  <si>
    <t>NHS24Unadjusted seen referrals received</t>
  </si>
  <si>
    <t>NHS24Unadjusted seen referrals accepted</t>
  </si>
  <si>
    <t>NHS24Unadjusted seen over_65Total Patients Seen</t>
  </si>
  <si>
    <t>NHS24Unadjusted seen over_650-18 weeks</t>
  </si>
  <si>
    <t>NHS24Unadjusted seen over_65over18</t>
  </si>
  <si>
    <t>NHS24Unadjusted seen over_650_26</t>
  </si>
  <si>
    <t>NHS24Unadjusted seen over_65over 26</t>
  </si>
  <si>
    <t>NHS24Unadjusted seen over_65median</t>
  </si>
  <si>
    <t>NHS24Unadjusted seen over_6590percent</t>
  </si>
  <si>
    <t>NHS24Unadjusted seen over_6519-35 weeks</t>
  </si>
  <si>
    <t>NHS24Unadjusted seen over_65over 35 weeks</t>
  </si>
  <si>
    <t>NHS24Unadjusted seen over_6536_52</t>
  </si>
  <si>
    <t>NHS24Unadjusted seen over_65over 53</t>
  </si>
  <si>
    <t>NHS24Unadjusted seen over_65referrals received</t>
  </si>
  <si>
    <t>NHS24Unadjusted seen over_65referrals accepted</t>
  </si>
  <si>
    <t>NHS Island BoardsAdjusted seen Total Patients Seen</t>
  </si>
  <si>
    <t>NHS Island BoardsAdjusted seen 0-18 weeks</t>
  </si>
  <si>
    <t>NHS Island BoardsAdjusted seen over18</t>
  </si>
  <si>
    <t>NHS Island BoardsAdjusted seen Quartmedian</t>
  </si>
  <si>
    <t>NHS Island BoardsAdjusted seen Quart90perc</t>
  </si>
  <si>
    <t>NHS Island BoardsAdjusted seen median</t>
  </si>
  <si>
    <t>NHS Island BoardsAdjusted seen 90percent</t>
  </si>
  <si>
    <t>NHS Island BoardsAdjusted seen 19-35 weeks</t>
  </si>
  <si>
    <t>NHS Island BoardsAdjusted seen over 35 weeks</t>
  </si>
  <si>
    <t>NHS Island BoardsAdjusted seen 36_52</t>
  </si>
  <si>
    <t>NHS Island BoardsAdjusted seen over 53</t>
  </si>
  <si>
    <t>NHS Island BoardsAdjusted seen over_65Total Patients Seen</t>
  </si>
  <si>
    <t>NHS Island BoardsAdjusted seen over_650-18 weeks</t>
  </si>
  <si>
    <t>NHS Island BoardsAdjusted seen over_65over18</t>
  </si>
  <si>
    <t>NHS Island BoardsAdjusted seen over_65Quartmedian</t>
  </si>
  <si>
    <t>NHS Island BoardsAdjusted seen over_65Quart90perc</t>
  </si>
  <si>
    <t>NHS Island BoardsAdjusted seen over_65median</t>
  </si>
  <si>
    <t>NHS Island BoardsAdjusted seen over_6590percent</t>
  </si>
  <si>
    <t>NHS Island BoardsAdjusted seen over_6519-35 weeks</t>
  </si>
  <si>
    <t>NHS Island BoardsAdjusted seen over_65over 35 weeks</t>
  </si>
  <si>
    <t>NHS Island BoardsAdjusted seen over_6536_52</t>
  </si>
  <si>
    <t>NHS Island BoardsAdjusted seen over_65over 53</t>
  </si>
  <si>
    <t>NHS Island BoardsUnadjusted seen Total Patients Seen</t>
  </si>
  <si>
    <t>NHS Island BoardsUnadjusted seen 0-18 weeks</t>
  </si>
  <si>
    <t>NHS Island BoardsUnadjusted seen over18</t>
  </si>
  <si>
    <t>NHS Island BoardsUnadjusted seen Quartmedian</t>
  </si>
  <si>
    <t>NHS Island BoardsUnadjusted seen Quart90perc</t>
  </si>
  <si>
    <t>NHS Island BoardsUnadjusted seen median</t>
  </si>
  <si>
    <t>NHS Island BoardsUnadjusted seen 90percent</t>
  </si>
  <si>
    <t>NHS Island BoardsUnadjusted seen 19-35 weeks</t>
  </si>
  <si>
    <t>NHS Island BoardsUnadjusted seen over 35 weeks</t>
  </si>
  <si>
    <t>NHS Island BoardsUnadjusted seen 36_52</t>
  </si>
  <si>
    <t>NHS Island BoardsUnadjusted seen over 53</t>
  </si>
  <si>
    <t>NHS Island BoardsUnadjusted seen referrals received</t>
  </si>
  <si>
    <t>NHS Island BoardsUnadjusted seen referrals accepted</t>
  </si>
  <si>
    <t>NHS Island BoardsUnadjusted seen over_65Total Patients Seen</t>
  </si>
  <si>
    <t>NHS Island BoardsUnadjusted seen over_650-18 weeks</t>
  </si>
  <si>
    <t>NHS Island BoardsUnadjusted seen over_65over18</t>
  </si>
  <si>
    <t>NHS Island BoardsUnadjusted seen over_650_26</t>
  </si>
  <si>
    <t>NHS Island BoardsUnadjusted seen over_65over 26</t>
  </si>
  <si>
    <t>NHS Island BoardsUnadjusted seen over_65median</t>
  </si>
  <si>
    <t>NHS Island BoardsUnadjusted seen over_6590percent</t>
  </si>
  <si>
    <t>NHS Island BoardsUnadjusted seen over_6519-35 weeks</t>
  </si>
  <si>
    <t>NHS Island BoardsUnadjusted seen over_65over 35 weeks</t>
  </si>
  <si>
    <t>NHS Island BoardsUnadjusted seen over_6536_52</t>
  </si>
  <si>
    <t>NHS Island BoardsUnadjusted seen over_65over 53</t>
  </si>
  <si>
    <t>NHS Island BoardsUnadjusted seen over_65referrals received</t>
  </si>
  <si>
    <t>NHS Island BoardsUnadjusted seen over_65referrals accepted</t>
  </si>
  <si>
    <t>Quarter ending December 2020</t>
  </si>
  <si>
    <t>Adjusted waits</t>
  </si>
  <si>
    <t>Unadjusted waits</t>
  </si>
  <si>
    <r>
      <t xml:space="preserve">2.    </t>
    </r>
    <r>
      <rPr>
        <sz val="11"/>
        <color rgb="FF17365D"/>
        <rFont val="Arial"/>
        <family val="2"/>
      </rPr>
      <t xml:space="preserve">NHS </t>
    </r>
    <r>
      <rPr>
        <sz val="11"/>
        <color rgb="FF092869"/>
        <rFont val="Arial"/>
        <family val="2"/>
      </rPr>
      <t>Borders includes CAMHS and Learning disabilities data from June 2020.</t>
    </r>
  </si>
  <si>
    <t>3.     NHS Borders includes CAMHS and Learning disabilities data from June 2020.</t>
  </si>
  <si>
    <t xml:space="preserve">Psychological Therapies Waiting times - Monthly Referrals received and accepted by mental health services </t>
  </si>
  <si>
    <t>4c</t>
  </si>
  <si>
    <t>Quarterly Referrals Patients Aged 65 And Over.</t>
  </si>
  <si>
    <t>Monthly Referrals.</t>
  </si>
  <si>
    <t>Quarterly Referrals.</t>
  </si>
  <si>
    <t>NHS Ayrshire &amp; ArranAdjusted Waiting Total Patients Waiting</t>
  </si>
  <si>
    <t>NHS Ayrshire &amp; ArranAdjusted Waiting 0-18 weeks</t>
  </si>
  <si>
    <t>NHS Ayrshire &amp; ArranAdjusted Waiting over18</t>
  </si>
  <si>
    <t>NHS Ayrshire &amp; ArranAdjusted Waiting 0_26</t>
  </si>
  <si>
    <t>NHS Ayrshire &amp; ArranAdjusted Waiting over 26</t>
  </si>
  <si>
    <t>NHS Ayrshire &amp; ArranAdjusted Waiting median</t>
  </si>
  <si>
    <t>NHS Ayrshire &amp; ArranAdjusted Waiting 90percent</t>
  </si>
  <si>
    <t>NHS Ayrshire &amp; ArranAdjusted Waiting 19-35 weeks</t>
  </si>
  <si>
    <t>NHS Ayrshire &amp; ArranAdjusted Waiting over 35 weeks</t>
  </si>
  <si>
    <t>NHS Ayrshire &amp; ArranAdjusted Waiting 36_52</t>
  </si>
  <si>
    <t>NHS Ayrshire &amp; ArranAdjusted Waiting over 53</t>
  </si>
  <si>
    <t>NHS Ayrshire &amp; ArranAdjusted Waiting over_65Total Patients Waiting</t>
  </si>
  <si>
    <t>NHS Ayrshire &amp; ArranAdjusted Waiting over_650-18 weeks</t>
  </si>
  <si>
    <t>NHS Ayrshire &amp; ArranAdjusted Waiting over_65over18</t>
  </si>
  <si>
    <t>NHS Ayrshire &amp; ArranAdjusted Waiting over_650_26</t>
  </si>
  <si>
    <t>NHS Ayrshire &amp; ArranAdjusted Waiting over_65over 26</t>
  </si>
  <si>
    <t>NHS Ayrshire &amp; ArranAdjusted Waiting over_65median</t>
  </si>
  <si>
    <t>NHS Ayrshire &amp; ArranAdjusted Waiting over_6590percent</t>
  </si>
  <si>
    <t>NHS Ayrshire &amp; ArranAdjusted Waiting over_6519-35 weeks</t>
  </si>
  <si>
    <t>NHS Ayrshire &amp; ArranAdjusted Waiting over_65over 35 weeks</t>
  </si>
  <si>
    <t>NHS Ayrshire &amp; ArranAdjusted Waiting over_6536_52</t>
  </si>
  <si>
    <t>NHS Ayrshire &amp; ArranAdjusted Waiting over_65over 53</t>
  </si>
  <si>
    <t>NHS Ayrshire &amp; ArranUnadjusted Waiting Total Patients Waiting</t>
  </si>
  <si>
    <t>NHS Ayrshire &amp; ArranUnadjusted Waiting 0-18 weeks</t>
  </si>
  <si>
    <t>NHS Ayrshire &amp; ArranUnadjusted Waiting over18</t>
  </si>
  <si>
    <t>NHS Ayrshire &amp; ArranUnadjusted Waiting 0_26</t>
  </si>
  <si>
    <t>NHS Ayrshire &amp; ArranUnadjusted Waiting over 26</t>
  </si>
  <si>
    <t>NHS Ayrshire &amp; ArranUnadjusted Waiting median</t>
  </si>
  <si>
    <t>NHS Ayrshire &amp; ArranUnadjusted Waiting 90percent</t>
  </si>
  <si>
    <t>NHS Ayrshire &amp; ArranUnadjusted Waiting 19-35 weeks</t>
  </si>
  <si>
    <t>NHS Ayrshire &amp; ArranUnadjusted Waiting over 35 weeks</t>
  </si>
  <si>
    <t>NHS Ayrshire &amp; ArranUnadjusted Waiting 36_52</t>
  </si>
  <si>
    <t>NHS Ayrshire &amp; ArranUnadjusted Waiting over 53</t>
  </si>
  <si>
    <t>NHS Ayrshire &amp; ArranUnadjusted Waiting referrals received</t>
  </si>
  <si>
    <t>NHS Ayrshire &amp; ArranUnadjusted Waiting referrals accepted</t>
  </si>
  <si>
    <t>NHS Ayrshire &amp; ArranUnadjusted Waiting over_65Total Patients Waiting</t>
  </si>
  <si>
    <t>NHS Ayrshire &amp; ArranUnadjusted Waiting over_650-18 weeks</t>
  </si>
  <si>
    <t>NHS Ayrshire &amp; ArranUnadjusted Waiting over_65over18</t>
  </si>
  <si>
    <t>NHS Ayrshire &amp; ArranUnadjusted Waiting over_650_26</t>
  </si>
  <si>
    <t>NHS Ayrshire &amp; ArranUnadjusted Waiting over_65over 26</t>
  </si>
  <si>
    <t>NHS Ayrshire &amp; ArranUnadjusted Waiting over_65median</t>
  </si>
  <si>
    <t>NHS Ayrshire &amp; ArranUnadjusted Waiting over_6590percent</t>
  </si>
  <si>
    <t>NHS Ayrshire &amp; ArranUnadjusted Waiting over_6519-35 weeks</t>
  </si>
  <si>
    <t>NHS Ayrshire &amp; ArranUnadjusted Waiting over_65over 35 weeks</t>
  </si>
  <si>
    <t>NHS Ayrshire &amp; ArranUnadjusted Waiting over_6536_52</t>
  </si>
  <si>
    <t>NHS Ayrshire &amp; ArranUnadjusted Waiting over_65over 53</t>
  </si>
  <si>
    <t>NHS Ayrshire &amp; ArranUnadjusted Waiting over_65referrals received</t>
  </si>
  <si>
    <t>NHS Ayrshire &amp; ArranUnadjusted Waiting over_65referrals accepted</t>
  </si>
  <si>
    <t>NHS BordersAdjusted Waiting Total Patients Waiting</t>
  </si>
  <si>
    <t>NHS BordersAdjusted Waiting 0-18 weeks</t>
  </si>
  <si>
    <t>NHS BordersAdjusted Waiting over18</t>
  </si>
  <si>
    <t>NHS BordersAdjusted Waiting 0_26</t>
  </si>
  <si>
    <t>NHS BordersAdjusted Waiting over 26</t>
  </si>
  <si>
    <t>NHS BordersAdjusted Waiting median</t>
  </si>
  <si>
    <t>NHS BordersAdjusted Waiting 90percent</t>
  </si>
  <si>
    <t>NHS BordersAdjusted Waiting 19-35 weeks</t>
  </si>
  <si>
    <t>NHS BordersAdjusted Waiting over 35 weeks</t>
  </si>
  <si>
    <t>NHS BordersAdjusted Waiting 36_52</t>
  </si>
  <si>
    <t>NHS BordersAdjusted Waiting over 53</t>
  </si>
  <si>
    <t>NHS BordersAdjusted Waiting over_65Total Patients Waiting</t>
  </si>
  <si>
    <t>NHS BordersAdjusted Waiting over_650-18 weeks</t>
  </si>
  <si>
    <t>NHS BordersAdjusted Waiting over_65over18</t>
  </si>
  <si>
    <t>NHS BordersAdjusted Waiting over_650_26</t>
  </si>
  <si>
    <t>NHS BordersAdjusted Waiting over_65over 26</t>
  </si>
  <si>
    <t>NHS BordersAdjusted Waiting over_65median</t>
  </si>
  <si>
    <t>NHS BordersAdjusted Waiting over_6590percent</t>
  </si>
  <si>
    <t>NHS BordersAdjusted Waiting over_6519-35 weeks</t>
  </si>
  <si>
    <t>NHS BordersAdjusted Waiting over_65over 35 weeks</t>
  </si>
  <si>
    <t>NHS BordersAdjusted Waiting over_6536_52</t>
  </si>
  <si>
    <t>NHS BordersAdjusted Waiting over_65over 53</t>
  </si>
  <si>
    <t>NHS BordersUnadjusted Waiting Total Patients Waiting</t>
  </si>
  <si>
    <t>NHS BordersUnadjusted Waiting 0-18 weeks</t>
  </si>
  <si>
    <t>NHS BordersUnadjusted Waiting over18</t>
  </si>
  <si>
    <t>NHS BordersUnadjusted Waiting 0_26</t>
  </si>
  <si>
    <t>NHS BordersUnadjusted Waiting over 26</t>
  </si>
  <si>
    <t>NHS BordersUnadjusted Waiting median</t>
  </si>
  <si>
    <t>NHS BordersUnadjusted Waiting 90percent</t>
  </si>
  <si>
    <t>NHS BordersUnadjusted Waiting 19-35 weeks</t>
  </si>
  <si>
    <t>NHS BordersUnadjusted Waiting over 35 weeks</t>
  </si>
  <si>
    <t>NHS BordersUnadjusted Waiting 36_52</t>
  </si>
  <si>
    <t>NHS BordersUnadjusted Waiting over 53</t>
  </si>
  <si>
    <t>NHS BordersUnadjusted Waiting referrals received</t>
  </si>
  <si>
    <t>NHS BordersUnadjusted Waiting referrals accepted</t>
  </si>
  <si>
    <t>NHS BordersUnadjusted Waiting over_65Total Patients Waiting</t>
  </si>
  <si>
    <t>NHS BordersUnadjusted Waiting over_650-18 weeks</t>
  </si>
  <si>
    <t>NHS BordersUnadjusted Waiting over_65over18</t>
  </si>
  <si>
    <t>NHS BordersUnadjusted Waiting over_650_26</t>
  </si>
  <si>
    <t>NHS BordersUnadjusted Waiting over_65over 26</t>
  </si>
  <si>
    <t>NHS BordersUnadjusted Waiting over_65median</t>
  </si>
  <si>
    <t>NHS BordersUnadjusted Waiting over_6590percent</t>
  </si>
  <si>
    <t>NHS BordersUnadjusted Waiting over_6519-35 weeks</t>
  </si>
  <si>
    <t>NHS BordersUnadjusted Waiting over_65over 35 weeks</t>
  </si>
  <si>
    <t>NHS BordersUnadjusted Waiting over_6536_52</t>
  </si>
  <si>
    <t>NHS BordersUnadjusted Waiting over_65over 53</t>
  </si>
  <si>
    <t>NHS BordersUnadjusted Waiting over_65referrals received</t>
  </si>
  <si>
    <t>NHS BordersUnadjusted Waiting over_65referrals accepted</t>
  </si>
  <si>
    <t>NHS Dumfries &amp; GallowayAdjusted Waiting Total Patients Waiting</t>
  </si>
  <si>
    <t>NHS Dumfries &amp; GallowayAdjusted Waiting 0-18 weeks</t>
  </si>
  <si>
    <t>NHS Dumfries &amp; GallowayAdjusted Waiting over18</t>
  </si>
  <si>
    <t>NHS Dumfries &amp; GallowayAdjusted Waiting 0_26</t>
  </si>
  <si>
    <t>NHS Dumfries &amp; GallowayAdjusted Waiting over 26</t>
  </si>
  <si>
    <t>NHS Dumfries &amp; GallowayAdjusted Waiting median</t>
  </si>
  <si>
    <t>NHS Dumfries &amp; GallowayAdjusted Waiting 90percent</t>
  </si>
  <si>
    <t>NHS Dumfries &amp; GallowayAdjusted Waiting 19-35 weeks</t>
  </si>
  <si>
    <t>NHS Dumfries &amp; GallowayAdjusted Waiting over 35 weeks</t>
  </si>
  <si>
    <t>NHS Dumfries &amp; GallowayAdjusted Waiting 36_52</t>
  </si>
  <si>
    <t>NHS Dumfries &amp; GallowayAdjusted Waiting over 53</t>
  </si>
  <si>
    <t>NHS Dumfries &amp; GallowayAdjusted Waiting over_65Total Patients Waiting</t>
  </si>
  <si>
    <t>NHS Dumfries &amp; GallowayAdjusted Waiting over_650-18 weeks</t>
  </si>
  <si>
    <t>NHS Dumfries &amp; GallowayAdjusted Waiting over_65over18</t>
  </si>
  <si>
    <t>NHS Dumfries &amp; GallowayAdjusted Waiting over_650_26</t>
  </si>
  <si>
    <t>NHS Dumfries &amp; GallowayAdjusted Waiting over_65over 26</t>
  </si>
  <si>
    <t>NHS Dumfries &amp; GallowayAdjusted Waiting over_65median</t>
  </si>
  <si>
    <t>NHS Dumfries &amp; GallowayAdjusted Waiting over_6590percent</t>
  </si>
  <si>
    <t>NHS Dumfries &amp; GallowayAdjusted Waiting over_6519-35 weeks</t>
  </si>
  <si>
    <t>NHS Dumfries &amp; GallowayAdjusted Waiting over_65over 35 weeks</t>
  </si>
  <si>
    <t>NHS Dumfries &amp; GallowayAdjusted Waiting over_6536_52</t>
  </si>
  <si>
    <t>NHS Dumfries &amp; GallowayAdjusted Waiting over_65over 53</t>
  </si>
  <si>
    <t>NHS Dumfries &amp; GallowayUnadjusted Waiting Total Patients Waiting</t>
  </si>
  <si>
    <t>NHS Dumfries &amp; GallowayUnadjusted Waiting 0-18 weeks</t>
  </si>
  <si>
    <t>NHS Dumfries &amp; GallowayUnadjusted Waiting over18</t>
  </si>
  <si>
    <t>NHS Dumfries &amp; GallowayUnadjusted Waiting 0_26</t>
  </si>
  <si>
    <t>NHS Dumfries &amp; GallowayUnadjusted Waiting over 26</t>
  </si>
  <si>
    <t>NHS Dumfries &amp; GallowayUnadjusted Waiting median</t>
  </si>
  <si>
    <t>NHS Dumfries &amp; GallowayUnadjusted Waiting 90percent</t>
  </si>
  <si>
    <t>NHS Dumfries &amp; GallowayUnadjusted Waiting 19-35 weeks</t>
  </si>
  <si>
    <t>NHS Dumfries &amp; GallowayUnadjusted Waiting over 35 weeks</t>
  </si>
  <si>
    <t>NHS Dumfries &amp; GallowayUnadjusted Waiting 36_52</t>
  </si>
  <si>
    <t>NHS Dumfries &amp; GallowayUnadjusted Waiting over 53</t>
  </si>
  <si>
    <t>NHS Dumfries &amp; GallowayUnadjusted Waiting referrals received</t>
  </si>
  <si>
    <t>NHS Dumfries &amp; GallowayUnadjusted Waiting referrals accepted</t>
  </si>
  <si>
    <t>NHS Dumfries &amp; GallowayUnadjusted Waiting over_65Total Patients Waiting</t>
  </si>
  <si>
    <t>NHS Dumfries &amp; GallowayUnadjusted Waiting over_650-18 weeks</t>
  </si>
  <si>
    <t>NHS Dumfries &amp; GallowayUnadjusted Waiting over_65over18</t>
  </si>
  <si>
    <t>NHS Dumfries &amp; GallowayUnadjusted Waiting over_650_26</t>
  </si>
  <si>
    <t>NHS Dumfries &amp; GallowayUnadjusted Waiting over_65over 26</t>
  </si>
  <si>
    <t>NHS Dumfries &amp; GallowayUnadjusted Waiting over_65median</t>
  </si>
  <si>
    <t>NHS Dumfries &amp; GallowayUnadjusted Waiting over_6590percent</t>
  </si>
  <si>
    <t>NHS Dumfries &amp; GallowayUnadjusted Waiting over_6519-35 weeks</t>
  </si>
  <si>
    <t>NHS Dumfries &amp; GallowayUnadjusted Waiting over_65over 35 weeks</t>
  </si>
  <si>
    <t>NHS Dumfries &amp; GallowayUnadjusted Waiting over_6536_52</t>
  </si>
  <si>
    <t>NHS Dumfries &amp; GallowayUnadjusted Waiting over_65over 53</t>
  </si>
  <si>
    <t>NHS Dumfries &amp; GallowayUnadjusted Waiting over_65referrals received</t>
  </si>
  <si>
    <t>NHS Dumfries &amp; GallowayUnadjusted Waiting over_65referrals accepted</t>
  </si>
  <si>
    <t>NHS FifeAdjusted Waiting Total Patients Waiting</t>
  </si>
  <si>
    <t>NHS FifeAdjusted Waiting 0-18 weeks</t>
  </si>
  <si>
    <t>NHS FifeAdjusted Waiting over18</t>
  </si>
  <si>
    <t>NHS FifeAdjusted Waiting 0_26</t>
  </si>
  <si>
    <t>NHS FifeAdjusted Waiting over 26</t>
  </si>
  <si>
    <t>NHS FifeAdjusted Waiting median</t>
  </si>
  <si>
    <t>NHS FifeAdjusted Waiting 90percent</t>
  </si>
  <si>
    <t>NHS FifeAdjusted Waiting 19-35 weeks</t>
  </si>
  <si>
    <t>NHS FifeAdjusted Waiting over 35 weeks</t>
  </si>
  <si>
    <t>NHS FifeAdjusted Waiting 36_52</t>
  </si>
  <si>
    <t>NHS FifeAdjusted Waiting over 53</t>
  </si>
  <si>
    <t>NHS FifeAdjusted Waiting over_65Total Patients Waiting</t>
  </si>
  <si>
    <t>NHS FifeAdjusted Waiting over_650-18 weeks</t>
  </si>
  <si>
    <t>NHS FifeAdjusted Waiting over_65over18</t>
  </si>
  <si>
    <t>NHS FifeAdjusted Waiting over_650_26</t>
  </si>
  <si>
    <t>NHS FifeAdjusted Waiting over_65over 26</t>
  </si>
  <si>
    <t>NHS FifeAdjusted Waiting over_65median</t>
  </si>
  <si>
    <t>NHS FifeAdjusted Waiting over_6590percent</t>
  </si>
  <si>
    <t>NHS FifeAdjusted Waiting over_6519-35 weeks</t>
  </si>
  <si>
    <t>NHS FifeAdjusted Waiting over_65over 35 weeks</t>
  </si>
  <si>
    <t>NHS FifeAdjusted Waiting over_6536_52</t>
  </si>
  <si>
    <t>NHS FifeAdjusted Waiting over_65over 53</t>
  </si>
  <si>
    <t>NHS FifeUnadjusted Waiting Total Patients Waiting</t>
  </si>
  <si>
    <t>NHS FifeUnadjusted Waiting 0-18 weeks</t>
  </si>
  <si>
    <t>NHS FifeUnadjusted Waiting over18</t>
  </si>
  <si>
    <t>NHS FifeUnadjusted Waiting 0_26</t>
  </si>
  <si>
    <t>NHS FifeUnadjusted Waiting over 26</t>
  </si>
  <si>
    <t>NHS FifeUnadjusted Waiting median</t>
  </si>
  <si>
    <t>NHS FifeUnadjusted Waiting 90percent</t>
  </si>
  <si>
    <t>NHS FifeUnadjusted Waiting 19-35 weeks</t>
  </si>
  <si>
    <t>NHS FifeUnadjusted Waiting over 35 weeks</t>
  </si>
  <si>
    <t>NHS FifeUnadjusted Waiting 36_52</t>
  </si>
  <si>
    <t>NHS FifeUnadjusted Waiting over 53</t>
  </si>
  <si>
    <t>NHS FifeUnadjusted Waiting referrals received</t>
  </si>
  <si>
    <t>NHS FifeUnadjusted Waiting referrals accepted</t>
  </si>
  <si>
    <t>NHS FifeUnadjusted Waiting over_65Total Patients Waiting</t>
  </si>
  <si>
    <t>NHS FifeUnadjusted Waiting over_650-18 weeks</t>
  </si>
  <si>
    <t>NHS FifeUnadjusted Waiting over_65over18</t>
  </si>
  <si>
    <t>NHS FifeUnadjusted Waiting over_650_26</t>
  </si>
  <si>
    <t>NHS FifeUnadjusted Waiting over_65over 26</t>
  </si>
  <si>
    <t>NHS FifeUnadjusted Waiting over_65median</t>
  </si>
  <si>
    <t>NHS FifeUnadjusted Waiting over_6590percent</t>
  </si>
  <si>
    <t>NHS FifeUnadjusted Waiting over_6519-35 weeks</t>
  </si>
  <si>
    <t>NHS FifeUnadjusted Waiting over_65over 35 weeks</t>
  </si>
  <si>
    <t>NHS FifeUnadjusted Waiting over_6536_52</t>
  </si>
  <si>
    <t>NHS FifeUnadjusted Waiting over_65over 53</t>
  </si>
  <si>
    <t>NHS FifeUnadjusted Waiting over_65referrals received</t>
  </si>
  <si>
    <t>NHS FifeUnadjusted Waiting over_65referrals accepted</t>
  </si>
  <si>
    <t>NHS Forth ValleyAdjusted Waiting Total Patients Waiting</t>
  </si>
  <si>
    <t>NHS Forth ValleyAdjusted Waiting 0-18 weeks</t>
  </si>
  <si>
    <t>NHS Forth ValleyAdjusted Waiting over18</t>
  </si>
  <si>
    <t>NHS Forth ValleyAdjusted Waiting 0_26</t>
  </si>
  <si>
    <t>NHS Forth ValleyAdjusted Waiting over 26</t>
  </si>
  <si>
    <t>NHS Forth ValleyAdjusted Waiting median</t>
  </si>
  <si>
    <t>NHS Forth ValleyAdjusted Waiting 90percent</t>
  </si>
  <si>
    <t>NHS Forth ValleyAdjusted Waiting 19-35 weeks</t>
  </si>
  <si>
    <t>NHS Forth ValleyAdjusted Waiting over 35 weeks</t>
  </si>
  <si>
    <t>NHS Forth ValleyAdjusted Waiting 36_52</t>
  </si>
  <si>
    <t>NHS Forth ValleyAdjusted Waiting over 53</t>
  </si>
  <si>
    <t>NHS Forth ValleyAdjusted Waiting over_65Total Patients Waiting</t>
  </si>
  <si>
    <t>NHS Forth ValleyAdjusted Waiting over_650-18 weeks</t>
  </si>
  <si>
    <t>NHS Forth ValleyAdjusted Waiting over_65over18</t>
  </si>
  <si>
    <t>NHS Forth ValleyAdjusted Waiting over_650_26</t>
  </si>
  <si>
    <t>NHS Forth ValleyAdjusted Waiting over_65over 26</t>
  </si>
  <si>
    <t>NHS Forth ValleyAdjusted Waiting over_65median</t>
  </si>
  <si>
    <t>NHS Forth ValleyAdjusted Waiting over_6590percent</t>
  </si>
  <si>
    <t>NHS Forth ValleyAdjusted Waiting over_6519-35 weeks</t>
  </si>
  <si>
    <t>NHS Forth ValleyAdjusted Waiting over_65over 35 weeks</t>
  </si>
  <si>
    <t>NHS Forth ValleyAdjusted Waiting over_6536_52</t>
  </si>
  <si>
    <t>NHS Forth ValleyAdjusted Waiting over_65over 53</t>
  </si>
  <si>
    <t>NHS Forth ValleyUnadjusted Waiting Total Patients Waiting</t>
  </si>
  <si>
    <t>NHS Forth ValleyUnadjusted Waiting 0-18 weeks</t>
  </si>
  <si>
    <t>NHS Forth ValleyUnadjusted Waiting over18</t>
  </si>
  <si>
    <t>NHS Forth ValleyUnadjusted Waiting 0_26</t>
  </si>
  <si>
    <t>NHS Forth ValleyUnadjusted Waiting over 26</t>
  </si>
  <si>
    <t>NHS Forth ValleyUnadjusted Waiting median</t>
  </si>
  <si>
    <t>NHS Forth ValleyUnadjusted Waiting 90percent</t>
  </si>
  <si>
    <t>NHS Forth ValleyUnadjusted Waiting 19-35 weeks</t>
  </si>
  <si>
    <t>NHS Forth ValleyUnadjusted Waiting over 35 weeks</t>
  </si>
  <si>
    <t>NHS Forth ValleyUnadjusted Waiting 36_52</t>
  </si>
  <si>
    <t>NHS Forth ValleyUnadjusted Waiting over 53</t>
  </si>
  <si>
    <t>NHS Forth ValleyUnadjusted Waiting referrals received</t>
  </si>
  <si>
    <t>NHS Forth ValleyUnadjusted Waiting referrals accepted</t>
  </si>
  <si>
    <t>NHS Forth ValleyUnadjusted Waiting over_65Total Patients Waiting</t>
  </si>
  <si>
    <t>NHS Forth ValleyUnadjusted Waiting over_650-18 weeks</t>
  </si>
  <si>
    <t>NHS Forth ValleyUnadjusted Waiting over_65over18</t>
  </si>
  <si>
    <t>NHS Forth ValleyUnadjusted Waiting over_650_26</t>
  </si>
  <si>
    <t>NHS Forth ValleyUnadjusted Waiting over_65over 26</t>
  </si>
  <si>
    <t>NHS Forth ValleyUnadjusted Waiting over_65median</t>
  </si>
  <si>
    <t>NHS Forth ValleyUnadjusted Waiting over_6590percent</t>
  </si>
  <si>
    <t>NHS Forth ValleyUnadjusted Waiting over_6519-35 weeks</t>
  </si>
  <si>
    <t>NHS Forth ValleyUnadjusted Waiting over_65over 35 weeks</t>
  </si>
  <si>
    <t>NHS Forth ValleyUnadjusted Waiting over_6536_52</t>
  </si>
  <si>
    <t>NHS Forth ValleyUnadjusted Waiting over_65over 53</t>
  </si>
  <si>
    <t>NHS Forth ValleyUnadjusted Waiting over_65referrals received</t>
  </si>
  <si>
    <t>NHS Forth ValleyUnadjusted Waiting over_65referrals accepted</t>
  </si>
  <si>
    <t>NHS GrampianAdjusted Waiting Total Patients Waiting</t>
  </si>
  <si>
    <t>NHS GrampianAdjusted Waiting 0-18 weeks</t>
  </si>
  <si>
    <t>NHS GrampianAdjusted Waiting over18</t>
  </si>
  <si>
    <t>NHS GrampianAdjusted Waiting 0_26</t>
  </si>
  <si>
    <t>NHS GrampianAdjusted Waiting over 26</t>
  </si>
  <si>
    <t>NHS GrampianAdjusted Waiting median</t>
  </si>
  <si>
    <t>NHS GrampianAdjusted Waiting 90percent</t>
  </si>
  <si>
    <t>NHS GrampianAdjusted Waiting 19-35 weeks</t>
  </si>
  <si>
    <t>NHS GrampianAdjusted Waiting over 35 weeks</t>
  </si>
  <si>
    <t>NHS GrampianAdjusted Waiting 36_52</t>
  </si>
  <si>
    <t>NHS GrampianAdjusted Waiting over 53</t>
  </si>
  <si>
    <t>NHS GrampianAdjusted Waiting over_65Total Patients Waiting</t>
  </si>
  <si>
    <t>NHS GrampianAdjusted Waiting over_650-18 weeks</t>
  </si>
  <si>
    <t>NHS GrampianAdjusted Waiting over_65over18</t>
  </si>
  <si>
    <t>NHS GrampianAdjusted Waiting over_650_26</t>
  </si>
  <si>
    <t>NHS GrampianAdjusted Waiting over_65over 26</t>
  </si>
  <si>
    <t>NHS GrampianAdjusted Waiting over_65median</t>
  </si>
  <si>
    <t>NHS GrampianAdjusted Waiting over_6590percent</t>
  </si>
  <si>
    <t>NHS GrampianAdjusted Waiting over_6519-35 weeks</t>
  </si>
  <si>
    <t>NHS GrampianAdjusted Waiting over_65over 35 weeks</t>
  </si>
  <si>
    <t>NHS GrampianAdjusted Waiting over_6536_52</t>
  </si>
  <si>
    <t>NHS GrampianAdjusted Waiting over_65over 53</t>
  </si>
  <si>
    <t>NHS GrampianUnadjusted Waiting Total Patients Waiting</t>
  </si>
  <si>
    <t>NHS GrampianUnadjusted Waiting 0-18 weeks</t>
  </si>
  <si>
    <t>NHS GrampianUnadjusted Waiting over18</t>
  </si>
  <si>
    <t>NHS GrampianUnadjusted Waiting 0_26</t>
  </si>
  <si>
    <t>NHS GrampianUnadjusted Waiting over 26</t>
  </si>
  <si>
    <t>NHS GrampianUnadjusted Waiting median</t>
  </si>
  <si>
    <t>NHS GrampianUnadjusted Waiting 90percent</t>
  </si>
  <si>
    <t>NHS GrampianUnadjusted Waiting 19-35 weeks</t>
  </si>
  <si>
    <t>NHS GrampianUnadjusted Waiting over 35 weeks</t>
  </si>
  <si>
    <t>NHS GrampianUnadjusted Waiting 36_52</t>
  </si>
  <si>
    <t>NHS GrampianUnadjusted Waiting over 53</t>
  </si>
  <si>
    <t>NHS GrampianUnadjusted Waiting referrals received</t>
  </si>
  <si>
    <t>NHS GrampianUnadjusted Waiting referrals accepted</t>
  </si>
  <si>
    <t>NHS GrampianUnadjusted Waiting over_65Total Patients Waiting</t>
  </si>
  <si>
    <t>NHS GrampianUnadjusted Waiting over_650-18 weeks</t>
  </si>
  <si>
    <t>NHS GrampianUnadjusted Waiting over_65over18</t>
  </si>
  <si>
    <t>NHS GrampianUnadjusted Waiting over_650_26</t>
  </si>
  <si>
    <t>NHS GrampianUnadjusted Waiting over_65over 26</t>
  </si>
  <si>
    <t>NHS GrampianUnadjusted Waiting over_65median</t>
  </si>
  <si>
    <t>NHS GrampianUnadjusted Waiting over_6590percent</t>
  </si>
  <si>
    <t>NHS GrampianUnadjusted Waiting over_6519-35 weeks</t>
  </si>
  <si>
    <t>NHS GrampianUnadjusted Waiting over_65over 35 weeks</t>
  </si>
  <si>
    <t>NHS GrampianUnadjusted Waiting over_6536_52</t>
  </si>
  <si>
    <t>NHS GrampianUnadjusted Waiting over_65over 53</t>
  </si>
  <si>
    <t>NHS GrampianUnadjusted Waiting over_65referrals received</t>
  </si>
  <si>
    <t>NHS GrampianUnadjusted Waiting over_65referrals accepted</t>
  </si>
  <si>
    <t>NHS Greater Glasgow &amp; ClydeAdjusted Waiting Total Patients Waiting</t>
  </si>
  <si>
    <t>NHS Greater Glasgow &amp; ClydeAdjusted Waiting 0-18 weeks</t>
  </si>
  <si>
    <t>NHS Greater Glasgow &amp; ClydeAdjusted Waiting over18</t>
  </si>
  <si>
    <t>NHS Greater Glasgow &amp; ClydeAdjusted Waiting 0_26</t>
  </si>
  <si>
    <t>NHS Greater Glasgow &amp; ClydeAdjusted Waiting over 26</t>
  </si>
  <si>
    <t>NHS Greater Glasgow &amp; ClydeAdjusted Waiting median</t>
  </si>
  <si>
    <t>NHS Greater Glasgow &amp; ClydeAdjusted Waiting 90percent</t>
  </si>
  <si>
    <t>NHS Greater Glasgow &amp; ClydeAdjusted Waiting 19-35 weeks</t>
  </si>
  <si>
    <t>NHS Greater Glasgow &amp; ClydeAdjusted Waiting over 35 weeks</t>
  </si>
  <si>
    <t>NHS Greater Glasgow &amp; ClydeAdjusted Waiting 36_52</t>
  </si>
  <si>
    <t>NHS Greater Glasgow &amp; ClydeAdjusted Waiting over 53</t>
  </si>
  <si>
    <t>NHS Greater Glasgow &amp; ClydeAdjusted Waiting over_65Total Patients Waiting</t>
  </si>
  <si>
    <t>NHS Greater Glasgow &amp; ClydeAdjusted Waiting over_650-18 weeks</t>
  </si>
  <si>
    <t>NHS Greater Glasgow &amp; ClydeAdjusted Waiting over_65over18</t>
  </si>
  <si>
    <t>NHS Greater Glasgow &amp; ClydeAdjusted Waiting over_650_26</t>
  </si>
  <si>
    <t>NHS Greater Glasgow &amp; ClydeAdjusted Waiting over_65over 26</t>
  </si>
  <si>
    <t>NHS Greater Glasgow &amp; ClydeAdjusted Waiting over_65median</t>
  </si>
  <si>
    <t>NHS Greater Glasgow &amp; ClydeAdjusted Waiting over_6590percent</t>
  </si>
  <si>
    <t>NHS Greater Glasgow &amp; ClydeAdjusted Waiting over_6519-35 weeks</t>
  </si>
  <si>
    <t>NHS Greater Glasgow &amp; ClydeAdjusted Waiting over_65over 35 weeks</t>
  </si>
  <si>
    <t>NHS Greater Glasgow &amp; ClydeAdjusted Waiting over_6536_52</t>
  </si>
  <si>
    <t>NHS Greater Glasgow &amp; ClydeAdjusted Waiting over_65over 53</t>
  </si>
  <si>
    <t>NHS Greater Glasgow &amp; ClydeUnadjusted Waiting Total Patients Waiting</t>
  </si>
  <si>
    <t>NHS Greater Glasgow &amp; ClydeUnadjusted Waiting 0-18 weeks</t>
  </si>
  <si>
    <t>NHS Greater Glasgow &amp; ClydeUnadjusted Waiting over18</t>
  </si>
  <si>
    <t>NHS Greater Glasgow &amp; ClydeUnadjusted Waiting 0_26</t>
  </si>
  <si>
    <t>NHS Greater Glasgow &amp; ClydeUnadjusted Waiting over 26</t>
  </si>
  <si>
    <t>NHS Greater Glasgow &amp; ClydeUnadjusted Waiting median</t>
  </si>
  <si>
    <t>NHS Greater Glasgow &amp; ClydeUnadjusted Waiting 90percent</t>
  </si>
  <si>
    <t>NHS Greater Glasgow &amp; ClydeUnadjusted Waiting 19-35 weeks</t>
  </si>
  <si>
    <t>NHS Greater Glasgow &amp; ClydeUnadjusted Waiting over 35 weeks</t>
  </si>
  <si>
    <t>NHS Greater Glasgow &amp; ClydeUnadjusted Waiting 36_52</t>
  </si>
  <si>
    <t>NHS Greater Glasgow &amp; ClydeUnadjusted Waiting over 53</t>
  </si>
  <si>
    <t>NHS Greater Glasgow &amp; ClydeUnadjusted Waiting referrals received</t>
  </si>
  <si>
    <t>NHS Greater Glasgow &amp; ClydeUnadjusted Waiting referrals accepted</t>
  </si>
  <si>
    <t>NHS Greater Glasgow &amp; ClydeUnadjusted Waiting over_65Total Patients Waiting</t>
  </si>
  <si>
    <t>NHS Greater Glasgow &amp; ClydeUnadjusted Waiting over_650-18 weeks</t>
  </si>
  <si>
    <t>NHS Greater Glasgow &amp; ClydeUnadjusted Waiting over_65over18</t>
  </si>
  <si>
    <t>NHS Greater Glasgow &amp; ClydeUnadjusted Waiting over_650_26</t>
  </si>
  <si>
    <t>NHS Greater Glasgow &amp; ClydeUnadjusted Waiting over_65over 26</t>
  </si>
  <si>
    <t>NHS Greater Glasgow &amp; ClydeUnadjusted Waiting over_65median</t>
  </si>
  <si>
    <t>NHS Greater Glasgow &amp; ClydeUnadjusted Waiting over_6590percent</t>
  </si>
  <si>
    <t>NHS Greater Glasgow &amp; ClydeUnadjusted Waiting over_6519-35 weeks</t>
  </si>
  <si>
    <t>NHS Greater Glasgow &amp; ClydeUnadjusted Waiting over_65over 35 weeks</t>
  </si>
  <si>
    <t>NHS Greater Glasgow &amp; ClydeUnadjusted Waiting over_6536_52</t>
  </si>
  <si>
    <t>NHS Greater Glasgow &amp; ClydeUnadjusted Waiting over_65over 53</t>
  </si>
  <si>
    <t>NHS Greater Glasgow &amp; ClydeUnadjusted Waiting over_65referrals received</t>
  </si>
  <si>
    <t>NHS Greater Glasgow &amp; ClydeUnadjusted Waiting over_65referrals accepted</t>
  </si>
  <si>
    <t>NHS HighlandAdjusted Waiting Total Patients Waiting</t>
  </si>
  <si>
    <t>NHS HighlandAdjusted Waiting 0-18 weeks</t>
  </si>
  <si>
    <t>NHS HighlandAdjusted Waiting over18</t>
  </si>
  <si>
    <t>NHS HighlandAdjusted Waiting 0_26</t>
  </si>
  <si>
    <t>NHS HighlandAdjusted Waiting over 26</t>
  </si>
  <si>
    <t>NHS HighlandAdjusted Waiting median</t>
  </si>
  <si>
    <t>NHS HighlandAdjusted Waiting 90percent</t>
  </si>
  <si>
    <t>NHS HighlandAdjusted Waiting 19-35 weeks</t>
  </si>
  <si>
    <t>NHS HighlandAdjusted Waiting over 35 weeks</t>
  </si>
  <si>
    <t>NHS HighlandAdjusted Waiting 36_52</t>
  </si>
  <si>
    <t>NHS HighlandAdjusted Waiting over 53</t>
  </si>
  <si>
    <t>NHS HighlandAdjusted Waiting over_65Total Patients Waiting</t>
  </si>
  <si>
    <t>NHS HighlandAdjusted Waiting over_650-18 weeks</t>
  </si>
  <si>
    <t>NHS HighlandAdjusted Waiting over_65over18</t>
  </si>
  <si>
    <t>NHS HighlandAdjusted Waiting over_650_26</t>
  </si>
  <si>
    <t>NHS HighlandAdjusted Waiting over_65over 26</t>
  </si>
  <si>
    <t>NHS HighlandAdjusted Waiting over_65median</t>
  </si>
  <si>
    <t>NHS HighlandAdjusted Waiting over_6590percent</t>
  </si>
  <si>
    <t>NHS HighlandAdjusted Waiting over_6519-35 weeks</t>
  </si>
  <si>
    <t>NHS HighlandAdjusted Waiting over_65over 35 weeks</t>
  </si>
  <si>
    <t>NHS HighlandAdjusted Waiting over_6536_52</t>
  </si>
  <si>
    <t>NHS HighlandAdjusted Waiting over_65over 53</t>
  </si>
  <si>
    <t>NHS HighlandUnadjusted Waiting Total Patients Waiting</t>
  </si>
  <si>
    <t>NHS HighlandUnadjusted Waiting 0-18 weeks</t>
  </si>
  <si>
    <t>NHS HighlandUnadjusted Waiting over18</t>
  </si>
  <si>
    <t>NHS HighlandUnadjusted Waiting 0_26</t>
  </si>
  <si>
    <t>NHS HighlandUnadjusted Waiting over 26</t>
  </si>
  <si>
    <t>NHS HighlandUnadjusted Waiting median</t>
  </si>
  <si>
    <t>NHS HighlandUnadjusted Waiting 90percent</t>
  </si>
  <si>
    <t>NHS HighlandUnadjusted Waiting 19-35 weeks</t>
  </si>
  <si>
    <t>NHS HighlandUnadjusted Waiting over 35 weeks</t>
  </si>
  <si>
    <t>NHS HighlandUnadjusted Waiting 36_52</t>
  </si>
  <si>
    <t>NHS HighlandUnadjusted Waiting over 53</t>
  </si>
  <si>
    <t>NHS HighlandUnadjusted Waiting referrals received</t>
  </si>
  <si>
    <t>NHS HighlandUnadjusted Waiting referrals accepted</t>
  </si>
  <si>
    <t>NHS HighlandUnadjusted Waiting over_65Total Patients Waiting</t>
  </si>
  <si>
    <t>NHS HighlandUnadjusted Waiting over_650-18 weeks</t>
  </si>
  <si>
    <t>NHS HighlandUnadjusted Waiting over_65over18</t>
  </si>
  <si>
    <t>NHS HighlandUnadjusted Waiting over_650_26</t>
  </si>
  <si>
    <t>NHS HighlandUnadjusted Waiting over_65over 26</t>
  </si>
  <si>
    <t>NHS HighlandUnadjusted Waiting over_65median</t>
  </si>
  <si>
    <t>NHS HighlandUnadjusted Waiting over_6590percent</t>
  </si>
  <si>
    <t>NHS HighlandUnadjusted Waiting over_6519-35 weeks</t>
  </si>
  <si>
    <t>NHS HighlandUnadjusted Waiting over_65over 35 weeks</t>
  </si>
  <si>
    <t>NHS HighlandUnadjusted Waiting over_6536_52</t>
  </si>
  <si>
    <t>NHS HighlandUnadjusted Waiting over_65over 53</t>
  </si>
  <si>
    <t>NHS HighlandUnadjusted Waiting over_65referrals received</t>
  </si>
  <si>
    <t>NHS HighlandUnadjusted Waiting over_65referrals accepted</t>
  </si>
  <si>
    <t>NHS LanarkshireAdjusted Waiting Total Patients Waiting</t>
  </si>
  <si>
    <t>NHS LanarkshireAdjusted Waiting 0-18 weeks</t>
  </si>
  <si>
    <t>NHS LanarkshireAdjusted Waiting over18</t>
  </si>
  <si>
    <t>NHS LanarkshireAdjusted Waiting 0_26</t>
  </si>
  <si>
    <t>NHS LanarkshireAdjusted Waiting over 26</t>
  </si>
  <si>
    <t>NHS LanarkshireAdjusted Waiting median</t>
  </si>
  <si>
    <t>NHS LanarkshireAdjusted Waiting 90percent</t>
  </si>
  <si>
    <t>NHS LanarkshireAdjusted Waiting 19-35 weeks</t>
  </si>
  <si>
    <t>NHS LanarkshireAdjusted Waiting over 35 weeks</t>
  </si>
  <si>
    <t>NHS LanarkshireAdjusted Waiting 36_52</t>
  </si>
  <si>
    <t>NHS LanarkshireAdjusted Waiting over 53</t>
  </si>
  <si>
    <t>NHS LanarkshireAdjusted Waiting over_65Total Patients Waiting</t>
  </si>
  <si>
    <t>NHS LanarkshireAdjusted Waiting over_650-18 weeks</t>
  </si>
  <si>
    <t>NHS LanarkshireAdjusted Waiting over_65over18</t>
  </si>
  <si>
    <t>NHS LanarkshireAdjusted Waiting over_650_26</t>
  </si>
  <si>
    <t>NHS LanarkshireAdjusted Waiting over_65over 26</t>
  </si>
  <si>
    <t>NHS LanarkshireAdjusted Waiting over_65median</t>
  </si>
  <si>
    <t>NHS LanarkshireAdjusted Waiting over_6590percent</t>
  </si>
  <si>
    <t>NHS LanarkshireAdjusted Waiting over_6519-35 weeks</t>
  </si>
  <si>
    <t>NHS LanarkshireAdjusted Waiting over_65over 35 weeks</t>
  </si>
  <si>
    <t>NHS LanarkshireAdjusted Waiting over_6536_52</t>
  </si>
  <si>
    <t>NHS LanarkshireAdjusted Waiting over_65over 53</t>
  </si>
  <si>
    <t>NHS LanarkshireUnadjusted Waiting Total Patients Waiting</t>
  </si>
  <si>
    <t>NHS LanarkshireUnadjusted Waiting 0-18 weeks</t>
  </si>
  <si>
    <t>NHS LanarkshireUnadjusted Waiting over18</t>
  </si>
  <si>
    <t>NHS LanarkshireUnadjusted Waiting 0_26</t>
  </si>
  <si>
    <t>NHS LanarkshireUnadjusted Waiting over 26</t>
  </si>
  <si>
    <t>NHS LanarkshireUnadjusted Waiting median</t>
  </si>
  <si>
    <t>NHS LanarkshireUnadjusted Waiting 90percent</t>
  </si>
  <si>
    <t>NHS LanarkshireUnadjusted Waiting 19-35 weeks</t>
  </si>
  <si>
    <t>NHS LanarkshireUnadjusted Waiting over 35 weeks</t>
  </si>
  <si>
    <t>NHS LanarkshireUnadjusted Waiting 36_52</t>
  </si>
  <si>
    <t>NHS LanarkshireUnadjusted Waiting over 53</t>
  </si>
  <si>
    <t>NHS LanarkshireUnadjusted Waiting referrals received</t>
  </si>
  <si>
    <t>NHS LanarkshireUnadjusted Waiting referrals accepted</t>
  </si>
  <si>
    <t>NHS LanarkshireUnadjusted Waiting over_65Total Patients Waiting</t>
  </si>
  <si>
    <t>NHS LanarkshireUnadjusted Waiting over_650-18 weeks</t>
  </si>
  <si>
    <t>NHS LanarkshireUnadjusted Waiting over_65over18</t>
  </si>
  <si>
    <t>NHS LanarkshireUnadjusted Waiting over_650_26</t>
  </si>
  <si>
    <t>NHS LanarkshireUnadjusted Waiting over_65over 26</t>
  </si>
  <si>
    <t>NHS LanarkshireUnadjusted Waiting over_65median</t>
  </si>
  <si>
    <t>NHS LanarkshireUnadjusted Waiting over_6590percent</t>
  </si>
  <si>
    <t>NHS LanarkshireUnadjusted Waiting over_6519-35 weeks</t>
  </si>
  <si>
    <t>NHS LanarkshireUnadjusted Waiting over_65over 35 weeks</t>
  </si>
  <si>
    <t>NHS LanarkshireUnadjusted Waiting over_6536_52</t>
  </si>
  <si>
    <t>NHS LanarkshireUnadjusted Waiting over_65over 53</t>
  </si>
  <si>
    <t>NHS LanarkshireUnadjusted Waiting over_65referrals received</t>
  </si>
  <si>
    <t>NHS LanarkshireUnadjusted Waiting over_65referrals accepted</t>
  </si>
  <si>
    <t>NHS LothianAdjusted Waiting Total Patients Waiting</t>
  </si>
  <si>
    <t>NHS LothianAdjusted Waiting 0-18 weeks</t>
  </si>
  <si>
    <t>NHS LothianAdjusted Waiting over18</t>
  </si>
  <si>
    <t>NHS LothianAdjusted Waiting 0_26</t>
  </si>
  <si>
    <t>NHS LothianAdjusted Waiting over 26</t>
  </si>
  <si>
    <t>NHS LothianAdjusted Waiting median</t>
  </si>
  <si>
    <t>NHS LothianAdjusted Waiting 90percent</t>
  </si>
  <si>
    <t>NHS LothianAdjusted Waiting 19-35 weeks</t>
  </si>
  <si>
    <t>NHS LothianAdjusted Waiting over 35 weeks</t>
  </si>
  <si>
    <t>NHS LothianAdjusted Waiting 36_52</t>
  </si>
  <si>
    <t>NHS LothianAdjusted Waiting over 53</t>
  </si>
  <si>
    <t>NHS LothianAdjusted Waiting over_65Total Patients Waiting</t>
  </si>
  <si>
    <t>NHS LothianAdjusted Waiting over_650-18 weeks</t>
  </si>
  <si>
    <t>NHS LothianAdjusted Waiting over_65over18</t>
  </si>
  <si>
    <t>NHS LothianAdjusted Waiting over_650_26</t>
  </si>
  <si>
    <t>NHS LothianAdjusted Waiting over_65over 26</t>
  </si>
  <si>
    <t>NHS LothianAdjusted Waiting over_65median</t>
  </si>
  <si>
    <t>NHS LothianAdjusted Waiting over_6590percent</t>
  </si>
  <si>
    <t>NHS LothianAdjusted Waiting over_6519-35 weeks</t>
  </si>
  <si>
    <t>NHS LothianAdjusted Waiting over_65over 35 weeks</t>
  </si>
  <si>
    <t>NHS LothianAdjusted Waiting over_6536_52</t>
  </si>
  <si>
    <t>NHS LothianAdjusted Waiting over_65over 53</t>
  </si>
  <si>
    <t>NHS LothianUnadjusted Waiting Total Patients Waiting</t>
  </si>
  <si>
    <t>NHS LothianUnadjusted Waiting 0-18 weeks</t>
  </si>
  <si>
    <t>NHS LothianUnadjusted Waiting over18</t>
  </si>
  <si>
    <t>NHS LothianUnadjusted Waiting 0_26</t>
  </si>
  <si>
    <t>NHS LothianUnadjusted Waiting over 26</t>
  </si>
  <si>
    <t>NHS LothianUnadjusted Waiting median</t>
  </si>
  <si>
    <t>NHS LothianUnadjusted Waiting 90percent</t>
  </si>
  <si>
    <t>NHS LothianUnadjusted Waiting 19-35 weeks</t>
  </si>
  <si>
    <t>NHS LothianUnadjusted Waiting over 35 weeks</t>
  </si>
  <si>
    <t>NHS LothianUnadjusted Waiting 36_52</t>
  </si>
  <si>
    <t>NHS LothianUnadjusted Waiting over 53</t>
  </si>
  <si>
    <t>NHS LothianUnadjusted Waiting referrals received</t>
  </si>
  <si>
    <t>NHS LothianUnadjusted Waiting referrals accepted</t>
  </si>
  <si>
    <t>NHS LothianUnadjusted Waiting over_65Total Patients Waiting</t>
  </si>
  <si>
    <t>NHS LothianUnadjusted Waiting over_650-18 weeks</t>
  </si>
  <si>
    <t>NHS LothianUnadjusted Waiting over_65over18</t>
  </si>
  <si>
    <t>NHS LothianUnadjusted Waiting over_650_26</t>
  </si>
  <si>
    <t>NHS LothianUnadjusted Waiting over_65over 26</t>
  </si>
  <si>
    <t>NHS LothianUnadjusted Waiting over_65median</t>
  </si>
  <si>
    <t>NHS LothianUnadjusted Waiting over_6590percent</t>
  </si>
  <si>
    <t>NHS LothianUnadjusted Waiting over_6519-35 weeks</t>
  </si>
  <si>
    <t>NHS LothianUnadjusted Waiting over_65over 35 weeks</t>
  </si>
  <si>
    <t>NHS LothianUnadjusted Waiting over_6536_52</t>
  </si>
  <si>
    <t>NHS LothianUnadjusted Waiting over_65over 53</t>
  </si>
  <si>
    <t>NHS LothianUnadjusted Waiting over_65referrals received</t>
  </si>
  <si>
    <t>NHS LothianUnadjusted Waiting over_65referrals accepted</t>
  </si>
  <si>
    <t>NHS OrkneyAdjusted Waiting Total Patients Waiting</t>
  </si>
  <si>
    <t>NHS OrkneyAdjusted Waiting 0-18 weeks</t>
  </si>
  <si>
    <t>NHS OrkneyAdjusted Waiting over18</t>
  </si>
  <si>
    <t>NHS OrkneyAdjusted Waiting 0_26</t>
  </si>
  <si>
    <t>NHS OrkneyAdjusted Waiting over 26</t>
  </si>
  <si>
    <t>NHS OrkneyAdjusted Waiting median</t>
  </si>
  <si>
    <t>NHS OrkneyAdjusted Waiting 90percent</t>
  </si>
  <si>
    <t>NHS OrkneyAdjusted Waiting 19-35 weeks</t>
  </si>
  <si>
    <t>NHS OrkneyAdjusted Waiting over 35 weeks</t>
  </si>
  <si>
    <t>NHS OrkneyAdjusted Waiting 36_52</t>
  </si>
  <si>
    <t>NHS OrkneyAdjusted Waiting over 53</t>
  </si>
  <si>
    <t>NHS OrkneyAdjusted Waiting over_65Total Patients Waiting</t>
  </si>
  <si>
    <t>NHS OrkneyAdjusted Waiting over_650-18 weeks</t>
  </si>
  <si>
    <t>NHS OrkneyAdjusted Waiting over_65over18</t>
  </si>
  <si>
    <t>NHS OrkneyAdjusted Waiting over_650_26</t>
  </si>
  <si>
    <t>NHS OrkneyAdjusted Waiting over_65over 26</t>
  </si>
  <si>
    <t>NHS OrkneyAdjusted Waiting over_65median</t>
  </si>
  <si>
    <t>NHS OrkneyAdjusted Waiting over_6590percent</t>
  </si>
  <si>
    <t>NHS OrkneyAdjusted Waiting over_6519-35 weeks</t>
  </si>
  <si>
    <t>NHS OrkneyAdjusted Waiting over_65over 35 weeks</t>
  </si>
  <si>
    <t>NHS OrkneyAdjusted Waiting over_6536_52</t>
  </si>
  <si>
    <t>NHS OrkneyAdjusted Waiting over_65over 53</t>
  </si>
  <si>
    <t>NHS OrkneyUnadjusted Waiting Total Patients Waiting</t>
  </si>
  <si>
    <t>NHS OrkneyUnadjusted Waiting 0-18 weeks</t>
  </si>
  <si>
    <t>NHS OrkneyUnadjusted Waiting over18</t>
  </si>
  <si>
    <t>NHS OrkneyUnadjusted Waiting 0_26</t>
  </si>
  <si>
    <t>NHS OrkneyUnadjusted Waiting over 26</t>
  </si>
  <si>
    <t>NHS OrkneyUnadjusted Waiting median</t>
  </si>
  <si>
    <t>NHS OrkneyUnadjusted Waiting 90percent</t>
  </si>
  <si>
    <t>NHS OrkneyUnadjusted Waiting 19-35 weeks</t>
  </si>
  <si>
    <t>NHS OrkneyUnadjusted Waiting over 35 weeks</t>
  </si>
  <si>
    <t>NHS OrkneyUnadjusted Waiting 36_52</t>
  </si>
  <si>
    <t>NHS OrkneyUnadjusted Waiting over 53</t>
  </si>
  <si>
    <t>NHS OrkneyUnadjusted Waiting referrals received</t>
  </si>
  <si>
    <t>NHS OrkneyUnadjusted Waiting referrals accepted</t>
  </si>
  <si>
    <t>NHS OrkneyUnadjusted Waiting over_65Total Patients Waiting</t>
  </si>
  <si>
    <t>NHS OrkneyUnadjusted Waiting over_650-18 weeks</t>
  </si>
  <si>
    <t>NHS OrkneyUnadjusted Waiting over_65over18</t>
  </si>
  <si>
    <t>NHS OrkneyUnadjusted Waiting over_650_26</t>
  </si>
  <si>
    <t>NHS OrkneyUnadjusted Waiting over_65over 26</t>
  </si>
  <si>
    <t>NHS OrkneyUnadjusted Waiting over_65median</t>
  </si>
  <si>
    <t>NHS OrkneyUnadjusted Waiting over_6590percent</t>
  </si>
  <si>
    <t>NHS OrkneyUnadjusted Waiting over_6519-35 weeks</t>
  </si>
  <si>
    <t>NHS OrkneyUnadjusted Waiting over_65over 35 weeks</t>
  </si>
  <si>
    <t>NHS OrkneyUnadjusted Waiting over_6536_52</t>
  </si>
  <si>
    <t>NHS OrkneyUnadjusted Waiting over_65over 53</t>
  </si>
  <si>
    <t>NHS OrkneyUnadjusted Waiting over_65referrals received</t>
  </si>
  <si>
    <t>NHS OrkneyUnadjusted Waiting over_65referrals accepted</t>
  </si>
  <si>
    <t>NHS ShetlandAdjusted Waiting Total Patients Waiting</t>
  </si>
  <si>
    <t>NHS ShetlandAdjusted Waiting 0-18 weeks</t>
  </si>
  <si>
    <t>NHS ShetlandAdjusted Waiting over18</t>
  </si>
  <si>
    <t>NHS ShetlandAdjusted Waiting 0_26</t>
  </si>
  <si>
    <t>NHS ShetlandAdjusted Waiting over 26</t>
  </si>
  <si>
    <t>NHS ShetlandAdjusted Waiting median</t>
  </si>
  <si>
    <t>NHS ShetlandAdjusted Waiting 90percent</t>
  </si>
  <si>
    <t>NHS ShetlandAdjusted Waiting 19-35 weeks</t>
  </si>
  <si>
    <t>NHS ShetlandAdjusted Waiting over 35 weeks</t>
  </si>
  <si>
    <t>NHS ShetlandAdjusted Waiting 36_52</t>
  </si>
  <si>
    <t>NHS ShetlandAdjusted Waiting over 53</t>
  </si>
  <si>
    <t>NHS ShetlandAdjusted Waiting over_65Total Patients Waiting</t>
  </si>
  <si>
    <t>NHS ShetlandAdjusted Waiting over_650-18 weeks</t>
  </si>
  <si>
    <t>NHS ShetlandAdjusted Waiting over_65over18</t>
  </si>
  <si>
    <t>NHS ShetlandAdjusted Waiting over_650_26</t>
  </si>
  <si>
    <t>NHS ShetlandAdjusted Waiting over_65over 26</t>
  </si>
  <si>
    <t>NHS ShetlandAdjusted Waiting over_65median</t>
  </si>
  <si>
    <t>NHS ShetlandAdjusted Waiting over_6590percent</t>
  </si>
  <si>
    <t>NHS ShetlandAdjusted Waiting over_6519-35 weeks</t>
  </si>
  <si>
    <t>NHS ShetlandAdjusted Waiting over_65over 35 weeks</t>
  </si>
  <si>
    <t>NHS ShetlandAdjusted Waiting over_6536_52</t>
  </si>
  <si>
    <t>NHS ShetlandAdjusted Waiting over_65over 53</t>
  </si>
  <si>
    <t>NHS ShetlandUnadjusted Waiting Total Patients Waiting</t>
  </si>
  <si>
    <t>NHS ShetlandUnadjusted Waiting 0-18 weeks</t>
  </si>
  <si>
    <t>NHS ShetlandUnadjusted Waiting over18</t>
  </si>
  <si>
    <t>NHS ShetlandUnadjusted Waiting 0_26</t>
  </si>
  <si>
    <t>NHS ShetlandUnadjusted Waiting over 26</t>
  </si>
  <si>
    <t>NHS ShetlandUnadjusted Waiting median</t>
  </si>
  <si>
    <t>NHS ShetlandUnadjusted Waiting 90percent</t>
  </si>
  <si>
    <t>NHS ShetlandUnadjusted Waiting 19-35 weeks</t>
  </si>
  <si>
    <t>NHS ShetlandUnadjusted Waiting over 35 weeks</t>
  </si>
  <si>
    <t>NHS ShetlandUnadjusted Waiting 36_52</t>
  </si>
  <si>
    <t>NHS ShetlandUnadjusted Waiting over 53</t>
  </si>
  <si>
    <t>NHS ShetlandUnadjusted Waiting referrals received</t>
  </si>
  <si>
    <t>NHS ShetlandUnadjusted Waiting referrals accepted</t>
  </si>
  <si>
    <t>NHS ShetlandUnadjusted Waiting over_65Total Patients Waiting</t>
  </si>
  <si>
    <t>NHS ShetlandUnadjusted Waiting over_650-18 weeks</t>
  </si>
  <si>
    <t>NHS ShetlandUnadjusted Waiting over_65over18</t>
  </si>
  <si>
    <t>NHS ShetlandUnadjusted Waiting over_650_26</t>
  </si>
  <si>
    <t>NHS ShetlandUnadjusted Waiting over_65over 26</t>
  </si>
  <si>
    <t>NHS ShetlandUnadjusted Waiting over_65median</t>
  </si>
  <si>
    <t>NHS ShetlandUnadjusted Waiting over_6590percent</t>
  </si>
  <si>
    <t>NHS ShetlandUnadjusted Waiting over_6519-35 weeks</t>
  </si>
  <si>
    <t>NHS ShetlandUnadjusted Waiting over_65over 35 weeks</t>
  </si>
  <si>
    <t>NHS ShetlandUnadjusted Waiting over_6536_52</t>
  </si>
  <si>
    <t>NHS ShetlandUnadjusted Waiting over_65over 53</t>
  </si>
  <si>
    <t>NHS ShetlandUnadjusted Waiting over_65referrals received</t>
  </si>
  <si>
    <t>NHS ShetlandUnadjusted Waiting over_65referrals accepted</t>
  </si>
  <si>
    <t>NHS TaysideAdjusted Waiting Total Patients Waiting</t>
  </si>
  <si>
    <t>NHS TaysideAdjusted Waiting 0-18 weeks</t>
  </si>
  <si>
    <t>NHS TaysideAdjusted Waiting over18</t>
  </si>
  <si>
    <t>NHS TaysideAdjusted Waiting 0_26</t>
  </si>
  <si>
    <t>NHS TaysideAdjusted Waiting over 26</t>
  </si>
  <si>
    <t>NHS TaysideAdjusted Waiting median</t>
  </si>
  <si>
    <t>NHS TaysideAdjusted Waiting 90percent</t>
  </si>
  <si>
    <t>NHS TaysideAdjusted Waiting 19-35 weeks</t>
  </si>
  <si>
    <t>NHS TaysideAdjusted Waiting over 35 weeks</t>
  </si>
  <si>
    <t>NHS TaysideAdjusted Waiting 36_52</t>
  </si>
  <si>
    <t>NHS TaysideAdjusted Waiting over 53</t>
  </si>
  <si>
    <t>NHS TaysideAdjusted Waiting over_65Total Patients Waiting</t>
  </si>
  <si>
    <t>NHS TaysideAdjusted Waiting over_650-18 weeks</t>
  </si>
  <si>
    <t>NHS TaysideAdjusted Waiting over_65over18</t>
  </si>
  <si>
    <t>NHS TaysideAdjusted Waiting over_650_26</t>
  </si>
  <si>
    <t>NHS TaysideAdjusted Waiting over_65over 26</t>
  </si>
  <si>
    <t>NHS TaysideAdjusted Waiting over_65median</t>
  </si>
  <si>
    <t>NHS TaysideAdjusted Waiting over_6590percent</t>
  </si>
  <si>
    <t>NHS TaysideAdjusted Waiting over_6519-35 weeks</t>
  </si>
  <si>
    <t>NHS TaysideAdjusted Waiting over_65over 35 weeks</t>
  </si>
  <si>
    <t>NHS TaysideAdjusted Waiting over_6536_52</t>
  </si>
  <si>
    <t>NHS TaysideAdjusted Waiting over_65over 53</t>
  </si>
  <si>
    <t>NHS TaysideUnadjusted Waiting Total Patients Waiting</t>
  </si>
  <si>
    <t>NHS TaysideUnadjusted Waiting 0-18 weeks</t>
  </si>
  <si>
    <t>NHS TaysideUnadjusted Waiting over18</t>
  </si>
  <si>
    <t>NHS TaysideUnadjusted Waiting 0_26</t>
  </si>
  <si>
    <t>NHS TaysideUnadjusted Waiting over 26</t>
  </si>
  <si>
    <t>NHS TaysideUnadjusted Waiting median</t>
  </si>
  <si>
    <t>NHS TaysideUnadjusted Waiting 90percent</t>
  </si>
  <si>
    <t>NHS TaysideUnadjusted Waiting 19-35 weeks</t>
  </si>
  <si>
    <t>NHS TaysideUnadjusted Waiting over 35 weeks</t>
  </si>
  <si>
    <t>NHS TaysideUnadjusted Waiting 36_52</t>
  </si>
  <si>
    <t>NHS TaysideUnadjusted Waiting over 53</t>
  </si>
  <si>
    <t>NHS TaysideUnadjusted Waiting referrals received</t>
  </si>
  <si>
    <t>NHS TaysideUnadjusted Waiting referrals accepted</t>
  </si>
  <si>
    <t>NHS TaysideUnadjusted Waiting over_65Total Patients Waiting</t>
  </si>
  <si>
    <t>NHS TaysideUnadjusted Waiting over_650-18 weeks</t>
  </si>
  <si>
    <t>NHS TaysideUnadjusted Waiting over_65over18</t>
  </si>
  <si>
    <t>NHS TaysideUnadjusted Waiting over_650_26</t>
  </si>
  <si>
    <t>NHS TaysideUnadjusted Waiting over_65over 26</t>
  </si>
  <si>
    <t>NHS TaysideUnadjusted Waiting over_65median</t>
  </si>
  <si>
    <t>NHS TaysideUnadjusted Waiting over_6590percent</t>
  </si>
  <si>
    <t>NHS TaysideUnadjusted Waiting over_6519-35 weeks</t>
  </si>
  <si>
    <t>NHS TaysideUnadjusted Waiting over_65over 35 weeks</t>
  </si>
  <si>
    <t>NHS TaysideUnadjusted Waiting over_6536_52</t>
  </si>
  <si>
    <t>NHS TaysideUnadjusted Waiting over_65over 53</t>
  </si>
  <si>
    <t>NHS TaysideUnadjusted Waiting over_65referrals received</t>
  </si>
  <si>
    <t>NHS TaysideUnadjusted Waiting over_65referrals accepted</t>
  </si>
  <si>
    <t>NHS Western IslesAdjusted Waiting Total Patients Waiting</t>
  </si>
  <si>
    <t>NHS Western IslesAdjusted Waiting 0-18 weeks</t>
  </si>
  <si>
    <t>NHS Western IslesAdjusted Waiting over18</t>
  </si>
  <si>
    <t>NHS Western IslesAdjusted Waiting 0_26</t>
  </si>
  <si>
    <t>NHS Western IslesAdjusted Waiting over 26</t>
  </si>
  <si>
    <t>NHS Western IslesAdjusted Waiting median</t>
  </si>
  <si>
    <t>NHS Western IslesAdjusted Waiting 90percent</t>
  </si>
  <si>
    <t>NHS Western IslesAdjusted Waiting 19-35 weeks</t>
  </si>
  <si>
    <t>NHS Western IslesAdjusted Waiting over 35 weeks</t>
  </si>
  <si>
    <t>NHS Western IslesAdjusted Waiting 36_52</t>
  </si>
  <si>
    <t>NHS Western IslesAdjusted Waiting over 53</t>
  </si>
  <si>
    <t>NHS Western IslesAdjusted Waiting over_65Total Patients Waiting</t>
  </si>
  <si>
    <t>NHS Western IslesAdjusted Waiting over_650-18 weeks</t>
  </si>
  <si>
    <t>NHS Western IslesAdjusted Waiting over_65over18</t>
  </si>
  <si>
    <t>NHS Western IslesAdjusted Waiting over_650_26</t>
  </si>
  <si>
    <t>NHS Western IslesAdjusted Waiting over_65over 26</t>
  </si>
  <si>
    <t>NHS Western IslesAdjusted Waiting over_65median</t>
  </si>
  <si>
    <t>NHS Western IslesAdjusted Waiting over_6590percent</t>
  </si>
  <si>
    <t>NHS Western IslesAdjusted Waiting over_6519-35 weeks</t>
  </si>
  <si>
    <t>NHS Western IslesAdjusted Waiting over_65over 35 weeks</t>
  </si>
  <si>
    <t>NHS Western IslesAdjusted Waiting over_6536_52</t>
  </si>
  <si>
    <t>NHS Western IslesAdjusted Waiting over_65over 53</t>
  </si>
  <si>
    <t>NHS Western IslesUnadjusted Waiting Total Patients Waiting</t>
  </si>
  <si>
    <t>NHS Western IslesUnadjusted Waiting 0-18 weeks</t>
  </si>
  <si>
    <t>NHS Western IslesUnadjusted Waiting over18</t>
  </si>
  <si>
    <t>NHS Western IslesUnadjusted Waiting 0_26</t>
  </si>
  <si>
    <t>NHS Western IslesUnadjusted Waiting over 26</t>
  </si>
  <si>
    <t>NHS Western IslesUnadjusted Waiting median</t>
  </si>
  <si>
    <t>NHS Western IslesUnadjusted Waiting 90percent</t>
  </si>
  <si>
    <t>NHS Western IslesUnadjusted Waiting 19-35 weeks</t>
  </si>
  <si>
    <t>NHS Western IslesUnadjusted Waiting over 35 weeks</t>
  </si>
  <si>
    <t>NHS Western IslesUnadjusted Waiting 36_52</t>
  </si>
  <si>
    <t>NHS Western IslesUnadjusted Waiting over 53</t>
  </si>
  <si>
    <t>NHS Western IslesUnadjusted Waiting referrals received</t>
  </si>
  <si>
    <t>NHS Western IslesUnadjusted Waiting referrals accepted</t>
  </si>
  <si>
    <t>NHS Western IslesUnadjusted Waiting over_65Total Patients Waiting</t>
  </si>
  <si>
    <t>NHS Western IslesUnadjusted Waiting over_650-18 weeks</t>
  </si>
  <si>
    <t>NHS Western IslesUnadjusted Waiting over_65over18</t>
  </si>
  <si>
    <t>NHS Western IslesUnadjusted Waiting over_650_26</t>
  </si>
  <si>
    <t>NHS Western IslesUnadjusted Waiting over_65over 26</t>
  </si>
  <si>
    <t>NHS Western IslesUnadjusted Waiting over_65median</t>
  </si>
  <si>
    <t>NHS Western IslesUnadjusted Waiting over_6590percent</t>
  </si>
  <si>
    <t>NHS Western IslesUnadjusted Waiting over_6519-35 weeks</t>
  </si>
  <si>
    <t>NHS Western IslesUnadjusted Waiting over_65over 35 weeks</t>
  </si>
  <si>
    <t>NHS Western IslesUnadjusted Waiting over_6536_52</t>
  </si>
  <si>
    <t>NHS Western IslesUnadjusted Waiting over_65over 53</t>
  </si>
  <si>
    <t>NHS Western IslesUnadjusted Waiting over_65referrals received</t>
  </si>
  <si>
    <t>NHS Western IslesUnadjusted Waiting over_65referrals accepted</t>
  </si>
  <si>
    <t>ScotlandAdjusted Waiting Total Patients Waiting</t>
  </si>
  <si>
    <t>ScotlandAdjusted Waiting 0-18 weeks</t>
  </si>
  <si>
    <t>ScotlandAdjusted Waiting over18</t>
  </si>
  <si>
    <t>ScotlandAdjusted Waiting 0_26</t>
  </si>
  <si>
    <t>ScotlandAdjusted Waiting over 26</t>
  </si>
  <si>
    <t>ScotlandAdjusted Waiting median</t>
  </si>
  <si>
    <t>ScotlandAdjusted Waiting 90percent</t>
  </si>
  <si>
    <t>ScotlandAdjusted Waiting 19-35 weeks</t>
  </si>
  <si>
    <t>ScotlandAdjusted Waiting over 35 weeks</t>
  </si>
  <si>
    <t>ScotlandAdjusted Waiting 36_52</t>
  </si>
  <si>
    <t>ScotlandAdjusted Waiting over 53</t>
  </si>
  <si>
    <t>ScotlandAdjusted Waiting over_65Total Patients Waiting</t>
  </si>
  <si>
    <t>ScotlandAdjusted Waiting over_650-18 weeks</t>
  </si>
  <si>
    <t>ScotlandAdjusted Waiting over_65over18</t>
  </si>
  <si>
    <t>ScotlandAdjusted Waiting over_650_26</t>
  </si>
  <si>
    <t>ScotlandAdjusted Waiting over_65over 26</t>
  </si>
  <si>
    <t>ScotlandAdjusted Waiting over_65median</t>
  </si>
  <si>
    <t>ScotlandAdjusted Waiting over_6590percent</t>
  </si>
  <si>
    <t>ScotlandAdjusted Waiting over_6519-35 weeks</t>
  </si>
  <si>
    <t>ScotlandAdjusted Waiting over_65over 35 weeks</t>
  </si>
  <si>
    <t>ScotlandAdjusted Waiting over_6536_52</t>
  </si>
  <si>
    <t>ScotlandAdjusted Waiting over_65over 53</t>
  </si>
  <si>
    <t>ScotlandUnadjusted Waiting Total Patients Waiting</t>
  </si>
  <si>
    <t>ScotlandUnadjusted Waiting 0-18 weeks</t>
  </si>
  <si>
    <t>ScotlandUnadjusted Waiting over18</t>
  </si>
  <si>
    <t>ScotlandUnadjusted Waiting 0_26</t>
  </si>
  <si>
    <t>ScotlandUnadjusted Waiting over 26</t>
  </si>
  <si>
    <t>ScotlandUnadjusted Waiting median</t>
  </si>
  <si>
    <t>ScotlandUnadjusted Waiting 90percent</t>
  </si>
  <si>
    <t>ScotlandUnadjusted Waiting 19-35 weeks</t>
  </si>
  <si>
    <t>ScotlandUnadjusted Waiting over 35 weeks</t>
  </si>
  <si>
    <t>ScotlandUnadjusted Waiting 36_52</t>
  </si>
  <si>
    <t>ScotlandUnadjusted Waiting over 53</t>
  </si>
  <si>
    <t>ScotlandUnadjusted Waiting referrals received</t>
  </si>
  <si>
    <t>ScotlandUnadjusted Waiting referrals accepted</t>
  </si>
  <si>
    <t>ScotlandUnadjusted Waiting over_65Total Patients Waiting</t>
  </si>
  <si>
    <t>ScotlandUnadjusted Waiting over_650-18 weeks</t>
  </si>
  <si>
    <t>ScotlandUnadjusted Waiting over_65over18</t>
  </si>
  <si>
    <t>ScotlandUnadjusted Waiting over_650_26</t>
  </si>
  <si>
    <t>ScotlandUnadjusted Waiting over_65over 26</t>
  </si>
  <si>
    <t>ScotlandUnadjusted Waiting over_65median</t>
  </si>
  <si>
    <t>ScotlandUnadjusted Waiting over_6590percent</t>
  </si>
  <si>
    <t>ScotlandUnadjusted Waiting over_6519-35 weeks</t>
  </si>
  <si>
    <t>ScotlandUnadjusted Waiting over_65over 35 weeks</t>
  </si>
  <si>
    <t>ScotlandUnadjusted Waiting over_6536_52</t>
  </si>
  <si>
    <t>ScotlandUnadjusted Waiting over_65over 53</t>
  </si>
  <si>
    <t>ScotlandUnadjusted Waiting over_65referrals received</t>
  </si>
  <si>
    <t>ScotlandUnadjusted Waiting over_65referrals accepted</t>
  </si>
  <si>
    <t>NHS24Adjusted Waiting Total Patients Waiting</t>
  </si>
  <si>
    <t>NHS24Adjusted Waiting 0-18 weeks</t>
  </si>
  <si>
    <t>NHS24Adjusted Waiting over18</t>
  </si>
  <si>
    <t>NHS24Adjusted Waiting 0_26</t>
  </si>
  <si>
    <t>NHS24Adjusted Waiting over 26</t>
  </si>
  <si>
    <t>NHS24Adjusted Waiting median</t>
  </si>
  <si>
    <t>NHS24Adjusted Waiting 90percent</t>
  </si>
  <si>
    <t>NHS24Adjusted Waiting 19-35 weeks</t>
  </si>
  <si>
    <t>NHS24Adjusted Waiting over 35 weeks</t>
  </si>
  <si>
    <t>NHS24Adjusted Waiting 36_52</t>
  </si>
  <si>
    <t>NHS24Adjusted Waiting over 53</t>
  </si>
  <si>
    <t>NHS24Adjusted Waiting over_65Total Patients Waiting</t>
  </si>
  <si>
    <t>NHS24Adjusted Waiting over_650-18 weeks</t>
  </si>
  <si>
    <t>NHS24Adjusted Waiting over_65over18</t>
  </si>
  <si>
    <t>NHS24Adjusted Waiting over_650_26</t>
  </si>
  <si>
    <t>NHS24Adjusted Waiting over_65over 26</t>
  </si>
  <si>
    <t>NHS24Adjusted Waiting over_65median</t>
  </si>
  <si>
    <t>NHS24Adjusted Waiting over_6590percent</t>
  </si>
  <si>
    <t>NHS24Adjusted Waiting over_6519-35 weeks</t>
  </si>
  <si>
    <t>NHS24Adjusted Waiting over_65over 35 weeks</t>
  </si>
  <si>
    <t>NHS24Adjusted Waiting over_6536_52</t>
  </si>
  <si>
    <t>NHS24Adjusted Waiting over_65over 53</t>
  </si>
  <si>
    <t>NHS24Unadjusted Waiting Total Patients Waiting</t>
  </si>
  <si>
    <t>NHS24Unadjusted Waiting 0-18 weeks</t>
  </si>
  <si>
    <t>NHS24Unadjusted Waiting over18</t>
  </si>
  <si>
    <t>NHS24Unadjusted Waiting 0_26</t>
  </si>
  <si>
    <t>NHS24Unadjusted Waiting over 26</t>
  </si>
  <si>
    <t>NHS24Unadjusted Waiting median</t>
  </si>
  <si>
    <t>NHS24Unadjusted Waiting 90percent</t>
  </si>
  <si>
    <t>NHS24Unadjusted Waiting 19-35 weeks</t>
  </si>
  <si>
    <t>NHS24Unadjusted Waiting over 35 weeks</t>
  </si>
  <si>
    <t>NHS24Unadjusted Waiting 36_52</t>
  </si>
  <si>
    <t>NHS24Unadjusted Waiting over 53</t>
  </si>
  <si>
    <t>NHS24Unadjusted Waiting referrals received</t>
  </si>
  <si>
    <t>NHS24Unadjusted Waiting referrals accepted</t>
  </si>
  <si>
    <t>NHS24Unadjusted Waiting over_65Total Patients Waiting</t>
  </si>
  <si>
    <t>NHS24Unadjusted Waiting over_650-18 weeks</t>
  </si>
  <si>
    <t>NHS24Unadjusted Waiting over_65over18</t>
  </si>
  <si>
    <t>NHS24Unadjusted Waiting over_650_26</t>
  </si>
  <si>
    <t>NHS24Unadjusted Waiting over_65over 26</t>
  </si>
  <si>
    <t>NHS24Unadjusted Waiting over_65median</t>
  </si>
  <si>
    <t>NHS24Unadjusted Waiting over_6590percent</t>
  </si>
  <si>
    <t>NHS24Unadjusted Waiting over_6519-35 weeks</t>
  </si>
  <si>
    <t>NHS24Unadjusted Waiting over_65over 35 weeks</t>
  </si>
  <si>
    <t>NHS24Unadjusted Waiting over_6536_52</t>
  </si>
  <si>
    <t>NHS24Unadjusted Waiting over_65over 53</t>
  </si>
  <si>
    <t>NHS24Unadjusted Waiting over_65referrals received</t>
  </si>
  <si>
    <t>NHS24Unadjusted Waiting over_65referrals accepted</t>
  </si>
  <si>
    <t>NHS Island BoardsAdjusted Waiting Total Patients Waiting</t>
  </si>
  <si>
    <t>NHS Island BoardsAdjusted Waiting 0-18 weeks</t>
  </si>
  <si>
    <t>NHS Island BoardsAdjusted Waiting over18</t>
  </si>
  <si>
    <t>NHS Island BoardsAdjusted Waiting 0_26</t>
  </si>
  <si>
    <t>NHS Island BoardsAdjusted Waiting over 26</t>
  </si>
  <si>
    <t>NHS Island BoardsAdjusted Waiting median</t>
  </si>
  <si>
    <t>NHS Island BoardsAdjusted Waiting 90percent</t>
  </si>
  <si>
    <t>NHS Island BoardsAdjusted Waiting 19-35 weeks</t>
  </si>
  <si>
    <t>NHS Island BoardsAdjusted Waiting over 35 weeks</t>
  </si>
  <si>
    <t>NHS Island BoardsAdjusted Waiting 36_52</t>
  </si>
  <si>
    <t>NHS Island BoardsAdjusted Waiting over 53</t>
  </si>
  <si>
    <t>NHS Island BoardsAdjusted Waiting over_65Total Patients Waiting</t>
  </si>
  <si>
    <t>NHS Island BoardsAdjusted Waiting over_650-18 weeks</t>
  </si>
  <si>
    <t>NHS Island BoardsAdjusted Waiting over_65over18</t>
  </si>
  <si>
    <t>NHS Island BoardsAdjusted Waiting over_650_26</t>
  </si>
  <si>
    <t>NHS Island BoardsAdjusted Waiting over_65over 26</t>
  </si>
  <si>
    <t>NHS Island BoardsAdjusted Waiting over_65median</t>
  </si>
  <si>
    <t>NHS Island BoardsAdjusted Waiting over_6590percent</t>
  </si>
  <si>
    <t>NHS Island BoardsAdjusted Waiting over_6519-35 weeks</t>
  </si>
  <si>
    <t>NHS Island BoardsAdjusted Waiting over_65over 35 weeks</t>
  </si>
  <si>
    <t>NHS Island BoardsAdjusted Waiting over_6536_52</t>
  </si>
  <si>
    <t>NHS Island BoardsAdjusted Waiting over_65over 53</t>
  </si>
  <si>
    <t>NHS Island BoardsUnadjusted Waiting Total Patients Waiting</t>
  </si>
  <si>
    <t>NHS Island BoardsUnadjusted Waiting 0-18 weeks</t>
  </si>
  <si>
    <t>NHS Island BoardsUnadjusted Waiting over18</t>
  </si>
  <si>
    <t>NHS Island BoardsUnadjusted Waiting 0_26</t>
  </si>
  <si>
    <t>NHS Island BoardsUnadjusted Waiting over 26</t>
  </si>
  <si>
    <t>NHS Island BoardsUnadjusted Waiting median</t>
  </si>
  <si>
    <t>NHS Island BoardsUnadjusted Waiting 90percent</t>
  </si>
  <si>
    <t>NHS Island BoardsUnadjusted Waiting 19-35 weeks</t>
  </si>
  <si>
    <t>NHS Island BoardsUnadjusted Waiting over 35 weeks</t>
  </si>
  <si>
    <t>NHS Island BoardsUnadjusted Waiting 36_52</t>
  </si>
  <si>
    <t>NHS Island BoardsUnadjusted Waiting over 53</t>
  </si>
  <si>
    <t>NHS Island BoardsUnadjusted Waiting referrals received</t>
  </si>
  <si>
    <t>NHS Island BoardsUnadjusted Waiting referrals accepted</t>
  </si>
  <si>
    <t>NHS Island BoardsUnadjusted Waiting over_65Total Patients Waiting</t>
  </si>
  <si>
    <t>NHS Island BoardsUnadjusted Waiting over_650-18 weeks</t>
  </si>
  <si>
    <t>NHS Island BoardsUnadjusted Waiting over_65over18</t>
  </si>
  <si>
    <t>NHS Island BoardsUnadjusted Waiting over_650_26</t>
  </si>
  <si>
    <t>NHS Island BoardsUnadjusted Waiting over_65over 26</t>
  </si>
  <si>
    <t>NHS Island BoardsUnadjusted Waiting over_65median</t>
  </si>
  <si>
    <t>NHS Island BoardsUnadjusted Waiting over_6590percent</t>
  </si>
  <si>
    <t>NHS Island BoardsUnadjusted Waiting over_6519-35 weeks</t>
  </si>
  <si>
    <t>NHS Island BoardsUnadjusted Waiting over_65over 35 weeks</t>
  </si>
  <si>
    <t>NHS Island BoardsUnadjusted Waiting over_6536_52</t>
  </si>
  <si>
    <t>NHS Island BoardsUnadjusted Waiting over_65over 53</t>
  </si>
  <si>
    <t>NHS Island BoardsUnadjusted Waiting over_65referrals received</t>
  </si>
  <si>
    <t>NHS Island BoardsUnadjusted Waiting over_65referrals accepted</t>
  </si>
  <si>
    <t>Quarter ending March 2021</t>
  </si>
  <si>
    <t xml:space="preserve">      1. NHS24 has not been able to submit October 2020 data</t>
  </si>
  <si>
    <t>Jan-20 to Mar-20</t>
  </si>
  <si>
    <t>Apr-20 to Jun-20</t>
  </si>
  <si>
    <t>Jul-20 to Sep-20</t>
  </si>
  <si>
    <t>Oct-20 to Dec-20</t>
  </si>
  <si>
    <t>Jan-21 to Mar-21</t>
  </si>
  <si>
    <t>NHS24 Living Life data has been submitted from February 2017.</t>
  </si>
  <si>
    <t>Please see individual Health Boards for detailed footnotes.</t>
  </si>
  <si>
    <t>NHS Lanarkshire does not include data from CamGlen from November 2016 due to the migration of patient management systems within NHS Greater Glasgow &amp; Clyde</t>
  </si>
  <si>
    <t>Quarter ending June 2021</t>
  </si>
  <si>
    <t>Includes footnotes 1 to 9 from Quarter ending June 2021</t>
  </si>
  <si>
    <t xml:space="preserve">      1. NHS24 has not been able to submit February 2021 data</t>
  </si>
  <si>
    <t xml:space="preserve">      2. NHS Ayrshire and Arran has resubmitted January to March 2021 data.</t>
  </si>
  <si>
    <t xml:space="preserve">      1. NHS Highland has resubmitted July 2020 data</t>
  </si>
  <si>
    <t xml:space="preserve">  Includes all Patients seen footnotes for quarter ending: June 2021, March 2021, December 2020, September 2020 and June 2020. </t>
  </si>
  <si>
    <t xml:space="preserve">         1.   NHS Orkney data is only available from June 2021.</t>
  </si>
  <si>
    <t xml:space="preserve">   Includes footnotes 1 to 9 from Quarter ending June 2021</t>
  </si>
  <si>
    <t xml:space="preserve">  Includes footnotes 1 to 9 from Quarter ending June 2021</t>
  </si>
  <si>
    <t>11.   NHS 24 has not been able to submit June 2021 data.</t>
  </si>
  <si>
    <t>Tables:</t>
  </si>
  <si>
    <t xml:space="preserve">      1. NHS Ayrshire and Arran has resubmitted January to March 2021 data</t>
  </si>
  <si>
    <t xml:space="preserve">      2. NHS Fife has resubmitted January to March 2021 data</t>
  </si>
  <si>
    <t xml:space="preserve">      3. NHS24 has not been able to submit February 2021 data</t>
  </si>
  <si>
    <t xml:space="preserve">      1. NHS Fife has resubmitted October to December 2020 data</t>
  </si>
  <si>
    <t xml:space="preserve">      1. NHS Fife has resubmitted July to September 2020 data</t>
  </si>
  <si>
    <t xml:space="preserve">      1. NHS Fife has resubmitted April to June 2020 data</t>
  </si>
  <si>
    <t>Includes footnotes 1 to 10 from Quarter ending June 2021</t>
  </si>
  <si>
    <t>10.   NHS 24 has not been able to submit June 2021 data.</t>
  </si>
  <si>
    <t xml:space="preserve">       1. NHS Orkney data is only available from June 2021.</t>
  </si>
  <si>
    <t>Includes footnotes 1 to 10 from Quarter ending June 2020</t>
  </si>
  <si>
    <t>Includes footnotes 1 to 8 and footnote 10 from Quarter ending June 2021</t>
  </si>
  <si>
    <t xml:space="preserve">      1. NHS24 has not been able to submit February 2020 data</t>
  </si>
  <si>
    <t xml:space="preserve">      2. NHS Fife has resubmitted October to December 2020 data</t>
  </si>
  <si>
    <t>Difference</t>
  </si>
  <si>
    <t>Revised Figures</t>
  </si>
  <si>
    <t>Previously Published</t>
  </si>
  <si>
    <t>January-March 2021</t>
  </si>
  <si>
    <t>October-December 2020</t>
  </si>
  <si>
    <t>July-September 2020</t>
  </si>
  <si>
    <t>April-June 2020</t>
  </si>
  <si>
    <t>January-March 2020</t>
  </si>
  <si>
    <t>October-December 2019</t>
  </si>
  <si>
    <t>July-September 2019</t>
  </si>
  <si>
    <t>April-June 2019</t>
  </si>
  <si>
    <t>January-March 2019</t>
  </si>
  <si>
    <t>October-December 2018</t>
  </si>
  <si>
    <t>Rate</t>
  </si>
  <si>
    <t xml:space="preserve">Number </t>
  </si>
  <si>
    <t>Number</t>
  </si>
  <si>
    <t>Accepted referrals</t>
  </si>
  <si>
    <t>All referrals</t>
  </si>
  <si>
    <t>NHS Scotland</t>
  </si>
  <si>
    <t>Referrals - All ages</t>
  </si>
  <si>
    <t>Sept 21 resubs - Fife referrals</t>
  </si>
  <si>
    <t>Fife referrals resubmissions from October 2018</t>
  </si>
  <si>
    <t>=</t>
  </si>
  <si>
    <t>+245</t>
  </si>
  <si>
    <t>+205</t>
  </si>
  <si>
    <t>+0.1</t>
  </si>
  <si>
    <t>+0.6</t>
  </si>
  <si>
    <t>+0.5</t>
  </si>
  <si>
    <t>+486</t>
  </si>
  <si>
    <t>+444</t>
  </si>
  <si>
    <t>+1.3</t>
  </si>
  <si>
    <t>+1.1</t>
  </si>
  <si>
    <t>+473</t>
  </si>
  <si>
    <t>+463</t>
  </si>
  <si>
    <t>+1</t>
  </si>
  <si>
    <t>+240</t>
  </si>
  <si>
    <t>+212</t>
  </si>
  <si>
    <t>+0.7</t>
  </si>
  <si>
    <t>+65</t>
  </si>
  <si>
    <t>+56</t>
  </si>
  <si>
    <t>+0.2</t>
  </si>
  <si>
    <t>+184</t>
  </si>
  <si>
    <t>+167</t>
  </si>
  <si>
    <t>+270</t>
  </si>
  <si>
    <t>+253</t>
  </si>
  <si>
    <t>+583</t>
  </si>
  <si>
    <t>+567</t>
  </si>
  <si>
    <t>+0.4</t>
  </si>
  <si>
    <r>
      <t>Revised Figures</t>
    </r>
    <r>
      <rPr>
        <vertAlign val="superscript"/>
        <sz val="10"/>
        <rFont val="Arial"/>
        <family val="2"/>
      </rPr>
      <t>1</t>
    </r>
  </si>
  <si>
    <r>
      <t>Difference</t>
    </r>
    <r>
      <rPr>
        <vertAlign val="superscript"/>
        <sz val="10"/>
        <rFont val="Arial"/>
        <family val="2"/>
      </rPr>
      <t>1</t>
    </r>
  </si>
  <si>
    <t xml:space="preserve">10.  NHS Lanarkshire stopped including CAMHS data from April 2021 </t>
  </si>
  <si>
    <t>11.  NHS24 June 2021 data has not been included. Next publication in December 2021 will include June 2021 data.</t>
  </si>
  <si>
    <t>11.  NHS 24 has advised us that their rejected referrals include inappropriate referrals and data from where they were unable to contact the patient.</t>
  </si>
  <si>
    <t>12.   NHS 24 has not been able to submit June 2021 data.</t>
  </si>
  <si>
    <t xml:space="preserve">9.     NHS Lanarkshire stopped including CAMHS data from April 2021 </t>
  </si>
  <si>
    <t>10.   NHS Western Isles cCBT data is included from May 2019.</t>
  </si>
  <si>
    <t>Includes footnotes 1 to 11 from Quarter ending June 2021</t>
  </si>
  <si>
    <t>Includes footnotes 1 to 8 and 10 and 11 from Quarter ending June 2021</t>
  </si>
  <si>
    <t>Includes footnotes 1 to 8 and footnotes 11 from Quarter ending June 2021</t>
  </si>
  <si>
    <t>Includes footnotes 1 to 8 and footnote 11  from Quarter ending June 2021</t>
  </si>
  <si>
    <t>Referrals accepted for treatment</t>
  </si>
  <si>
    <t xml:space="preserve">1.  The Scotland figures includes the resubmission from NHS Ayrshire and Arran. Actual changes can also be seen in the metadata section of the report </t>
  </si>
  <si>
    <t>+191</t>
  </si>
  <si>
    <t>+144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</si>
</sst>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yyyy/mm/dd"/>
    <numFmt numFmtId="165" formatCode="0.0"/>
    <numFmt numFmtId="166" formatCode="#,##0.0"/>
    <numFmt numFmtId="167" formatCode="_(* #,##0.00_);_(* \(#,##0.00\);_(* &quot;-&quot;??_);_(@_)"/>
    <numFmt numFmtId="168" formatCode="_(* #,##0_);_(* \(#,##0\);_(* &quot;-&quot;??_);_(@_)"/>
    <numFmt numFmtId="169" formatCode="#,##0.000000"/>
    <numFmt numFmtId="170" formatCode="#,##0.000"/>
    <numFmt numFmtId="171" formatCode="0.000"/>
  </numFmts>
  <fonts count="53">
    <font>
      <sz val="11"/>
      <color theme="1"/>
      <name val="Calibri"/>
      <family val="2"/>
      <scheme val="minor"/>
    </font>
    <font>
      <sz val="10"/>
      <name val="Arial"/>
      <family val="2"/>
    </font>
    <font>
      <b/>
      <sz val="11"/>
      <color theme="1"/>
      <name val="Calibri"/>
      <family val="2"/>
      <scheme val="minor"/>
    </font>
    <font>
      <b/>
      <sz val="12"/>
      <name val="Arial"/>
      <family val="2"/>
    </font>
    <font>
      <b/>
      <sz val="10"/>
      <color indexed="10"/>
      <name val="Arial"/>
      <family val="2"/>
    </font>
    <font>
      <sz val="10"/>
      <color indexed="9"/>
      <name val="Arial"/>
      <family val="2"/>
    </font>
    <font>
      <b/>
      <sz val="10"/>
      <color indexed="17"/>
      <name val="Arial"/>
      <family val="2"/>
    </font>
    <font>
      <sz val="10"/>
      <color indexed="17"/>
      <name val="Arial"/>
      <family val="2"/>
    </font>
    <font>
      <sz val="10"/>
      <color indexed="10"/>
      <name val="Arial"/>
      <family val="2"/>
    </font>
    <font>
      <sz val="10"/>
      <color indexed="12"/>
      <name val="Arial"/>
      <family val="2"/>
    </font>
    <font>
      <b/>
      <sz val="10"/>
      <name val="Arial"/>
      <family val="2"/>
    </font>
    <font>
      <u/>
      <sz val="10"/>
      <name val="Arial"/>
      <family val="2"/>
    </font>
    <font>
      <sz val="12"/>
      <name val="Arial"/>
      <family val="2"/>
    </font>
    <font>
      <u/>
      <sz val="10"/>
      <color indexed="12"/>
      <name val="Arial"/>
      <family val="2"/>
    </font>
    <font>
      <sz val="10"/>
      <color theme="0"/>
      <name val="Arial"/>
      <family val="2"/>
    </font>
    <font>
      <i/>
      <sz val="10"/>
      <name val="Arial"/>
      <family val="2"/>
    </font>
    <font>
      <b/>
      <sz val="20"/>
      <color theme="1"/>
      <name val="Calibri"/>
      <family val="2"/>
      <scheme val="minor"/>
    </font>
    <font>
      <b/>
      <sz val="16"/>
      <color theme="1"/>
      <name val="Calibri"/>
      <family val="2"/>
      <scheme val="minor"/>
    </font>
    <font>
      <b/>
      <sz val="18"/>
      <color theme="1"/>
      <name val="Arial"/>
      <family val="2"/>
    </font>
    <font>
      <sz val="9"/>
      <color theme="1"/>
      <name val="Calibri"/>
      <family val="2"/>
      <scheme val="minor"/>
    </font>
    <font>
      <i/>
      <sz val="9"/>
      <color indexed="8"/>
      <name val="Calibri"/>
      <family val="2"/>
    </font>
    <font>
      <sz val="9"/>
      <color indexed="8"/>
      <name val="Calibri"/>
      <family val="2"/>
    </font>
    <font>
      <b/>
      <u/>
      <sz val="14"/>
      <name val="Arial"/>
      <family val="2"/>
    </font>
    <font>
      <b/>
      <sz val="18"/>
      <color theme="1"/>
      <name val="Calibri"/>
      <family val="2"/>
      <scheme val="minor"/>
    </font>
    <font>
      <sz val="11"/>
      <color theme="0"/>
      <name val="Calibri"/>
      <family val="2"/>
      <scheme val="minor"/>
    </font>
    <font>
      <b/>
      <u/>
      <sz val="26"/>
      <color indexed="10"/>
      <name val="Arial"/>
      <family val="2"/>
    </font>
    <font>
      <b/>
      <sz val="16"/>
      <name val="Arial"/>
      <family val="2"/>
    </font>
    <font>
      <sz val="11"/>
      <name val="Arial"/>
      <family val="2"/>
    </font>
    <font>
      <b/>
      <sz val="10"/>
      <color theme="0"/>
      <name val="Arial"/>
      <family val="2"/>
    </font>
    <font>
      <b/>
      <i/>
      <u/>
      <sz val="10"/>
      <name val="Arial"/>
      <family val="2"/>
    </font>
    <font>
      <sz val="10"/>
      <color theme="1"/>
      <name val="Arial"/>
      <family val="2"/>
    </font>
    <font>
      <sz val="12"/>
      <color rgb="FF0A0101"/>
      <name val="Arial"/>
      <family val="2"/>
    </font>
    <font>
      <sz val="14"/>
      <color rgb="FFFBDE2D"/>
      <name val="Inherit"/>
    </font>
    <font>
      <sz val="8"/>
      <name val="Arial"/>
      <family val="2"/>
    </font>
    <font>
      <sz val="11"/>
      <name val="Calibri"/>
      <family val="2"/>
      <scheme val="minor"/>
    </font>
    <font>
      <sz val="11"/>
      <color rgb="FFFF0000"/>
      <name val="Calibri"/>
      <family val="2"/>
      <scheme val="minor"/>
    </font>
    <font>
      <sz val="11"/>
      <color rgb="FF17365D"/>
      <name val="Arial"/>
      <family val="2"/>
    </font>
    <font>
      <sz val="11"/>
      <color rgb="FF092869"/>
      <name val="Arial"/>
      <family val="2"/>
    </font>
    <font>
      <sz val="11"/>
      <color theme="1"/>
      <name val="Arial"/>
      <family val="2"/>
    </font>
    <font>
      <sz val="14"/>
      <color theme="1"/>
      <name val="Arial"/>
      <family val="2"/>
    </font>
    <font>
      <b/>
      <sz val="10"/>
      <color indexed="9"/>
      <name val="Verdana"/>
      <family val="2"/>
    </font>
    <font>
      <sz val="10"/>
      <name val="Verdana"/>
      <family val="2"/>
    </font>
    <font>
      <b/>
      <u/>
      <sz val="12"/>
      <color theme="3" tint="0.39997558519241921"/>
      <name val="Verdana"/>
      <family val="2"/>
    </font>
    <font>
      <b/>
      <sz val="14"/>
      <name val="Arial"/>
      <family val="2"/>
    </font>
    <font>
      <b/>
      <sz val="14"/>
      <color theme="1"/>
      <name val="Arial"/>
      <family val="2"/>
    </font>
    <font>
      <i/>
      <sz val="11"/>
      <name val="Arial"/>
      <family val="2"/>
    </font>
    <font>
      <sz val="11"/>
      <color rgb="FF1F497D"/>
      <name val="Arial"/>
      <family val="2"/>
    </font>
    <font>
      <b/>
      <sz val="11"/>
      <color theme="0"/>
      <name val="Calibri"/>
      <family val="2"/>
      <scheme val="minor"/>
    </font>
    <font>
      <sz val="10"/>
      <color rgb="FFFF0000"/>
      <name val="Arial"/>
      <family val="2"/>
    </font>
    <font>
      <b/>
      <u/>
      <sz val="10"/>
      <color rgb="FFFF0000"/>
      <name val="Arial"/>
      <family val="2"/>
    </font>
    <font>
      <sz val="11"/>
      <color rgb="FF000000"/>
      <name val="Calibri"/>
      <family val="2"/>
    </font>
    <font>
      <vertAlign val="superscript"/>
      <sz val="10"/>
      <name val="Arial"/>
      <family val="2"/>
    </font>
    <font>
      <sz val="8"/>
      <color theme="1"/>
      <name val="Arial"/>
      <family val="2"/>
    </font>
  </fonts>
  <fills count="1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theme="4" tint="0.79998168889431442"/>
        <bgColor indexed="64"/>
      </patternFill>
    </fill>
    <fill>
      <patternFill patternType="solid">
        <fgColor theme="3"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medium">
        <color indexed="64"/>
      </right>
      <top/>
      <bottom/>
      <diagonal/>
    </border>
    <border>
      <left/>
      <right style="thin">
        <color indexed="64"/>
      </right>
      <top style="thin">
        <color indexed="64"/>
      </top>
      <bottom/>
      <diagonal/>
    </border>
    <border>
      <left/>
      <right/>
      <top/>
      <bottom style="dotted">
        <color indexed="64"/>
      </bottom>
      <diagonal/>
    </border>
    <border>
      <left style="dotted">
        <color indexed="64"/>
      </left>
      <right/>
      <top/>
      <bottom/>
      <diagonal/>
    </border>
    <border>
      <left style="dotted">
        <color indexed="64"/>
      </left>
      <right/>
      <top/>
      <bottom style="dotted">
        <color indexed="64"/>
      </bottom>
      <diagonal/>
    </border>
  </borders>
  <cellStyleXfs count="9">
    <xf numFmtId="0" fontId="0" fillId="0" borderId="0"/>
    <xf numFmtId="0" fontId="13" fillId="0" borderId="0" applyNumberFormat="0" applyFill="0" applyBorder="0" applyAlignment="0" applyProtection="0">
      <alignment vertical="top"/>
      <protection locked="0"/>
    </xf>
    <xf numFmtId="0" fontId="1" fillId="0" borderId="0"/>
    <xf numFmtId="167" fontId="1" fillId="0" borderId="0" applyFont="0" applyFill="0" applyBorder="0" applyAlignment="0" applyProtection="0"/>
    <xf numFmtId="0" fontId="33" fillId="0" borderId="0"/>
    <xf numFmtId="0" fontId="1" fillId="0" borderId="0"/>
    <xf numFmtId="0" fontId="1" fillId="0" borderId="0"/>
    <xf numFmtId="0" fontId="13" fillId="0" borderId="0" applyNumberFormat="0" applyFill="0" applyBorder="0" applyAlignment="0" applyProtection="0">
      <alignment vertical="top"/>
      <protection locked="0"/>
    </xf>
    <xf numFmtId="0" fontId="1" fillId="0" borderId="0"/>
  </cellStyleXfs>
  <cellXfs count="475">
    <xf numFmtId="0" fontId="0" fillId="0" borderId="0" xfId="0"/>
    <xf numFmtId="49" fontId="0" fillId="0" borderId="0" xfId="0" applyNumberFormat="1"/>
    <xf numFmtId="0" fontId="0" fillId="0" borderId="1" xfId="0" applyBorder="1"/>
    <xf numFmtId="14" fontId="0" fillId="0" borderId="0" xfId="0" applyNumberFormat="1"/>
    <xf numFmtId="0" fontId="0" fillId="0" borderId="1" xfId="0" applyBorder="1" applyAlignment="1">
      <alignment horizontal="center"/>
    </xf>
    <xf numFmtId="164" fontId="0" fillId="0" borderId="0" xfId="0" applyNumberFormat="1"/>
    <xf numFmtId="0" fontId="0" fillId="2" borderId="0" xfId="0" applyFill="1"/>
    <xf numFmtId="0" fontId="4" fillId="2" borderId="0" xfId="0" applyFont="1" applyFill="1"/>
    <xf numFmtId="0" fontId="1" fillId="2" borderId="0" xfId="0" applyFont="1" applyFill="1"/>
    <xf numFmtId="0" fontId="0" fillId="2" borderId="0" xfId="0" applyFill="1" applyBorder="1" applyAlignment="1">
      <alignment horizontal="center"/>
    </xf>
    <xf numFmtId="17" fontId="0" fillId="2" borderId="1" xfId="0" applyNumberFormat="1" applyFill="1" applyBorder="1" applyAlignment="1">
      <alignment horizontal="center"/>
    </xf>
    <xf numFmtId="3" fontId="0" fillId="2" borderId="1" xfId="0" applyNumberFormat="1" applyFill="1" applyBorder="1" applyAlignment="1">
      <alignment horizontal="right"/>
    </xf>
    <xf numFmtId="0" fontId="6" fillId="2" borderId="0" xfId="0" applyFont="1" applyFill="1"/>
    <xf numFmtId="17" fontId="7" fillId="2" borderId="0" xfId="0" applyNumberFormat="1" applyFont="1" applyFill="1"/>
    <xf numFmtId="17" fontId="8" fillId="2" borderId="0" xfId="0" applyNumberFormat="1" applyFont="1" applyFill="1"/>
    <xf numFmtId="17" fontId="9" fillId="2" borderId="0" xfId="0" applyNumberFormat="1" applyFont="1" applyFill="1"/>
    <xf numFmtId="0" fontId="10" fillId="2" borderId="0" xfId="0" applyFont="1" applyFill="1"/>
    <xf numFmtId="17" fontId="1" fillId="2" borderId="0" xfId="0" applyNumberFormat="1" applyFont="1" applyFill="1"/>
    <xf numFmtId="17" fontId="0" fillId="2" borderId="0" xfId="0" applyNumberFormat="1" applyFill="1"/>
    <xf numFmtId="0" fontId="1" fillId="2" borderId="0" xfId="0" applyFont="1" applyFill="1" applyAlignment="1">
      <alignment vertical="top"/>
    </xf>
    <xf numFmtId="0" fontId="0" fillId="2" borderId="0" xfId="0" applyFill="1" applyAlignment="1">
      <alignment wrapText="1"/>
    </xf>
    <xf numFmtId="0" fontId="0" fillId="2" borderId="0" xfId="0" applyFill="1" applyAlignment="1">
      <alignment horizontal="right" wrapText="1"/>
    </xf>
    <xf numFmtId="0" fontId="0" fillId="2" borderId="0" xfId="0" applyFill="1" applyAlignment="1">
      <alignment horizontal="center" wrapText="1"/>
    </xf>
    <xf numFmtId="1" fontId="1" fillId="2" borderId="0" xfId="0" applyNumberFormat="1" applyFont="1" applyFill="1"/>
    <xf numFmtId="165" fontId="1" fillId="2" borderId="0" xfId="0" applyNumberFormat="1" applyFont="1" applyFill="1"/>
    <xf numFmtId="1" fontId="7" fillId="2" borderId="0" xfId="0" applyNumberFormat="1" applyFont="1" applyFill="1"/>
    <xf numFmtId="165" fontId="10" fillId="2" borderId="0" xfId="0" applyNumberFormat="1" applyFont="1" applyFill="1"/>
    <xf numFmtId="0" fontId="7" fillId="2" borderId="0" xfId="0" applyFont="1" applyFill="1"/>
    <xf numFmtId="0" fontId="8" fillId="2" borderId="0" xfId="0" applyFont="1" applyFill="1"/>
    <xf numFmtId="0" fontId="5" fillId="2" borderId="0" xfId="0" applyFont="1" applyFill="1"/>
    <xf numFmtId="0" fontId="0" fillId="0" borderId="0" xfId="0" applyAlignment="1"/>
    <xf numFmtId="0" fontId="10" fillId="2" borderId="0" xfId="0" applyFont="1" applyFill="1" applyBorder="1"/>
    <xf numFmtId="0" fontId="13" fillId="2" borderId="0" xfId="1" applyFill="1" applyAlignment="1" applyProtection="1"/>
    <xf numFmtId="0" fontId="14" fillId="2" borderId="0" xfId="0" applyFont="1" applyFill="1"/>
    <xf numFmtId="0" fontId="8" fillId="2" borderId="0" xfId="0" applyFont="1" applyFill="1" applyBorder="1" applyAlignment="1">
      <alignment horizontal="center"/>
    </xf>
    <xf numFmtId="0" fontId="0" fillId="0" borderId="0" xfId="0" applyAlignment="1">
      <alignment horizontal="center"/>
    </xf>
    <xf numFmtId="1" fontId="0" fillId="2" borderId="1" xfId="0" applyNumberFormat="1" applyFill="1" applyBorder="1" applyAlignment="1">
      <alignment horizontal="right"/>
    </xf>
    <xf numFmtId="17" fontId="0" fillId="2" borderId="0" xfId="0" applyNumberFormat="1" applyFill="1" applyBorder="1" applyAlignment="1">
      <alignment horizontal="center"/>
    </xf>
    <xf numFmtId="3" fontId="0" fillId="2" borderId="0" xfId="0" applyNumberFormat="1" applyFill="1" applyBorder="1" applyAlignment="1">
      <alignment horizontal="right"/>
    </xf>
    <xf numFmtId="0" fontId="1" fillId="2" borderId="0" xfId="0" applyFont="1" applyFill="1" applyAlignment="1">
      <alignment horizontal="left" vertical="top"/>
    </xf>
    <xf numFmtId="0" fontId="0" fillId="2" borderId="0" xfId="0" applyFill="1" applyAlignment="1">
      <alignment horizontal="center"/>
    </xf>
    <xf numFmtId="0" fontId="0" fillId="0" borderId="7" xfId="0" applyBorder="1"/>
    <xf numFmtId="0" fontId="16" fillId="3" borderId="0" xfId="0" applyFont="1" applyFill="1"/>
    <xf numFmtId="0" fontId="0" fillId="3" borderId="0" xfId="0" applyFill="1"/>
    <xf numFmtId="0" fontId="0" fillId="0" borderId="0" xfId="0" applyNumberFormat="1"/>
    <xf numFmtId="0" fontId="17" fillId="3" borderId="0" xfId="0" applyFont="1" applyFill="1"/>
    <xf numFmtId="0" fontId="18" fillId="3" borderId="0" xfId="0" applyFont="1" applyFill="1"/>
    <xf numFmtId="0" fontId="19" fillId="3" borderId="0" xfId="0" applyFont="1" applyFill="1"/>
    <xf numFmtId="0" fontId="0" fillId="3" borderId="0" xfId="0" applyFill="1" applyBorder="1"/>
    <xf numFmtId="17" fontId="0" fillId="2" borderId="0" xfId="0" applyNumberFormat="1" applyFill="1" applyBorder="1" applyAlignment="1">
      <alignment horizontal="left"/>
    </xf>
    <xf numFmtId="0" fontId="1" fillId="0" borderId="1" xfId="2" applyBorder="1"/>
    <xf numFmtId="17" fontId="10" fillId="0" borderId="1" xfId="2" applyNumberFormat="1" applyFont="1" applyBorder="1"/>
    <xf numFmtId="0" fontId="10" fillId="0" borderId="1" xfId="2" applyFont="1" applyBorder="1"/>
    <xf numFmtId="3" fontId="1" fillId="0" borderId="1" xfId="2" applyNumberFormat="1" applyFont="1" applyBorder="1" applyAlignment="1">
      <alignment horizontal="right"/>
    </xf>
    <xf numFmtId="0" fontId="22" fillId="0" borderId="0" xfId="2" applyFont="1" applyFill="1" applyBorder="1"/>
    <xf numFmtId="0" fontId="18" fillId="0" borderId="0" xfId="0" applyFont="1"/>
    <xf numFmtId="0" fontId="23" fillId="0" borderId="0" xfId="0" applyFont="1"/>
    <xf numFmtId="3" fontId="0" fillId="0" borderId="0" xfId="0" applyNumberFormat="1"/>
    <xf numFmtId="0" fontId="0" fillId="0" borderId="14" xfId="0" applyBorder="1"/>
    <xf numFmtId="0" fontId="1" fillId="0" borderId="15" xfId="2" applyFill="1" applyBorder="1"/>
    <xf numFmtId="0" fontId="0" fillId="2" borderId="0" xfId="0" applyFill="1" applyAlignment="1">
      <alignment vertical="top" wrapText="1"/>
    </xf>
    <xf numFmtId="0" fontId="1" fillId="2" borderId="1" xfId="0" applyFont="1" applyFill="1" applyBorder="1" applyAlignment="1">
      <alignment horizontal="center"/>
    </xf>
    <xf numFmtId="0" fontId="0" fillId="2" borderId="0" xfId="0" applyFill="1" applyAlignment="1">
      <alignment vertical="top" wrapText="1"/>
    </xf>
    <xf numFmtId="0" fontId="25" fillId="2" borderId="0" xfId="0" applyFont="1" applyFill="1"/>
    <xf numFmtId="14" fontId="26" fillId="3" borderId="0" xfId="0" applyNumberFormat="1" applyFont="1" applyFill="1" applyBorder="1"/>
    <xf numFmtId="0" fontId="0" fillId="3" borderId="0" xfId="0" applyFill="1" applyBorder="1" applyAlignment="1"/>
    <xf numFmtId="0" fontId="27" fillId="3" borderId="0" xfId="0" applyFont="1" applyFill="1" applyBorder="1" applyAlignment="1"/>
    <xf numFmtId="0" fontId="0" fillId="2" borderId="0" xfId="0" applyFill="1" applyBorder="1"/>
    <xf numFmtId="0" fontId="28" fillId="3" borderId="0" xfId="0" applyFont="1" applyFill="1" applyBorder="1" applyAlignment="1">
      <alignment horizontal="center"/>
    </xf>
    <xf numFmtId="0" fontId="10" fillId="2" borderId="16" xfId="0" applyFont="1" applyFill="1" applyBorder="1" applyAlignment="1">
      <alignment horizontal="right" wrapText="1"/>
    </xf>
    <xf numFmtId="0" fontId="10" fillId="2" borderId="16" xfId="0" applyFont="1" applyFill="1" applyBorder="1" applyAlignment="1">
      <alignment horizontal="left"/>
    </xf>
    <xf numFmtId="0" fontId="10" fillId="3" borderId="12" xfId="0" applyFont="1" applyFill="1" applyBorder="1" applyAlignment="1">
      <alignment horizontal="right"/>
    </xf>
    <xf numFmtId="0" fontId="10" fillId="3" borderId="16" xfId="0" applyFont="1" applyFill="1" applyBorder="1" applyAlignment="1">
      <alignment horizontal="right"/>
    </xf>
    <xf numFmtId="2" fontId="10" fillId="2" borderId="2" xfId="0" applyNumberFormat="1" applyFont="1" applyFill="1" applyBorder="1" applyAlignment="1">
      <alignment horizontal="right" wrapText="1"/>
    </xf>
    <xf numFmtId="3" fontId="0" fillId="3" borderId="15" xfId="0" applyNumberFormat="1" applyFill="1" applyBorder="1" applyAlignment="1">
      <alignment horizontal="right"/>
    </xf>
    <xf numFmtId="2" fontId="0" fillId="2" borderId="0" xfId="0" applyNumberFormat="1" applyFill="1" applyBorder="1" applyAlignment="1">
      <alignment horizontal="right"/>
    </xf>
    <xf numFmtId="0" fontId="26" fillId="2" borderId="0" xfId="0" applyFont="1" applyFill="1"/>
    <xf numFmtId="0" fontId="1" fillId="5" borderId="0" xfId="0" applyFont="1" applyFill="1" applyAlignment="1">
      <alignment horizontal="left" vertical="top"/>
    </xf>
    <xf numFmtId="0" fontId="0" fillId="5" borderId="0" xfId="0" applyFill="1" applyAlignment="1"/>
    <xf numFmtId="0" fontId="10" fillId="6" borderId="17" xfId="0" applyFont="1" applyFill="1" applyBorder="1" applyAlignment="1">
      <alignment horizontal="left" vertical="top"/>
    </xf>
    <xf numFmtId="0" fontId="1" fillId="6" borderId="17" xfId="0" applyFont="1" applyFill="1" applyBorder="1" applyAlignment="1">
      <alignment horizontal="left" vertical="top"/>
    </xf>
    <xf numFmtId="0" fontId="0" fillId="6" borderId="17" xfId="0" applyFill="1" applyBorder="1" applyAlignment="1">
      <alignment vertical="top"/>
    </xf>
    <xf numFmtId="0" fontId="1" fillId="5" borderId="9" xfId="0" applyFont="1" applyFill="1" applyBorder="1" applyAlignment="1">
      <alignment horizontal="left" vertical="top" wrapText="1"/>
    </xf>
    <xf numFmtId="0" fontId="1" fillId="5" borderId="9" xfId="0" applyFont="1" applyFill="1" applyBorder="1" applyAlignment="1">
      <alignment horizontal="left" vertical="top"/>
    </xf>
    <xf numFmtId="0" fontId="0" fillId="5" borderId="9" xfId="0" applyFill="1" applyBorder="1" applyAlignment="1">
      <alignment vertical="top"/>
    </xf>
    <xf numFmtId="0" fontId="10" fillId="6" borderId="0" xfId="0" applyFont="1" applyFill="1" applyAlignment="1">
      <alignment horizontal="left" vertical="top"/>
    </xf>
    <xf numFmtId="0" fontId="4" fillId="6" borderId="0" xfId="0" applyFont="1" applyFill="1" applyAlignment="1">
      <alignment horizontal="left"/>
    </xf>
    <xf numFmtId="0" fontId="4" fillId="6" borderId="0" xfId="0" applyFont="1" applyFill="1" applyAlignment="1"/>
    <xf numFmtId="0" fontId="10" fillId="2" borderId="0" xfId="0" applyFont="1" applyFill="1" applyAlignment="1">
      <alignment horizontal="left" vertical="top"/>
    </xf>
    <xf numFmtId="0" fontId="4" fillId="2" borderId="0" xfId="0" applyFont="1" applyFill="1" applyAlignment="1"/>
    <xf numFmtId="17" fontId="9" fillId="2" borderId="0" xfId="0" applyNumberFormat="1" applyFont="1" applyFill="1" applyAlignment="1"/>
    <xf numFmtId="0" fontId="1" fillId="2" borderId="0" xfId="0" applyFont="1" applyFill="1" applyAlignment="1"/>
    <xf numFmtId="0" fontId="14" fillId="2" borderId="0" xfId="0" applyFont="1" applyFill="1" applyBorder="1" applyAlignment="1">
      <alignment horizontal="center"/>
    </xf>
    <xf numFmtId="2" fontId="0" fillId="2" borderId="0" xfId="0" applyNumberFormat="1" applyFill="1" applyAlignment="1">
      <alignment wrapText="1"/>
    </xf>
    <xf numFmtId="2" fontId="0" fillId="2" borderId="0" xfId="0" applyNumberFormat="1" applyFill="1" applyAlignment="1">
      <alignment horizontal="right"/>
    </xf>
    <xf numFmtId="3" fontId="0" fillId="3" borderId="14" xfId="0" applyNumberFormat="1" applyFill="1" applyBorder="1" applyAlignment="1">
      <alignment horizontal="right"/>
    </xf>
    <xf numFmtId="14" fontId="3" fillId="3" borderId="0" xfId="0" applyNumberFormat="1" applyFont="1" applyFill="1" applyBorder="1"/>
    <xf numFmtId="0" fontId="0" fillId="3" borderId="0" xfId="0" applyFill="1" applyAlignment="1"/>
    <xf numFmtId="0" fontId="30" fillId="2" borderId="0" xfId="0" applyFont="1" applyFill="1"/>
    <xf numFmtId="0" fontId="14" fillId="2" borderId="0" xfId="0" applyFont="1" applyFill="1" applyBorder="1"/>
    <xf numFmtId="0" fontId="14" fillId="0" borderId="0" xfId="2" applyFont="1" applyBorder="1"/>
    <xf numFmtId="0" fontId="31" fillId="0" borderId="0" xfId="0" applyFont="1"/>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0" fillId="3" borderId="0" xfId="0" applyFill="1" applyBorder="1" applyAlignment="1">
      <alignment horizontal="right"/>
    </xf>
    <xf numFmtId="0" fontId="1" fillId="3" borderId="0" xfId="0" applyFont="1" applyFill="1" applyBorder="1" applyAlignment="1">
      <alignment horizontal="right"/>
    </xf>
    <xf numFmtId="0" fontId="0" fillId="3" borderId="0" xfId="0" applyFont="1" applyFill="1" applyBorder="1" applyAlignment="1">
      <alignment horizontal="right"/>
    </xf>
    <xf numFmtId="0" fontId="32" fillId="0" borderId="0" xfId="0" applyFont="1"/>
    <xf numFmtId="0" fontId="0" fillId="2" borderId="0" xfId="0" quotePrefix="1" applyFill="1" applyAlignment="1">
      <alignment vertical="top" wrapText="1"/>
    </xf>
    <xf numFmtId="0" fontId="10" fillId="2" borderId="3" xfId="0" applyFont="1" applyFill="1" applyBorder="1" applyAlignment="1">
      <alignment horizontal="center" vertical="center" wrapText="1"/>
    </xf>
    <xf numFmtId="3" fontId="0" fillId="3" borderId="3" xfId="0" applyNumberFormat="1" applyFill="1" applyBorder="1" applyAlignment="1">
      <alignment horizontal="right"/>
    </xf>
    <xf numFmtId="0" fontId="4" fillId="2" borderId="0" xfId="0" applyFont="1" applyFill="1" applyBorder="1"/>
    <xf numFmtId="0" fontId="24" fillId="3" borderId="0" xfId="0" applyFont="1" applyFill="1" applyBorder="1"/>
    <xf numFmtId="0" fontId="34" fillId="2" borderId="0" xfId="0" applyFont="1" applyFill="1"/>
    <xf numFmtId="0" fontId="0" fillId="0" borderId="15" xfId="0" applyFill="1" applyBorder="1"/>
    <xf numFmtId="0" fontId="10" fillId="3" borderId="11" xfId="0" applyFont="1" applyFill="1" applyBorder="1" applyAlignment="1">
      <alignment horizontal="right"/>
    </xf>
    <xf numFmtId="0" fontId="24" fillId="2" borderId="0" xfId="0" applyFont="1" applyFill="1"/>
    <xf numFmtId="0" fontId="34" fillId="3" borderId="0" xfId="0" applyFont="1" applyFill="1" applyBorder="1"/>
    <xf numFmtId="17" fontId="34" fillId="3" borderId="0" xfId="0" applyNumberFormat="1" applyFont="1" applyFill="1" applyBorder="1" applyAlignment="1">
      <alignment horizontal="center"/>
    </xf>
    <xf numFmtId="0" fontId="34" fillId="2" borderId="0" xfId="0" applyFont="1" applyFill="1" applyBorder="1"/>
    <xf numFmtId="168" fontId="1" fillId="3" borderId="0" xfId="3" applyNumberFormat="1" applyFont="1" applyFill="1" applyBorder="1"/>
    <xf numFmtId="0" fontId="34" fillId="3" borderId="0" xfId="0" applyFont="1" applyFill="1" applyBorder="1" applyAlignment="1">
      <alignment horizontal="right"/>
    </xf>
    <xf numFmtId="0" fontId="10" fillId="3" borderId="0" xfId="2" applyFont="1" applyFill="1" applyBorder="1"/>
    <xf numFmtId="3" fontId="10" fillId="3" borderId="0" xfId="4" applyNumberFormat="1" applyFont="1" applyFill="1" applyBorder="1"/>
    <xf numFmtId="0" fontId="1" fillId="3" borderId="0" xfId="0" applyFont="1" applyFill="1" applyBorder="1"/>
    <xf numFmtId="3" fontId="34" fillId="3" borderId="0" xfId="0" applyNumberFormat="1" applyFont="1" applyFill="1" applyBorder="1"/>
    <xf numFmtId="4" fontId="1" fillId="3" borderId="15" xfId="0" applyNumberFormat="1" applyFont="1" applyFill="1" applyBorder="1" applyAlignment="1">
      <alignment horizontal="right"/>
    </xf>
    <xf numFmtId="3" fontId="34" fillId="3" borderId="0" xfId="0" applyNumberFormat="1" applyFont="1" applyFill="1"/>
    <xf numFmtId="0" fontId="34" fillId="3" borderId="0" xfId="0" applyFont="1" applyFill="1"/>
    <xf numFmtId="0" fontId="10" fillId="0" borderId="9" xfId="0" applyFont="1" applyBorder="1" applyAlignment="1">
      <alignment horizontal="center" vertical="center"/>
    </xf>
    <xf numFmtId="0" fontId="1" fillId="2" borderId="0" xfId="5" applyFont="1" applyFill="1" applyBorder="1"/>
    <xf numFmtId="0" fontId="1" fillId="2" borderId="0" xfId="5" applyFont="1" applyFill="1"/>
    <xf numFmtId="17" fontId="1" fillId="2" borderId="0" xfId="5" applyNumberFormat="1" applyFont="1" applyFill="1" applyBorder="1" applyAlignment="1">
      <alignment horizontal="center" wrapText="1"/>
    </xf>
    <xf numFmtId="0" fontId="1" fillId="2" borderId="0" xfId="5" applyFont="1" applyFill="1" applyAlignment="1">
      <alignment horizontal="center"/>
    </xf>
    <xf numFmtId="3" fontId="10" fillId="2" borderId="0" xfId="5" applyNumberFormat="1" applyFont="1" applyFill="1" applyBorder="1" applyAlignment="1">
      <alignment horizontal="right"/>
    </xf>
    <xf numFmtId="3" fontId="1" fillId="2" borderId="0" xfId="5" applyNumberFormat="1" applyFont="1" applyFill="1" applyBorder="1"/>
    <xf numFmtId="3" fontId="1" fillId="2" borderId="0" xfId="5" applyNumberFormat="1" applyFont="1" applyFill="1" applyBorder="1" applyAlignment="1">
      <alignment horizontal="right"/>
    </xf>
    <xf numFmtId="0" fontId="1" fillId="0" borderId="0" xfId="5" applyBorder="1"/>
    <xf numFmtId="0" fontId="11" fillId="2" borderId="0" xfId="5" applyFont="1" applyFill="1" applyBorder="1" applyAlignment="1"/>
    <xf numFmtId="166" fontId="10" fillId="2" borderId="0" xfId="5" applyNumberFormat="1" applyFont="1" applyFill="1" applyBorder="1"/>
    <xf numFmtId="166" fontId="1" fillId="2" borderId="0" xfId="5" applyNumberFormat="1" applyFont="1" applyFill="1" applyBorder="1"/>
    <xf numFmtId="166" fontId="1" fillId="2" borderId="0" xfId="5" applyNumberFormat="1" applyFont="1" applyFill="1" applyBorder="1" applyAlignment="1">
      <alignment horizontal="right"/>
    </xf>
    <xf numFmtId="0" fontId="0" fillId="2" borderId="0" xfId="0" applyFill="1" applyAlignment="1">
      <alignment vertical="top" wrapText="1"/>
    </xf>
    <xf numFmtId="17" fontId="1" fillId="2" borderId="1" xfId="5" applyNumberFormat="1" applyFont="1" applyFill="1" applyBorder="1" applyAlignment="1">
      <alignment horizontal="center" wrapText="1"/>
    </xf>
    <xf numFmtId="17" fontId="1" fillId="2" borderId="0" xfId="5" applyNumberFormat="1" applyFont="1" applyFill="1" applyBorder="1" applyAlignment="1">
      <alignment horizontal="center" wrapText="1"/>
    </xf>
    <xf numFmtId="0" fontId="2" fillId="0" borderId="0" xfId="0" applyFont="1"/>
    <xf numFmtId="3" fontId="10" fillId="2" borderId="13" xfId="0" applyNumberFormat="1" applyFont="1" applyFill="1" applyBorder="1"/>
    <xf numFmtId="4" fontId="1" fillId="3" borderId="0" xfId="0" applyNumberFormat="1" applyFont="1" applyFill="1" applyBorder="1" applyAlignment="1">
      <alignment horizontal="right"/>
    </xf>
    <xf numFmtId="168" fontId="1" fillId="8" borderId="19" xfId="3" applyNumberFormat="1" applyFont="1" applyFill="1" applyBorder="1"/>
    <xf numFmtId="0" fontId="1" fillId="2" borderId="1" xfId="0" applyFont="1" applyFill="1" applyBorder="1" applyAlignment="1">
      <alignment horizontal="center"/>
    </xf>
    <xf numFmtId="3" fontId="0" fillId="2" borderId="0" xfId="0" applyNumberFormat="1" applyFill="1"/>
    <xf numFmtId="0" fontId="10" fillId="3" borderId="0" xfId="0" applyFont="1" applyFill="1" applyBorder="1" applyAlignment="1">
      <alignment horizontal="right"/>
    </xf>
    <xf numFmtId="0" fontId="10" fillId="3" borderId="2" xfId="0" applyFont="1" applyFill="1" applyBorder="1" applyAlignment="1">
      <alignment horizontal="right"/>
    </xf>
    <xf numFmtId="0" fontId="1" fillId="3" borderId="0" xfId="5" applyFill="1" applyBorder="1"/>
    <xf numFmtId="0" fontId="1" fillId="3" borderId="0" xfId="5" applyFont="1" applyFill="1" applyBorder="1"/>
    <xf numFmtId="0" fontId="0" fillId="3" borderId="1" xfId="0" applyFill="1" applyBorder="1" applyAlignment="1">
      <alignment horizontal="center"/>
    </xf>
    <xf numFmtId="165" fontId="15" fillId="3" borderId="1" xfId="0" applyNumberFormat="1" applyFont="1" applyFill="1" applyBorder="1" applyAlignment="1">
      <alignment horizontal="right"/>
    </xf>
    <xf numFmtId="3" fontId="1" fillId="2" borderId="1" xfId="0" applyNumberFormat="1" applyFont="1" applyFill="1" applyBorder="1" applyAlignment="1">
      <alignment horizontal="right"/>
    </xf>
    <xf numFmtId="165" fontId="1" fillId="2" borderId="1" xfId="0" applyNumberFormat="1" applyFont="1" applyFill="1" applyBorder="1" applyAlignment="1">
      <alignment horizontal="right"/>
    </xf>
    <xf numFmtId="0" fontId="0" fillId="2" borderId="1" xfId="0" applyFill="1" applyBorder="1"/>
    <xf numFmtId="17" fontId="0" fillId="3" borderId="1" xfId="0" applyNumberFormat="1" applyFill="1" applyBorder="1" applyAlignment="1">
      <alignment horizontal="center"/>
    </xf>
    <xf numFmtId="3" fontId="1" fillId="2" borderId="1" xfId="0" applyNumberFormat="1" applyFont="1" applyFill="1" applyBorder="1"/>
    <xf numFmtId="1" fontId="0" fillId="2" borderId="1" xfId="0" applyNumberFormat="1" applyFont="1" applyFill="1" applyBorder="1" applyAlignment="1">
      <alignment horizontal="right"/>
    </xf>
    <xf numFmtId="0" fontId="10" fillId="3" borderId="17" xfId="0" applyFont="1" applyFill="1" applyBorder="1" applyAlignment="1">
      <alignment horizontal="right"/>
    </xf>
    <xf numFmtId="0" fontId="10" fillId="3" borderId="14" xfId="0" applyFont="1" applyFill="1" applyBorder="1" applyAlignment="1">
      <alignment horizontal="right"/>
    </xf>
    <xf numFmtId="0" fontId="1" fillId="2" borderId="1" xfId="0" applyFont="1" applyFill="1" applyBorder="1"/>
    <xf numFmtId="0" fontId="35" fillId="0" borderId="0" xfId="0" applyFont="1"/>
    <xf numFmtId="3" fontId="1" fillId="0" borderId="0" xfId="6" applyNumberFormat="1" applyFont="1" applyFill="1" applyAlignment="1">
      <alignment horizontal="left"/>
    </xf>
    <xf numFmtId="3" fontId="1" fillId="0" borderId="0" xfId="4" applyNumberFormat="1" applyFont="1" applyFill="1"/>
    <xf numFmtId="3" fontId="1" fillId="0" borderId="0" xfId="6" applyNumberFormat="1" applyFont="1" applyFill="1" applyAlignment="1">
      <alignment horizontal="left" wrapText="1"/>
    </xf>
    <xf numFmtId="3" fontId="1" fillId="0" borderId="0" xfId="6" applyNumberFormat="1" applyFont="1" applyFill="1" applyBorder="1" applyAlignment="1">
      <alignment horizontal="left"/>
    </xf>
    <xf numFmtId="0" fontId="1" fillId="3" borderId="0" xfId="5" applyFont="1" applyFill="1"/>
    <xf numFmtId="3" fontId="0" fillId="3" borderId="0" xfId="0" applyNumberFormat="1" applyFill="1" applyBorder="1" applyAlignment="1">
      <alignment horizontal="right"/>
    </xf>
    <xf numFmtId="0" fontId="36" fillId="0" borderId="0" xfId="0" applyFont="1" applyAlignment="1">
      <alignment horizontal="left" vertical="center" indent="3"/>
    </xf>
    <xf numFmtId="0" fontId="37" fillId="0" borderId="0" xfId="0" applyFont="1" applyAlignment="1">
      <alignment horizontal="left" vertical="center" indent="3"/>
    </xf>
    <xf numFmtId="0" fontId="38" fillId="0" borderId="0" xfId="0" applyFont="1"/>
    <xf numFmtId="0" fontId="37" fillId="0" borderId="0" xfId="0" applyFont="1" applyAlignment="1">
      <alignment vertical="center"/>
    </xf>
    <xf numFmtId="0" fontId="27" fillId="0" borderId="0" xfId="0" applyFont="1" applyAlignment="1">
      <alignment vertical="center"/>
    </xf>
    <xf numFmtId="0" fontId="37" fillId="0" borderId="0" xfId="0" applyFont="1" applyAlignment="1"/>
    <xf numFmtId="0" fontId="37" fillId="0" borderId="0" xfId="0" applyFont="1" applyAlignment="1">
      <alignment horizontal="left" vertical="center"/>
    </xf>
    <xf numFmtId="0" fontId="39" fillId="0" borderId="0" xfId="0" applyFont="1"/>
    <xf numFmtId="0" fontId="27" fillId="0" borderId="0" xfId="0" applyFont="1" applyAlignment="1">
      <alignment vertical="top"/>
    </xf>
    <xf numFmtId="0" fontId="40" fillId="9" borderId="18" xfId="2" applyFont="1" applyFill="1" applyBorder="1" applyAlignment="1">
      <alignment horizontal="center"/>
    </xf>
    <xf numFmtId="0" fontId="40" fillId="9" borderId="3" xfId="2" applyFont="1" applyFill="1" applyBorder="1" applyAlignment="1">
      <alignment horizontal="center"/>
    </xf>
    <xf numFmtId="0" fontId="1" fillId="0" borderId="0" xfId="2"/>
    <xf numFmtId="0" fontId="13" fillId="3" borderId="2" xfId="1" applyFill="1" applyBorder="1" applyAlignment="1" applyProtection="1">
      <alignment horizontal="center"/>
    </xf>
    <xf numFmtId="0" fontId="41" fillId="3" borderId="1" xfId="2" applyFont="1" applyFill="1" applyBorder="1" applyAlignment="1">
      <alignment horizontal="left"/>
    </xf>
    <xf numFmtId="0" fontId="13" fillId="3" borderId="18" xfId="1" applyFill="1" applyBorder="1" applyAlignment="1" applyProtection="1">
      <alignment horizontal="center"/>
    </xf>
    <xf numFmtId="0" fontId="41" fillId="3" borderId="1" xfId="2" applyFont="1" applyFill="1" applyBorder="1" applyAlignment="1"/>
    <xf numFmtId="0" fontId="41" fillId="3" borderId="15" xfId="2" applyFont="1" applyFill="1" applyBorder="1" applyAlignment="1">
      <alignment horizontal="left"/>
    </xf>
    <xf numFmtId="0" fontId="13" fillId="3" borderId="14" xfId="1" applyFill="1" applyBorder="1" applyAlignment="1" applyProtection="1">
      <alignment horizontal="center"/>
    </xf>
    <xf numFmtId="0" fontId="13" fillId="3" borderId="1" xfId="1" applyFill="1" applyBorder="1" applyAlignment="1" applyProtection="1">
      <alignment horizontal="center"/>
    </xf>
    <xf numFmtId="0" fontId="13" fillId="0" borderId="1" xfId="1" applyBorder="1" applyAlignment="1" applyProtection="1">
      <alignment horizontal="center"/>
    </xf>
    <xf numFmtId="0" fontId="42" fillId="3" borderId="0" xfId="7" applyFont="1" applyFill="1" applyBorder="1" applyAlignment="1" applyProtection="1">
      <alignment horizontal="center"/>
    </xf>
    <xf numFmtId="0" fontId="41" fillId="3" borderId="0" xfId="2" applyFont="1" applyFill="1" applyBorder="1" applyAlignment="1">
      <alignment horizontal="left"/>
    </xf>
    <xf numFmtId="0" fontId="37" fillId="0" borderId="0" xfId="0" applyFont="1"/>
    <xf numFmtId="0" fontId="43" fillId="0" borderId="0" xfId="0" applyFont="1" applyAlignment="1">
      <alignment vertical="center"/>
    </xf>
    <xf numFmtId="0" fontId="44" fillId="3" borderId="0" xfId="0" applyFont="1" applyFill="1"/>
    <xf numFmtId="0" fontId="43" fillId="0" borderId="0" xfId="0" applyFont="1"/>
    <xf numFmtId="0" fontId="13" fillId="0" borderId="0" xfId="1" applyAlignment="1" applyProtection="1"/>
    <xf numFmtId="0" fontId="12" fillId="2" borderId="0" xfId="0" applyFont="1" applyFill="1" applyBorder="1" applyAlignment="1">
      <alignment vertical="center"/>
    </xf>
    <xf numFmtId="0" fontId="3" fillId="3" borderId="0" xfId="0" applyFont="1" applyFill="1" applyAlignment="1">
      <alignment horizontal="left"/>
    </xf>
    <xf numFmtId="0" fontId="45" fillId="3" borderId="0" xfId="0" applyFont="1" applyFill="1"/>
    <xf numFmtId="0" fontId="3" fillId="3" borderId="0" xfId="0" applyFont="1" applyFill="1"/>
    <xf numFmtId="0" fontId="3" fillId="2" borderId="0" xfId="0" applyFont="1" applyFill="1" applyAlignment="1">
      <alignment horizontal="left"/>
    </xf>
    <xf numFmtId="0" fontId="3" fillId="2" borderId="0" xfId="5" applyFont="1" applyFill="1" applyAlignment="1">
      <alignment horizontal="left"/>
    </xf>
    <xf numFmtId="0" fontId="1" fillId="2" borderId="0" xfId="5" applyFill="1"/>
    <xf numFmtId="0" fontId="45" fillId="3" borderId="0" xfId="5" applyFont="1" applyFill="1"/>
    <xf numFmtId="14" fontId="3" fillId="2" borderId="0" xfId="5" applyNumberFormat="1" applyFont="1" applyFill="1" applyBorder="1"/>
    <xf numFmtId="0" fontId="1" fillId="0" borderId="0" xfId="5" applyAlignment="1"/>
    <xf numFmtId="14" fontId="3" fillId="2" borderId="0" xfId="5" applyNumberFormat="1" applyFont="1" applyFill="1" applyBorder="1" applyAlignment="1">
      <alignment wrapText="1"/>
    </xf>
    <xf numFmtId="14" fontId="3" fillId="2" borderId="0" xfId="0" applyNumberFormat="1" applyFont="1" applyFill="1" applyBorder="1" applyAlignment="1">
      <alignment horizontal="left" wrapText="1"/>
    </xf>
    <xf numFmtId="0" fontId="46" fillId="0" borderId="0" xfId="0" applyFont="1" applyAlignment="1">
      <alignment horizontal="left" vertical="center" indent="3"/>
    </xf>
    <xf numFmtId="0" fontId="37" fillId="0" borderId="0" xfId="0" applyFont="1" applyAlignment="1">
      <alignment horizontal="left"/>
    </xf>
    <xf numFmtId="0" fontId="38" fillId="3" borderId="0" xfId="0" applyFont="1" applyFill="1"/>
    <xf numFmtId="0" fontId="27" fillId="3" borderId="3" xfId="2" applyFont="1" applyFill="1" applyBorder="1" applyAlignment="1">
      <alignment horizontal="left"/>
    </xf>
    <xf numFmtId="0" fontId="10" fillId="2" borderId="1" xfId="0" applyFont="1" applyFill="1" applyBorder="1" applyAlignment="1">
      <alignment horizontal="right"/>
    </xf>
    <xf numFmtId="0" fontId="13" fillId="0" borderId="0" xfId="1" applyFont="1" applyAlignment="1" applyProtection="1"/>
    <xf numFmtId="0" fontId="27" fillId="0" borderId="0" xfId="0" applyFont="1"/>
    <xf numFmtId="169" fontId="1" fillId="2" borderId="0" xfId="5" applyNumberFormat="1" applyFont="1" applyFill="1" applyBorder="1"/>
    <xf numFmtId="0" fontId="2" fillId="2" borderId="0" xfId="0" applyFont="1" applyFill="1"/>
    <xf numFmtId="0" fontId="1" fillId="0" borderId="0" xfId="5" applyBorder="1" applyAlignment="1"/>
    <xf numFmtId="14" fontId="3" fillId="3" borderId="0" xfId="0" applyNumberFormat="1" applyFont="1" applyFill="1" applyBorder="1" applyAlignment="1">
      <alignment horizontal="left" wrapText="1"/>
    </xf>
    <xf numFmtId="0" fontId="13" fillId="3" borderId="0" xfId="1" applyFill="1" applyAlignment="1" applyProtection="1"/>
    <xf numFmtId="17" fontId="1" fillId="3" borderId="1" xfId="5" applyNumberFormat="1" applyFont="1" applyFill="1" applyBorder="1" applyAlignment="1">
      <alignment horizontal="center" wrapText="1"/>
    </xf>
    <xf numFmtId="17" fontId="1" fillId="3" borderId="0" xfId="5" applyNumberFormat="1" applyFont="1" applyFill="1" applyBorder="1" applyAlignment="1">
      <alignment horizontal="center" wrapText="1"/>
    </xf>
    <xf numFmtId="17" fontId="1" fillId="3" borderId="0" xfId="5" applyNumberFormat="1" applyFont="1" applyFill="1" applyBorder="1" applyAlignment="1">
      <alignment wrapText="1"/>
    </xf>
    <xf numFmtId="0" fontId="11" fillId="3" borderId="0" xfId="5" applyFont="1" applyFill="1" applyBorder="1" applyAlignment="1"/>
    <xf numFmtId="17" fontId="1" fillId="3" borderId="15" xfId="5" applyNumberFormat="1" applyFont="1" applyFill="1" applyBorder="1" applyAlignment="1">
      <alignment horizontal="center" wrapText="1"/>
    </xf>
    <xf numFmtId="1" fontId="0" fillId="2" borderId="15" xfId="0" applyNumberFormat="1" applyFill="1" applyBorder="1" applyAlignment="1" applyProtection="1">
      <alignment horizontal="right"/>
      <protection hidden="1"/>
    </xf>
    <xf numFmtId="0" fontId="10" fillId="2" borderId="0" xfId="5" applyFont="1" applyFill="1" applyBorder="1" applyProtection="1">
      <protection hidden="1"/>
    </xf>
    <xf numFmtId="0" fontId="1" fillId="2" borderId="0" xfId="5" applyFont="1" applyFill="1" applyAlignment="1" applyProtection="1">
      <alignment horizontal="right"/>
      <protection hidden="1"/>
    </xf>
    <xf numFmtId="0" fontId="1" fillId="2" borderId="0" xfId="5" applyFont="1" applyFill="1" applyBorder="1" applyProtection="1">
      <protection hidden="1"/>
    </xf>
    <xf numFmtId="0" fontId="1" fillId="2" borderId="0" xfId="5" applyFont="1" applyFill="1" applyProtection="1">
      <protection hidden="1"/>
    </xf>
    <xf numFmtId="0" fontId="11" fillId="2" borderId="0" xfId="5" applyFont="1" applyFill="1" applyBorder="1" applyAlignment="1" applyProtection="1">
      <protection hidden="1"/>
    </xf>
    <xf numFmtId="17" fontId="1" fillId="2" borderId="1" xfId="5" applyNumberFormat="1" applyFont="1" applyFill="1" applyBorder="1" applyAlignment="1" applyProtection="1">
      <alignment horizontal="center" wrapText="1"/>
      <protection hidden="1"/>
    </xf>
    <xf numFmtId="171" fontId="1" fillId="2" borderId="0" xfId="5" applyNumberFormat="1" applyFont="1" applyFill="1" applyBorder="1" applyProtection="1">
      <protection hidden="1"/>
    </xf>
    <xf numFmtId="171" fontId="1" fillId="2" borderId="0" xfId="5" applyNumberFormat="1" applyFont="1" applyFill="1" applyProtection="1">
      <protection hidden="1"/>
    </xf>
    <xf numFmtId="3" fontId="1" fillId="3" borderId="15" xfId="5" applyNumberFormat="1" applyFont="1" applyFill="1" applyBorder="1" applyAlignment="1" applyProtection="1">
      <alignment horizontal="right"/>
      <protection hidden="1"/>
    </xf>
    <xf numFmtId="3" fontId="1" fillId="3" borderId="0" xfId="5" applyNumberFormat="1" applyFont="1" applyFill="1" applyBorder="1" applyAlignment="1" applyProtection="1">
      <alignment horizontal="right"/>
      <protection hidden="1"/>
    </xf>
    <xf numFmtId="0" fontId="0" fillId="3" borderId="0" xfId="0" applyFill="1" applyProtection="1">
      <protection hidden="1"/>
    </xf>
    <xf numFmtId="0" fontId="0" fillId="3" borderId="0" xfId="0" applyFill="1" applyBorder="1" applyProtection="1">
      <protection hidden="1"/>
    </xf>
    <xf numFmtId="0" fontId="11" fillId="3" borderId="0" xfId="5" applyFont="1" applyFill="1" applyBorder="1" applyAlignment="1" applyProtection="1">
      <protection hidden="1"/>
    </xf>
    <xf numFmtId="17" fontId="1" fillId="3" borderId="1" xfId="5" applyNumberFormat="1" applyFont="1" applyFill="1" applyBorder="1" applyAlignment="1" applyProtection="1">
      <alignment horizontal="center" wrapText="1"/>
      <protection hidden="1"/>
    </xf>
    <xf numFmtId="17" fontId="1" fillId="3" borderId="15" xfId="5" applyNumberFormat="1" applyFont="1" applyFill="1" applyBorder="1" applyAlignment="1" applyProtection="1">
      <alignment horizontal="center" wrapText="1"/>
      <protection hidden="1"/>
    </xf>
    <xf numFmtId="17" fontId="1" fillId="3" borderId="10" xfId="5" applyNumberFormat="1" applyFont="1" applyFill="1" applyBorder="1" applyAlignment="1" applyProtection="1">
      <alignment horizontal="center" wrapText="1"/>
      <protection hidden="1"/>
    </xf>
    <xf numFmtId="0" fontId="0" fillId="3" borderId="15" xfId="0" applyFill="1" applyBorder="1" applyProtection="1">
      <protection hidden="1"/>
    </xf>
    <xf numFmtId="17" fontId="1" fillId="3" borderId="15" xfId="5" applyNumberFormat="1" applyFont="1" applyFill="1" applyBorder="1" applyAlignment="1" applyProtection="1">
      <alignment wrapText="1"/>
      <protection hidden="1"/>
    </xf>
    <xf numFmtId="166" fontId="1" fillId="3" borderId="15" xfId="5" applyNumberFormat="1" applyFont="1" applyFill="1" applyBorder="1" applyProtection="1">
      <protection hidden="1"/>
    </xf>
    <xf numFmtId="170" fontId="1" fillId="3" borderId="15" xfId="5" applyNumberFormat="1" applyFont="1" applyFill="1" applyBorder="1" applyProtection="1">
      <protection hidden="1"/>
    </xf>
    <xf numFmtId="3" fontId="1" fillId="2" borderId="0" xfId="5" applyNumberFormat="1" applyFont="1" applyFill="1" applyBorder="1" applyAlignment="1" applyProtection="1">
      <alignment horizontal="right"/>
      <protection hidden="1"/>
    </xf>
    <xf numFmtId="0" fontId="34" fillId="0" borderId="0" xfId="0" applyFont="1" applyAlignment="1">
      <alignment vertical="center"/>
    </xf>
    <xf numFmtId="17" fontId="1" fillId="2" borderId="10" xfId="5" applyNumberFormat="1" applyFont="1" applyFill="1" applyBorder="1" applyAlignment="1">
      <alignment horizontal="center" wrapText="1"/>
    </xf>
    <xf numFmtId="17" fontId="1" fillId="3" borderId="10" xfId="5" applyNumberFormat="1" applyFont="1" applyFill="1" applyBorder="1" applyAlignment="1">
      <alignment horizontal="center" wrapText="1"/>
    </xf>
    <xf numFmtId="0" fontId="0" fillId="3" borderId="4" xfId="0" applyFill="1" applyBorder="1" applyAlignment="1" applyProtection="1">
      <alignment horizontal="center"/>
      <protection hidden="1"/>
    </xf>
    <xf numFmtId="0" fontId="0" fillId="3" borderId="3" xfId="0" applyFill="1" applyBorder="1" applyAlignment="1" applyProtection="1">
      <alignment horizontal="center"/>
      <protection hidden="1"/>
    </xf>
    <xf numFmtId="0" fontId="0" fillId="3" borderId="15" xfId="0" applyFill="1" applyBorder="1" applyAlignment="1" applyProtection="1">
      <alignment horizontal="center"/>
      <protection hidden="1"/>
    </xf>
    <xf numFmtId="165" fontId="15" fillId="3" borderId="20" xfId="0" applyNumberFormat="1" applyFont="1" applyFill="1" applyBorder="1" applyAlignment="1" applyProtection="1">
      <alignment horizontal="right"/>
      <protection hidden="1"/>
    </xf>
    <xf numFmtId="165" fontId="15" fillId="3" borderId="13" xfId="0" applyNumberFormat="1" applyFont="1" applyFill="1" applyBorder="1" applyAlignment="1" applyProtection="1">
      <alignment horizontal="right"/>
      <protection hidden="1"/>
    </xf>
    <xf numFmtId="165" fontId="15" fillId="3" borderId="11" xfId="0" applyNumberFormat="1" applyFont="1" applyFill="1" applyBorder="1" applyAlignment="1" applyProtection="1">
      <alignment horizontal="right"/>
      <protection hidden="1"/>
    </xf>
    <xf numFmtId="3" fontId="0" fillId="2" borderId="3" xfId="0" applyNumberFormat="1" applyFill="1" applyBorder="1" applyAlignment="1" applyProtection="1">
      <alignment horizontal="right"/>
      <protection hidden="1"/>
    </xf>
    <xf numFmtId="3" fontId="0" fillId="2" borderId="15" xfId="0" applyNumberFormat="1" applyFill="1" applyBorder="1" applyAlignment="1" applyProtection="1">
      <alignment horizontal="right"/>
      <protection hidden="1"/>
    </xf>
    <xf numFmtId="3" fontId="0" fillId="2" borderId="4" xfId="0" applyNumberFormat="1" applyFill="1" applyBorder="1" applyAlignment="1" applyProtection="1">
      <alignment horizontal="right"/>
      <protection hidden="1"/>
    </xf>
    <xf numFmtId="165" fontId="15" fillId="3" borderId="3" xfId="0" applyNumberFormat="1" applyFont="1" applyFill="1" applyBorder="1" applyAlignment="1" applyProtection="1">
      <alignment horizontal="right"/>
      <protection hidden="1"/>
    </xf>
    <xf numFmtId="165" fontId="15" fillId="3" borderId="15" xfId="0" applyNumberFormat="1" applyFont="1" applyFill="1" applyBorder="1" applyAlignment="1" applyProtection="1">
      <alignment horizontal="right"/>
      <protection hidden="1"/>
    </xf>
    <xf numFmtId="165" fontId="15" fillId="3" borderId="4" xfId="0" applyNumberFormat="1" applyFont="1" applyFill="1" applyBorder="1" applyAlignment="1" applyProtection="1">
      <alignment horizontal="right"/>
      <protection hidden="1"/>
    </xf>
    <xf numFmtId="0" fontId="10" fillId="2" borderId="15" xfId="0" applyFont="1" applyFill="1" applyBorder="1" applyProtection="1">
      <protection hidden="1"/>
    </xf>
    <xf numFmtId="0" fontId="1" fillId="2" borderId="15" xfId="0" applyFont="1" applyFill="1" applyBorder="1" applyAlignment="1" applyProtection="1">
      <alignment horizontal="center"/>
      <protection hidden="1"/>
    </xf>
    <xf numFmtId="0" fontId="1" fillId="2" borderId="4" xfId="0" applyFont="1" applyFill="1" applyBorder="1" applyAlignment="1" applyProtection="1">
      <alignment horizontal="center"/>
      <protection hidden="1"/>
    </xf>
    <xf numFmtId="3" fontId="1" fillId="2" borderId="15" xfId="0" applyNumberFormat="1" applyFont="1" applyFill="1" applyBorder="1" applyAlignment="1" applyProtection="1">
      <alignment horizontal="right"/>
      <protection hidden="1"/>
    </xf>
    <xf numFmtId="3" fontId="1" fillId="2" borderId="4" xfId="0" applyNumberFormat="1" applyFont="1" applyFill="1" applyBorder="1" applyAlignment="1" applyProtection="1">
      <alignment horizontal="right"/>
      <protection hidden="1"/>
    </xf>
    <xf numFmtId="17" fontId="1" fillId="2" borderId="15" xfId="0" applyNumberFormat="1" applyFont="1" applyFill="1" applyBorder="1" applyProtection="1">
      <protection hidden="1"/>
    </xf>
    <xf numFmtId="165" fontId="1" fillId="2" borderId="15" xfId="0" applyNumberFormat="1" applyFont="1" applyFill="1" applyBorder="1" applyAlignment="1" applyProtection="1">
      <alignment horizontal="right"/>
      <protection hidden="1"/>
    </xf>
    <xf numFmtId="165" fontId="1" fillId="2" borderId="4" xfId="0" applyNumberFormat="1" applyFont="1" applyFill="1" applyBorder="1" applyAlignment="1" applyProtection="1">
      <alignment horizontal="right"/>
      <protection hidden="1"/>
    </xf>
    <xf numFmtId="0" fontId="0" fillId="2" borderId="15" xfId="0" applyFill="1" applyBorder="1" applyProtection="1">
      <protection hidden="1"/>
    </xf>
    <xf numFmtId="0" fontId="10" fillId="3" borderId="13" xfId="0" applyFont="1" applyFill="1" applyBorder="1" applyAlignment="1">
      <alignment horizontal="right"/>
    </xf>
    <xf numFmtId="0" fontId="10" fillId="0" borderId="17" xfId="0" applyFont="1" applyBorder="1" applyAlignment="1">
      <alignment horizontal="center" vertical="center"/>
    </xf>
    <xf numFmtId="0" fontId="10" fillId="0" borderId="17" xfId="0" applyFont="1" applyBorder="1" applyAlignment="1">
      <alignment horizontal="center"/>
    </xf>
    <xf numFmtId="2" fontId="10" fillId="2" borderId="18" xfId="0" applyNumberFormat="1" applyFont="1" applyFill="1" applyBorder="1" applyAlignment="1">
      <alignment horizontal="right" wrapText="1"/>
    </xf>
    <xf numFmtId="0" fontId="10" fillId="2" borderId="3" xfId="0" applyFont="1" applyFill="1" applyBorder="1" applyAlignment="1">
      <alignment horizontal="right"/>
    </xf>
    <xf numFmtId="1" fontId="0" fillId="2" borderId="20" xfId="0" applyNumberFormat="1" applyFill="1" applyBorder="1" applyAlignment="1" applyProtection="1">
      <alignment horizontal="right"/>
      <protection hidden="1"/>
    </xf>
    <xf numFmtId="1" fontId="0" fillId="2" borderId="13" xfId="0" applyNumberFormat="1" applyFill="1" applyBorder="1" applyAlignment="1" applyProtection="1">
      <alignment horizontal="right"/>
      <protection hidden="1"/>
    </xf>
    <xf numFmtId="0" fontId="0" fillId="2" borderId="13" xfId="0" applyFill="1" applyBorder="1" applyProtection="1">
      <protection hidden="1"/>
    </xf>
    <xf numFmtId="1" fontId="0" fillId="2" borderId="13" xfId="0" applyNumberFormat="1" applyFont="1" applyFill="1" applyBorder="1" applyAlignment="1" applyProtection="1">
      <alignment horizontal="right"/>
      <protection hidden="1"/>
    </xf>
    <xf numFmtId="1" fontId="0" fillId="2" borderId="11" xfId="0" applyNumberFormat="1" applyFont="1" applyFill="1" applyBorder="1" applyAlignment="1" applyProtection="1">
      <alignment horizontal="right"/>
      <protection hidden="1"/>
    </xf>
    <xf numFmtId="3" fontId="1" fillId="2" borderId="15" xfId="0" applyNumberFormat="1" applyFont="1" applyFill="1" applyBorder="1" applyProtection="1">
      <protection hidden="1"/>
    </xf>
    <xf numFmtId="3" fontId="1" fillId="2" borderId="4" xfId="0" applyNumberFormat="1" applyFont="1" applyFill="1" applyBorder="1" applyProtection="1">
      <protection hidden="1"/>
    </xf>
    <xf numFmtId="3" fontId="0" fillId="2" borderId="15" xfId="0" applyNumberFormat="1" applyFont="1" applyFill="1" applyBorder="1" applyAlignment="1" applyProtection="1">
      <alignment horizontal="right"/>
      <protection hidden="1"/>
    </xf>
    <xf numFmtId="1" fontId="0" fillId="2" borderId="3" xfId="0" applyNumberFormat="1" applyFill="1" applyBorder="1" applyAlignment="1" applyProtection="1">
      <alignment horizontal="right"/>
      <protection hidden="1"/>
    </xf>
    <xf numFmtId="1" fontId="0" fillId="2" borderId="15" xfId="0" applyNumberFormat="1" applyFont="1" applyFill="1" applyBorder="1" applyAlignment="1" applyProtection="1">
      <alignment horizontal="right"/>
      <protection hidden="1"/>
    </xf>
    <xf numFmtId="1" fontId="0" fillId="2" borderId="4" xfId="0" applyNumberFormat="1" applyFont="1" applyFill="1" applyBorder="1" applyAlignment="1" applyProtection="1">
      <alignment horizontal="right"/>
      <protection hidden="1"/>
    </xf>
    <xf numFmtId="165" fontId="1" fillId="2" borderId="13" xfId="0" applyNumberFormat="1" applyFont="1" applyFill="1" applyBorder="1" applyAlignment="1" applyProtection="1">
      <alignment horizontal="right"/>
      <protection hidden="1"/>
    </xf>
    <xf numFmtId="165" fontId="1" fillId="2" borderId="11" xfId="0" applyNumberFormat="1" applyFont="1" applyFill="1" applyBorder="1" applyAlignment="1" applyProtection="1">
      <alignment horizontal="right"/>
      <protection hidden="1"/>
    </xf>
    <xf numFmtId="0" fontId="10" fillId="3" borderId="18" xfId="0" applyFont="1" applyFill="1" applyBorder="1" applyAlignment="1">
      <alignment horizontal="right"/>
    </xf>
    <xf numFmtId="0" fontId="1" fillId="2" borderId="15" xfId="0" applyFont="1" applyFill="1" applyBorder="1" applyProtection="1">
      <protection hidden="1"/>
    </xf>
    <xf numFmtId="0" fontId="1" fillId="2" borderId="4" xfId="0" applyFont="1" applyFill="1" applyBorder="1" applyProtection="1">
      <protection hidden="1"/>
    </xf>
    <xf numFmtId="17" fontId="1" fillId="2" borderId="3" xfId="5" applyNumberFormat="1" applyFont="1" applyFill="1" applyBorder="1" applyAlignment="1">
      <alignment horizontal="center" wrapText="1"/>
    </xf>
    <xf numFmtId="0" fontId="1" fillId="2" borderId="0" xfId="5" applyFont="1" applyFill="1" applyBorder="1" applyAlignment="1">
      <alignment horizontal="center"/>
    </xf>
    <xf numFmtId="0" fontId="10" fillId="2" borderId="0" xfId="5" applyFont="1" applyFill="1" applyBorder="1"/>
    <xf numFmtId="0" fontId="1" fillId="2" borderId="0" xfId="5" applyFont="1" applyFill="1" applyBorder="1" applyAlignment="1" applyProtection="1">
      <alignment horizontal="right"/>
      <protection hidden="1"/>
    </xf>
    <xf numFmtId="0" fontId="10" fillId="2" borderId="14" xfId="5" applyFont="1" applyFill="1" applyBorder="1"/>
    <xf numFmtId="0" fontId="1" fillId="2" borderId="14" xfId="5" applyFont="1" applyFill="1" applyBorder="1"/>
    <xf numFmtId="3" fontId="1" fillId="2" borderId="13" xfId="5" applyNumberFormat="1" applyFont="1" applyFill="1" applyBorder="1" applyAlignment="1" applyProtection="1">
      <alignment horizontal="right"/>
      <protection hidden="1"/>
    </xf>
    <xf numFmtId="3" fontId="1" fillId="2" borderId="11" xfId="5" applyNumberFormat="1" applyFont="1" applyFill="1" applyBorder="1" applyAlignment="1" applyProtection="1">
      <alignment horizontal="right"/>
      <protection hidden="1"/>
    </xf>
    <xf numFmtId="3" fontId="1" fillId="2" borderId="15" xfId="5" applyNumberFormat="1" applyFont="1" applyFill="1" applyBorder="1" applyAlignment="1" applyProtection="1">
      <alignment horizontal="right"/>
      <protection hidden="1"/>
    </xf>
    <xf numFmtId="3" fontId="1" fillId="2" borderId="4" xfId="5" applyNumberFormat="1" applyFont="1" applyFill="1" applyBorder="1" applyAlignment="1" applyProtection="1">
      <alignment horizontal="right"/>
      <protection hidden="1"/>
    </xf>
    <xf numFmtId="3" fontId="10" fillId="2" borderId="3" xfId="5" applyNumberFormat="1" applyFont="1" applyFill="1" applyBorder="1" applyAlignment="1" applyProtection="1">
      <alignment horizontal="right"/>
      <protection hidden="1"/>
    </xf>
    <xf numFmtId="3" fontId="10" fillId="2" borderId="20" xfId="5" applyNumberFormat="1" applyFont="1" applyFill="1" applyBorder="1" applyAlignment="1" applyProtection="1">
      <alignment horizontal="right"/>
      <protection hidden="1"/>
    </xf>
    <xf numFmtId="17" fontId="1" fillId="2" borderId="20" xfId="5" applyNumberFormat="1" applyFont="1" applyFill="1" applyBorder="1" applyAlignment="1">
      <alignment horizontal="center" wrapText="1"/>
    </xf>
    <xf numFmtId="0" fontId="1" fillId="2" borderId="13" xfId="5" applyFont="1" applyFill="1" applyBorder="1"/>
    <xf numFmtId="0" fontId="1" fillId="2" borderId="15" xfId="5" applyFont="1" applyFill="1" applyBorder="1"/>
    <xf numFmtId="17" fontId="1" fillId="2" borderId="3" xfId="5" applyNumberFormat="1" applyFont="1" applyFill="1" applyBorder="1" applyAlignment="1" applyProtection="1">
      <alignment horizontal="center" wrapText="1"/>
      <protection hidden="1"/>
    </xf>
    <xf numFmtId="166" fontId="10" fillId="2" borderId="13" xfId="5" applyNumberFormat="1" applyFont="1" applyFill="1" applyBorder="1" applyProtection="1">
      <protection hidden="1"/>
    </xf>
    <xf numFmtId="166" fontId="1" fillId="2" borderId="13" xfId="5" applyNumberFormat="1" applyFont="1" applyFill="1" applyBorder="1" applyProtection="1">
      <protection hidden="1"/>
    </xf>
    <xf numFmtId="171" fontId="1" fillId="2" borderId="11" xfId="5" applyNumberFormat="1" applyFont="1" applyFill="1" applyBorder="1" applyProtection="1">
      <protection hidden="1"/>
    </xf>
    <xf numFmtId="166" fontId="10" fillId="2" borderId="20" xfId="5" applyNumberFormat="1" applyFont="1" applyFill="1" applyBorder="1" applyProtection="1">
      <protection hidden="1"/>
    </xf>
    <xf numFmtId="166" fontId="10" fillId="2" borderId="3" xfId="5" applyNumberFormat="1" applyFont="1" applyFill="1" applyBorder="1" applyProtection="1">
      <protection hidden="1"/>
    </xf>
    <xf numFmtId="166" fontId="1" fillId="2" borderId="15" xfId="5" applyNumberFormat="1" applyFont="1" applyFill="1" applyBorder="1" applyProtection="1">
      <protection hidden="1"/>
    </xf>
    <xf numFmtId="171" fontId="1" fillId="2" borderId="4" xfId="5" applyNumberFormat="1" applyFont="1" applyFill="1" applyBorder="1" applyProtection="1">
      <protection hidden="1"/>
    </xf>
    <xf numFmtId="171" fontId="1" fillId="2" borderId="13" xfId="5" applyNumberFormat="1" applyFont="1" applyFill="1" applyBorder="1" applyProtection="1">
      <protection hidden="1"/>
    </xf>
    <xf numFmtId="166" fontId="1" fillId="2" borderId="11" xfId="5" applyNumberFormat="1" applyFont="1" applyFill="1" applyBorder="1" applyProtection="1">
      <protection hidden="1"/>
    </xf>
    <xf numFmtId="166" fontId="10" fillId="2" borderId="15" xfId="5" applyNumberFormat="1" applyFont="1" applyFill="1" applyBorder="1" applyProtection="1">
      <protection hidden="1"/>
    </xf>
    <xf numFmtId="171" fontId="1" fillId="2" borderId="15" xfId="5" applyNumberFormat="1" applyFont="1" applyFill="1" applyBorder="1" applyProtection="1">
      <protection hidden="1"/>
    </xf>
    <xf numFmtId="166" fontId="1" fillId="2" borderId="4" xfId="5" applyNumberFormat="1" applyFont="1" applyFill="1" applyBorder="1" applyProtection="1">
      <protection hidden="1"/>
    </xf>
    <xf numFmtId="0" fontId="10" fillId="2" borderId="13" xfId="5" applyFont="1" applyFill="1" applyBorder="1"/>
    <xf numFmtId="0" fontId="1" fillId="3" borderId="10" xfId="5" applyFont="1" applyFill="1" applyBorder="1"/>
    <xf numFmtId="17" fontId="1" fillId="3" borderId="14" xfId="5" applyNumberFormat="1" applyFont="1" applyFill="1" applyBorder="1" applyAlignment="1">
      <alignment wrapText="1"/>
    </xf>
    <xf numFmtId="0" fontId="10" fillId="3" borderId="1" xfId="5" applyFont="1" applyFill="1" applyBorder="1"/>
    <xf numFmtId="3" fontId="10" fillId="3" borderId="1" xfId="5" applyNumberFormat="1" applyFont="1" applyFill="1" applyBorder="1" applyAlignment="1" applyProtection="1">
      <alignment horizontal="right"/>
      <protection hidden="1"/>
    </xf>
    <xf numFmtId="3" fontId="10" fillId="3" borderId="2" xfId="5" applyNumberFormat="1" applyFont="1" applyFill="1" applyBorder="1" applyAlignment="1" applyProtection="1">
      <alignment horizontal="right"/>
      <protection hidden="1"/>
    </xf>
    <xf numFmtId="3" fontId="10" fillId="3" borderId="15" xfId="5" applyNumberFormat="1" applyFont="1" applyFill="1" applyBorder="1" applyAlignment="1" applyProtection="1">
      <alignment horizontal="right"/>
      <protection hidden="1"/>
    </xf>
    <xf numFmtId="3" fontId="10" fillId="3" borderId="10" xfId="5" applyNumberFormat="1" applyFont="1" applyFill="1" applyBorder="1" applyAlignment="1" applyProtection="1">
      <alignment horizontal="right"/>
      <protection hidden="1"/>
    </xf>
    <xf numFmtId="0" fontId="1" fillId="3" borderId="1" xfId="5" applyFont="1" applyFill="1" applyBorder="1"/>
    <xf numFmtId="3" fontId="1" fillId="3" borderId="1" xfId="5" applyNumberFormat="1" applyFont="1" applyFill="1" applyBorder="1" applyAlignment="1" applyProtection="1">
      <alignment horizontal="right"/>
      <protection hidden="1"/>
    </xf>
    <xf numFmtId="3" fontId="1" fillId="3" borderId="2" xfId="5" applyNumberFormat="1" applyFont="1" applyFill="1" applyBorder="1" applyAlignment="1" applyProtection="1">
      <alignment horizontal="right"/>
      <protection hidden="1"/>
    </xf>
    <xf numFmtId="3" fontId="1" fillId="3" borderId="10" xfId="5" applyNumberFormat="1" applyFont="1" applyFill="1" applyBorder="1" applyAlignment="1" applyProtection="1">
      <alignment horizontal="right"/>
      <protection hidden="1"/>
    </xf>
    <xf numFmtId="166" fontId="10" fillId="3" borderId="1" xfId="5" applyNumberFormat="1" applyFont="1" applyFill="1" applyBorder="1" applyProtection="1">
      <protection hidden="1"/>
    </xf>
    <xf numFmtId="166" fontId="10" fillId="3" borderId="2" xfId="5" applyNumberFormat="1" applyFont="1" applyFill="1" applyBorder="1" applyProtection="1">
      <protection hidden="1"/>
    </xf>
    <xf numFmtId="166" fontId="10" fillId="3" borderId="15" xfId="5" applyNumberFormat="1" applyFont="1" applyFill="1" applyBorder="1" applyProtection="1">
      <protection hidden="1"/>
    </xf>
    <xf numFmtId="166" fontId="10" fillId="3" borderId="10" xfId="5" applyNumberFormat="1" applyFont="1" applyFill="1" applyBorder="1" applyProtection="1">
      <protection hidden="1"/>
    </xf>
    <xf numFmtId="166" fontId="1" fillId="3" borderId="1" xfId="5" applyNumberFormat="1" applyFont="1" applyFill="1" applyBorder="1" applyProtection="1">
      <protection hidden="1"/>
    </xf>
    <xf numFmtId="166" fontId="1" fillId="3" borderId="2" xfId="5" applyNumberFormat="1" applyFont="1" applyFill="1" applyBorder="1" applyProtection="1">
      <protection hidden="1"/>
    </xf>
    <xf numFmtId="166" fontId="1" fillId="3" borderId="10" xfId="5" applyNumberFormat="1" applyFont="1" applyFill="1" applyBorder="1" applyProtection="1">
      <protection hidden="1"/>
    </xf>
    <xf numFmtId="170" fontId="1" fillId="3" borderId="1" xfId="5" applyNumberFormat="1" applyFont="1" applyFill="1" applyBorder="1" applyProtection="1">
      <protection hidden="1"/>
    </xf>
    <xf numFmtId="170" fontId="1" fillId="3" borderId="2" xfId="5" applyNumberFormat="1" applyFont="1" applyFill="1" applyBorder="1" applyProtection="1">
      <protection hidden="1"/>
    </xf>
    <xf numFmtId="170" fontId="1" fillId="3" borderId="10" xfId="5" applyNumberFormat="1" applyFont="1" applyFill="1" applyBorder="1" applyProtection="1">
      <protection hidden="1"/>
    </xf>
    <xf numFmtId="165" fontId="15" fillId="3" borderId="14" xfId="0" applyNumberFormat="1" applyFont="1" applyFill="1" applyBorder="1" applyAlignment="1" applyProtection="1">
      <alignment horizontal="right"/>
      <protection hidden="1"/>
    </xf>
    <xf numFmtId="165" fontId="15" fillId="3" borderId="16" xfId="0" applyNumberFormat="1" applyFont="1" applyFill="1" applyBorder="1" applyAlignment="1" applyProtection="1">
      <alignment horizontal="right"/>
      <protection hidden="1"/>
    </xf>
    <xf numFmtId="0" fontId="10" fillId="0" borderId="10" xfId="0" applyFont="1" applyBorder="1" applyAlignment="1">
      <alignment horizontal="center" vertical="center"/>
    </xf>
    <xf numFmtId="0" fontId="10" fillId="3" borderId="10" xfId="0" applyFont="1" applyFill="1" applyBorder="1" applyAlignment="1">
      <alignment horizontal="right"/>
    </xf>
    <xf numFmtId="170" fontId="1" fillId="3" borderId="10" xfId="5" applyNumberFormat="1" applyFont="1" applyFill="1" applyBorder="1" applyAlignment="1" applyProtection="1">
      <alignment horizontal="right"/>
      <protection hidden="1"/>
    </xf>
    <xf numFmtId="170" fontId="1" fillId="3" borderId="1" xfId="5" applyNumberFormat="1" applyFont="1" applyFill="1" applyBorder="1" applyAlignment="1" applyProtection="1">
      <alignment horizontal="right"/>
      <protection hidden="1"/>
    </xf>
    <xf numFmtId="170" fontId="1" fillId="3" borderId="2" xfId="5" applyNumberFormat="1" applyFont="1" applyFill="1" applyBorder="1" applyAlignment="1" applyProtection="1">
      <alignment horizontal="right"/>
      <protection hidden="1"/>
    </xf>
    <xf numFmtId="17" fontId="0" fillId="3" borderId="18" xfId="0" applyNumberFormat="1" applyFill="1" applyBorder="1" applyAlignment="1" applyProtection="1">
      <alignment horizontal="center"/>
      <protection hidden="1"/>
    </xf>
    <xf numFmtId="17" fontId="0" fillId="3" borderId="14" xfId="0" applyNumberFormat="1" applyFill="1" applyBorder="1" applyAlignment="1" applyProtection="1">
      <alignment horizontal="center"/>
      <protection hidden="1"/>
    </xf>
    <xf numFmtId="17" fontId="0" fillId="3" borderId="0" xfId="0" applyNumberFormat="1" applyFill="1" applyBorder="1" applyAlignment="1" applyProtection="1">
      <alignment horizontal="center"/>
      <protection hidden="1"/>
    </xf>
    <xf numFmtId="17" fontId="0" fillId="3" borderId="13" xfId="0" applyNumberFormat="1" applyFill="1" applyBorder="1" applyAlignment="1" applyProtection="1">
      <alignment horizontal="center"/>
      <protection hidden="1"/>
    </xf>
    <xf numFmtId="0" fontId="13" fillId="2" borderId="13" xfId="1" applyFill="1" applyBorder="1" applyAlignment="1" applyProtection="1">
      <protection hidden="1"/>
    </xf>
    <xf numFmtId="0" fontId="0" fillId="2" borderId="11" xfId="0" applyFill="1" applyBorder="1" applyProtection="1">
      <protection hidden="1"/>
    </xf>
    <xf numFmtId="17" fontId="0" fillId="3" borderId="3" xfId="0" applyNumberFormat="1" applyFill="1" applyBorder="1" applyAlignment="1" applyProtection="1">
      <alignment horizontal="center"/>
      <protection hidden="1"/>
    </xf>
    <xf numFmtId="17" fontId="0" fillId="3" borderId="15" xfId="0" applyNumberFormat="1" applyFill="1" applyBorder="1" applyAlignment="1" applyProtection="1">
      <alignment horizontal="center"/>
      <protection hidden="1"/>
    </xf>
    <xf numFmtId="17" fontId="0" fillId="3" borderId="4" xfId="0" applyNumberFormat="1" applyFill="1" applyBorder="1" applyAlignment="1" applyProtection="1">
      <alignment horizontal="center"/>
      <protection hidden="1"/>
    </xf>
    <xf numFmtId="0" fontId="13" fillId="2" borderId="15" xfId="1" applyFill="1" applyBorder="1" applyAlignment="1" applyProtection="1">
      <protection hidden="1"/>
    </xf>
    <xf numFmtId="0" fontId="0" fillId="2" borderId="4" xfId="0" applyFill="1" applyBorder="1" applyProtection="1">
      <protection hidden="1"/>
    </xf>
    <xf numFmtId="3" fontId="10" fillId="2" borderId="14" xfId="5" applyNumberFormat="1" applyFont="1" applyFill="1" applyBorder="1" applyAlignment="1" applyProtection="1">
      <alignment horizontal="right"/>
      <protection hidden="1"/>
    </xf>
    <xf numFmtId="3" fontId="10" fillId="2" borderId="13" xfId="5" applyNumberFormat="1" applyFont="1" applyFill="1" applyBorder="1" applyAlignment="1" applyProtection="1">
      <alignment horizontal="right"/>
      <protection hidden="1"/>
    </xf>
    <xf numFmtId="3" fontId="1" fillId="2" borderId="14" xfId="5" applyNumberFormat="1" applyFont="1" applyFill="1" applyBorder="1" applyAlignment="1">
      <alignment horizontal="right"/>
    </xf>
    <xf numFmtId="3" fontId="1" fillId="2" borderId="13" xfId="5" applyNumberFormat="1" applyFont="1" applyFill="1" applyBorder="1" applyAlignment="1">
      <alignment horizontal="right"/>
    </xf>
    <xf numFmtId="3" fontId="1" fillId="2" borderId="16" xfId="5" applyNumberFormat="1" applyFont="1" applyFill="1" applyBorder="1" applyAlignment="1">
      <alignment horizontal="right"/>
    </xf>
    <xf numFmtId="3" fontId="1" fillId="2" borderId="11" xfId="5" applyNumberFormat="1" applyFont="1" applyFill="1" applyBorder="1" applyAlignment="1">
      <alignment horizontal="right"/>
    </xf>
    <xf numFmtId="3" fontId="10" fillId="2" borderId="18" xfId="5" applyNumberFormat="1" applyFont="1" applyFill="1" applyBorder="1" applyAlignment="1" applyProtection="1">
      <alignment horizontal="right"/>
      <protection hidden="1"/>
    </xf>
    <xf numFmtId="0" fontId="1" fillId="0" borderId="0" xfId="8"/>
    <xf numFmtId="0" fontId="1" fillId="0" borderId="0" xfId="8" applyFont="1" applyFill="1" applyAlignment="1">
      <alignment vertical="top"/>
    </xf>
    <xf numFmtId="0" fontId="1" fillId="0" borderId="0" xfId="8" applyFont="1" applyFill="1" applyAlignment="1">
      <alignment vertical="top" wrapText="1"/>
    </xf>
    <xf numFmtId="0" fontId="1" fillId="0" borderId="0" xfId="8" applyFill="1"/>
    <xf numFmtId="3" fontId="1" fillId="0" borderId="0" xfId="8" applyNumberFormat="1" applyFill="1"/>
    <xf numFmtId="0" fontId="1" fillId="0" borderId="0" xfId="8" applyFont="1" applyFill="1"/>
    <xf numFmtId="3" fontId="1" fillId="0" borderId="0" xfId="8" applyNumberFormat="1" applyFont="1" applyFill="1"/>
    <xf numFmtId="0" fontId="1" fillId="0" borderId="0" xfId="8" applyFill="1" applyAlignment="1">
      <alignment vertical="top" wrapText="1"/>
    </xf>
    <xf numFmtId="3" fontId="1" fillId="0" borderId="22" xfId="8" applyNumberFormat="1" applyFill="1" applyBorder="1"/>
    <xf numFmtId="0" fontId="10" fillId="0" borderId="0" xfId="8" applyFont="1" applyFill="1" applyAlignment="1">
      <alignment vertical="top"/>
    </xf>
    <xf numFmtId="3" fontId="48" fillId="0" borderId="0" xfId="8" applyNumberFormat="1" applyFont="1" applyFill="1"/>
    <xf numFmtId="3" fontId="48" fillId="0" borderId="22" xfId="8" applyNumberFormat="1" applyFont="1" applyFill="1" applyBorder="1"/>
    <xf numFmtId="165" fontId="1" fillId="0" borderId="0" xfId="8" applyNumberFormat="1" applyFill="1"/>
    <xf numFmtId="0" fontId="10" fillId="0" borderId="0" xfId="8" applyFont="1" applyFill="1"/>
    <xf numFmtId="165" fontId="1" fillId="0" borderId="0" xfId="8" applyNumberFormat="1" applyFont="1" applyFill="1"/>
    <xf numFmtId="3" fontId="49" fillId="0" borderId="0" xfId="8" applyNumberFormat="1" applyFont="1" applyFill="1"/>
    <xf numFmtId="3" fontId="1" fillId="0" borderId="0" xfId="8" applyNumberFormat="1" applyFill="1" applyAlignment="1">
      <alignment horizontal="right"/>
    </xf>
    <xf numFmtId="3" fontId="1" fillId="0" borderId="22" xfId="8" applyNumberFormat="1" applyFont="1" applyFill="1" applyBorder="1" applyAlignment="1">
      <alignment horizontal="right"/>
    </xf>
    <xf numFmtId="3" fontId="1" fillId="0" borderId="0" xfId="8" applyNumberFormat="1" applyFont="1" applyFill="1" applyAlignment="1">
      <alignment horizontal="right"/>
    </xf>
    <xf numFmtId="165" fontId="1" fillId="0" borderId="0" xfId="8" applyNumberFormat="1" applyFont="1" applyFill="1" applyAlignment="1">
      <alignment horizontal="right"/>
    </xf>
    <xf numFmtId="0" fontId="1" fillId="0" borderId="0" xfId="8" applyFont="1" applyFill="1" applyAlignment="1">
      <alignment horizontal="right"/>
    </xf>
    <xf numFmtId="0" fontId="1" fillId="0" borderId="22" xfId="8" applyFont="1" applyFill="1" applyBorder="1" applyAlignment="1">
      <alignment horizontal="right"/>
    </xf>
    <xf numFmtId="3" fontId="1" fillId="0" borderId="0" xfId="8" applyNumberFormat="1" applyFont="1" applyFill="1" applyAlignment="1">
      <alignment wrapText="1"/>
    </xf>
    <xf numFmtId="0" fontId="1" fillId="0" borderId="0" xfId="8" applyFont="1" applyFill="1" applyAlignment="1">
      <alignment horizontal="center"/>
    </xf>
    <xf numFmtId="0" fontId="1" fillId="0" borderId="22" xfId="8" applyFont="1" applyFill="1" applyBorder="1" applyAlignment="1">
      <alignment horizontal="center"/>
    </xf>
    <xf numFmtId="17" fontId="1" fillId="0" borderId="0" xfId="8" applyNumberFormat="1" applyFill="1" applyAlignment="1"/>
    <xf numFmtId="165" fontId="48" fillId="0" borderId="0" xfId="8" applyNumberFormat="1" applyFont="1" applyFill="1"/>
    <xf numFmtId="0" fontId="38" fillId="3" borderId="3" xfId="2" applyFont="1" applyFill="1" applyBorder="1" applyAlignment="1">
      <alignment horizontal="left"/>
    </xf>
    <xf numFmtId="0" fontId="13" fillId="3" borderId="18" xfId="1" applyFont="1" applyFill="1" applyBorder="1" applyAlignment="1" applyProtection="1">
      <alignment horizontal="center"/>
    </xf>
    <xf numFmtId="0" fontId="24" fillId="0" borderId="0" xfId="0" applyFont="1"/>
    <xf numFmtId="3" fontId="14" fillId="0" borderId="0" xfId="4" applyNumberFormat="1" applyFont="1" applyFill="1"/>
    <xf numFmtId="0" fontId="28" fillId="0" borderId="0" xfId="0" applyFont="1"/>
    <xf numFmtId="3" fontId="47" fillId="0" borderId="0" xfId="0" applyNumberFormat="1" applyFont="1"/>
    <xf numFmtId="3" fontId="48" fillId="0" borderId="21" xfId="8" quotePrefix="1" applyNumberFormat="1" applyFont="1" applyFill="1" applyBorder="1" applyAlignment="1">
      <alignment horizontal="right"/>
    </xf>
    <xf numFmtId="166" fontId="48" fillId="0" borderId="21" xfId="8" quotePrefix="1" applyNumberFormat="1" applyFont="1" applyFill="1" applyBorder="1" applyAlignment="1">
      <alignment horizontal="right"/>
    </xf>
    <xf numFmtId="166" fontId="48" fillId="0" borderId="23" xfId="8" quotePrefix="1" applyNumberFormat="1" applyFont="1" applyFill="1" applyBorder="1" applyAlignment="1">
      <alignment horizontal="right"/>
    </xf>
    <xf numFmtId="3" fontId="48" fillId="0" borderId="21" xfId="8" applyNumberFormat="1" applyFont="1" applyFill="1" applyBorder="1" applyAlignment="1">
      <alignment horizontal="right"/>
    </xf>
    <xf numFmtId="166" fontId="48" fillId="0" borderId="21" xfId="8" applyNumberFormat="1" applyFont="1" applyFill="1" applyBorder="1" applyAlignment="1">
      <alignment horizontal="right"/>
    </xf>
    <xf numFmtId="3" fontId="48" fillId="0" borderId="23" xfId="8" applyNumberFormat="1" applyFont="1" applyFill="1" applyBorder="1" applyAlignment="1">
      <alignment horizontal="right"/>
    </xf>
    <xf numFmtId="0" fontId="33" fillId="0" borderId="0" xfId="8" applyFont="1"/>
    <xf numFmtId="3" fontId="48" fillId="0" borderId="0" xfId="8" quotePrefix="1" applyNumberFormat="1" applyFont="1" applyFill="1" applyAlignment="1">
      <alignment horizontal="right"/>
    </xf>
    <xf numFmtId="3" fontId="48" fillId="0" borderId="22" xfId="8" quotePrefix="1" applyNumberFormat="1" applyFont="1" applyFill="1" applyBorder="1" applyAlignment="1">
      <alignment horizontal="right"/>
    </xf>
    <xf numFmtId="0" fontId="48" fillId="0" borderId="0" xfId="8" applyFont="1"/>
    <xf numFmtId="0" fontId="52" fillId="0" borderId="0" xfId="0" applyFont="1"/>
    <xf numFmtId="0" fontId="0" fillId="3" borderId="5" xfId="0" applyFill="1" applyBorder="1" applyAlignment="1">
      <alignment horizontal="center"/>
    </xf>
    <xf numFmtId="0" fontId="0" fillId="3" borderId="6" xfId="0" applyFill="1" applyBorder="1" applyAlignment="1">
      <alignment horizontal="center"/>
    </xf>
    <xf numFmtId="0" fontId="0" fillId="0" borderId="5" xfId="0" applyBorder="1" applyAlignment="1">
      <alignment horizontal="center"/>
    </xf>
    <xf numFmtId="0" fontId="0" fillId="0" borderId="8" xfId="0" applyBorder="1" applyAlignment="1">
      <alignment horizontal="center"/>
    </xf>
    <xf numFmtId="0" fontId="0" fillId="0" borderId="6" xfId="0" applyBorder="1" applyAlignment="1">
      <alignment horizontal="center"/>
    </xf>
    <xf numFmtId="0" fontId="0" fillId="3" borderId="2" xfId="0" applyFill="1" applyBorder="1" applyAlignment="1">
      <alignment horizontal="center"/>
    </xf>
    <xf numFmtId="0" fontId="0" fillId="3" borderId="9" xfId="0" applyFill="1" applyBorder="1" applyAlignment="1">
      <alignment horizontal="center"/>
    </xf>
    <xf numFmtId="0" fontId="0" fillId="3" borderId="10" xfId="0" applyFill="1" applyBorder="1" applyAlignment="1">
      <alignment horizontal="center"/>
    </xf>
    <xf numFmtId="0" fontId="0" fillId="3" borderId="8" xfId="0" applyFill="1" applyBorder="1" applyAlignment="1">
      <alignment horizontal="center"/>
    </xf>
    <xf numFmtId="0" fontId="1" fillId="0" borderId="0" xfId="8" applyFont="1" applyFill="1" applyAlignment="1">
      <alignment horizontal="center"/>
    </xf>
    <xf numFmtId="0" fontId="1" fillId="0" borderId="0" xfId="8" applyFill="1" applyAlignment="1">
      <alignment horizontal="center"/>
    </xf>
    <xf numFmtId="0" fontId="1" fillId="0" borderId="0" xfId="8" applyFont="1" applyFill="1" applyAlignment="1">
      <alignment horizontal="center" wrapText="1"/>
    </xf>
    <xf numFmtId="0" fontId="1" fillId="0" borderId="0" xfId="8" applyFill="1" applyAlignment="1">
      <alignment horizontal="center" wrapText="1"/>
    </xf>
    <xf numFmtId="0" fontId="1" fillId="3" borderId="0" xfId="0" applyFont="1" applyFill="1" applyAlignment="1">
      <alignment vertical="top" wrapText="1"/>
    </xf>
    <xf numFmtId="0" fontId="0" fillId="2" borderId="0" xfId="0" applyFill="1" applyAlignment="1">
      <alignment vertical="top" wrapText="1"/>
    </xf>
    <xf numFmtId="17" fontId="0" fillId="7" borderId="5" xfId="0" applyNumberFormat="1" applyFill="1" applyBorder="1" applyAlignment="1">
      <alignment horizontal="center"/>
    </xf>
    <xf numFmtId="17" fontId="0" fillId="7" borderId="6" xfId="0" applyNumberFormat="1" applyFill="1" applyBorder="1" applyAlignment="1">
      <alignment horizontal="center"/>
    </xf>
    <xf numFmtId="0" fontId="1" fillId="2" borderId="1" xfId="0" applyFont="1" applyFill="1" applyBorder="1" applyAlignment="1">
      <alignment horizontal="center" vertical="center"/>
    </xf>
    <xf numFmtId="0" fontId="0" fillId="2" borderId="1" xfId="0" applyFill="1" applyBorder="1" applyAlignment="1">
      <alignment horizontal="center" vertical="center"/>
    </xf>
    <xf numFmtId="0" fontId="10" fillId="2" borderId="4" xfId="0" applyFont="1" applyFill="1" applyBorder="1" applyAlignment="1">
      <alignment horizontal="center"/>
    </xf>
    <xf numFmtId="0" fontId="10" fillId="2" borderId="1" xfId="0" applyFont="1" applyFill="1" applyBorder="1" applyAlignment="1">
      <alignment horizontal="center"/>
    </xf>
    <xf numFmtId="0" fontId="10" fillId="2" borderId="4" xfId="0" applyFont="1" applyFill="1" applyBorder="1" applyAlignment="1">
      <alignment horizontal="center" vertical="center"/>
    </xf>
    <xf numFmtId="0" fontId="10" fillId="0" borderId="4" xfId="0" applyFont="1" applyBorder="1" applyAlignment="1">
      <alignment horizontal="center" vertical="center"/>
    </xf>
    <xf numFmtId="14" fontId="29" fillId="2" borderId="0" xfId="0" applyNumberFormat="1" applyFont="1" applyFill="1" applyBorder="1" applyAlignment="1">
      <alignment horizontal="left" wrapText="1"/>
    </xf>
    <xf numFmtId="0" fontId="1" fillId="6" borderId="0" xfId="0" applyFont="1" applyFill="1" applyAlignment="1">
      <alignment vertical="top" wrapText="1"/>
    </xf>
    <xf numFmtId="0" fontId="0" fillId="4" borderId="5" xfId="0" applyFill="1" applyBorder="1" applyAlignment="1" applyProtection="1">
      <alignment horizontal="center"/>
      <protection locked="0"/>
    </xf>
    <xf numFmtId="0" fontId="0" fillId="4" borderId="6" xfId="0" applyFill="1" applyBorder="1" applyAlignment="1" applyProtection="1">
      <alignment horizontal="center"/>
      <protection locked="0"/>
    </xf>
    <xf numFmtId="0" fontId="10" fillId="3" borderId="13" xfId="0" applyFont="1" applyFill="1" applyBorder="1" applyAlignment="1">
      <alignment horizontal="center"/>
    </xf>
    <xf numFmtId="0" fontId="10" fillId="3" borderId="11" xfId="0" applyFont="1" applyFill="1" applyBorder="1" applyAlignment="1">
      <alignment horizontal="center"/>
    </xf>
    <xf numFmtId="0" fontId="10" fillId="3" borderId="0" xfId="0" applyFont="1" applyFill="1" applyBorder="1" applyAlignment="1">
      <alignment horizontal="center" wrapText="1"/>
    </xf>
    <xf numFmtId="0" fontId="10" fillId="3" borderId="15" xfId="0" applyFont="1" applyFill="1" applyBorder="1" applyAlignment="1">
      <alignment horizontal="center" wrapText="1"/>
    </xf>
    <xf numFmtId="0" fontId="10" fillId="3" borderId="12" xfId="0" applyFont="1" applyFill="1" applyBorder="1" applyAlignment="1">
      <alignment horizontal="center"/>
    </xf>
    <xf numFmtId="0" fontId="12" fillId="3" borderId="0" xfId="0" applyFont="1" applyFill="1" applyAlignment="1">
      <alignment horizontal="left" vertical="center"/>
    </xf>
    <xf numFmtId="0" fontId="0" fillId="3" borderId="0" xfId="0" applyFill="1" applyAlignment="1">
      <alignment horizontal="left" vertical="center"/>
    </xf>
    <xf numFmtId="0" fontId="10" fillId="3" borderId="16" xfId="0" applyFont="1" applyFill="1" applyBorder="1" applyAlignment="1">
      <alignment horizontal="center"/>
    </xf>
    <xf numFmtId="0" fontId="1" fillId="5" borderId="0" xfId="0" applyFont="1" applyFill="1" applyAlignment="1">
      <alignment vertical="top" wrapText="1"/>
    </xf>
    <xf numFmtId="0" fontId="1" fillId="6" borderId="17" xfId="0" applyFont="1" applyFill="1" applyBorder="1" applyAlignment="1">
      <alignment vertical="top" wrapText="1"/>
    </xf>
    <xf numFmtId="0" fontId="1" fillId="5" borderId="9" xfId="0" applyFont="1" applyFill="1" applyBorder="1" applyAlignment="1">
      <alignment vertical="top" wrapText="1"/>
    </xf>
    <xf numFmtId="0" fontId="0" fillId="0" borderId="0" xfId="0" applyAlignment="1">
      <alignment horizontal="left" vertical="center"/>
    </xf>
    <xf numFmtId="0" fontId="3" fillId="2" borderId="0" xfId="0" applyFont="1" applyFill="1" applyAlignment="1">
      <alignment horizontal="left" wrapText="1"/>
    </xf>
    <xf numFmtId="14" fontId="3" fillId="2" borderId="0" xfId="0" applyNumberFormat="1" applyFont="1" applyFill="1" applyBorder="1" applyAlignment="1">
      <alignment horizontal="left" wrapText="1"/>
    </xf>
    <xf numFmtId="0" fontId="12" fillId="2" borderId="0" xfId="5" applyFont="1" applyFill="1" applyAlignment="1">
      <alignment horizontal="left" vertical="center"/>
    </xf>
    <xf numFmtId="0" fontId="1" fillId="0" borderId="0" xfId="5" applyAlignment="1">
      <alignment horizontal="left" vertical="center"/>
    </xf>
    <xf numFmtId="0" fontId="12" fillId="2" borderId="0" xfId="0" applyFont="1" applyFill="1" applyBorder="1" applyAlignment="1">
      <alignment horizontal="left" vertical="center"/>
    </xf>
    <xf numFmtId="0" fontId="3" fillId="2" borderId="0" xfId="5" applyFont="1" applyFill="1" applyAlignment="1">
      <alignment horizontal="left" wrapText="1"/>
    </xf>
    <xf numFmtId="14" fontId="3" fillId="2" borderId="0" xfId="5" applyNumberFormat="1" applyFont="1" applyFill="1" applyBorder="1" applyAlignment="1">
      <alignment horizontal="left" wrapText="1"/>
    </xf>
    <xf numFmtId="17" fontId="1" fillId="2" borderId="0" xfId="5" applyNumberFormat="1" applyFont="1" applyFill="1" applyBorder="1" applyAlignment="1">
      <alignment horizontal="center" wrapText="1"/>
    </xf>
    <xf numFmtId="17" fontId="1" fillId="2" borderId="2" xfId="5" applyNumberFormat="1" applyFont="1" applyFill="1" applyBorder="1" applyAlignment="1" applyProtection="1">
      <alignment horizontal="center" wrapText="1"/>
      <protection hidden="1"/>
    </xf>
    <xf numFmtId="17" fontId="1" fillId="2" borderId="10" xfId="5" applyNumberFormat="1" applyFont="1" applyFill="1" applyBorder="1" applyAlignment="1" applyProtection="1">
      <alignment horizontal="center" wrapText="1"/>
      <protection hidden="1"/>
    </xf>
    <xf numFmtId="17" fontId="1" fillId="2" borderId="18" xfId="5" applyNumberFormat="1" applyFont="1" applyFill="1" applyBorder="1" applyAlignment="1">
      <alignment horizontal="center" wrapText="1"/>
    </xf>
    <xf numFmtId="17" fontId="1" fillId="2" borderId="20" xfId="5" applyNumberFormat="1" applyFont="1" applyFill="1" applyBorder="1" applyAlignment="1">
      <alignment horizontal="center" wrapText="1"/>
    </xf>
    <xf numFmtId="17" fontId="1" fillId="2" borderId="2" xfId="5" applyNumberFormat="1" applyFont="1" applyFill="1" applyBorder="1" applyAlignment="1">
      <alignment horizontal="center" wrapText="1"/>
    </xf>
    <xf numFmtId="17" fontId="1" fillId="2" borderId="10" xfId="5" applyNumberFormat="1" applyFont="1" applyFill="1" applyBorder="1" applyAlignment="1">
      <alignment horizontal="center" wrapText="1"/>
    </xf>
    <xf numFmtId="17" fontId="1" fillId="3" borderId="2" xfId="5" applyNumberFormat="1" applyFont="1" applyFill="1" applyBorder="1" applyAlignment="1">
      <alignment horizontal="center" wrapText="1"/>
    </xf>
    <xf numFmtId="17" fontId="1" fillId="3" borderId="10" xfId="5" applyNumberFormat="1" applyFont="1" applyFill="1" applyBorder="1" applyAlignment="1">
      <alignment horizontal="center" wrapText="1"/>
    </xf>
    <xf numFmtId="17" fontId="1" fillId="2" borderId="3" xfId="5" applyNumberFormat="1" applyFont="1" applyFill="1" applyBorder="1" applyAlignment="1" applyProtection="1">
      <alignment horizontal="center" wrapText="1"/>
      <protection hidden="1"/>
    </xf>
    <xf numFmtId="0" fontId="0" fillId="4" borderId="5" xfId="0" applyFill="1" applyBorder="1" applyAlignment="1">
      <alignment horizontal="center"/>
    </xf>
    <xf numFmtId="0" fontId="0" fillId="4" borderId="6" xfId="0" applyFill="1" applyBorder="1" applyAlignment="1">
      <alignment horizontal="center"/>
    </xf>
    <xf numFmtId="0" fontId="10" fillId="3" borderId="12" xfId="0" applyFont="1" applyFill="1" applyBorder="1" applyAlignment="1">
      <alignment horizontal="center" wrapText="1"/>
    </xf>
    <xf numFmtId="0" fontId="10" fillId="3" borderId="4" xfId="0" applyFont="1" applyFill="1" applyBorder="1" applyAlignment="1">
      <alignment horizontal="center" wrapText="1"/>
    </xf>
  </cellXfs>
  <cellStyles count="9">
    <cellStyle name="Comma 2" xfId="3"/>
    <cellStyle name="Hyperlink" xfId="1" builtinId="8"/>
    <cellStyle name="Hyperlink 2" xfId="7"/>
    <cellStyle name="Normal" xfId="0" builtinId="0"/>
    <cellStyle name="Normal 10" xfId="2"/>
    <cellStyle name="Normal 11" xfId="5"/>
    <cellStyle name="Normal 2" xfId="8"/>
    <cellStyle name="Normal 6" xfId="6"/>
    <cellStyle name="Normal_TABLE4" xfId="4"/>
  </cellStyles>
  <dxfs count="3">
    <dxf>
      <font>
        <b/>
        <i val="0"/>
        <condense val="0"/>
        <extend val="0"/>
      </font>
    </dxf>
    <dxf>
      <font>
        <b/>
        <i val="0"/>
        <condense val="0"/>
        <extend val="0"/>
      </font>
    </dxf>
    <dxf>
      <font>
        <b/>
        <i val="0"/>
        <condense val="0"/>
        <extend val="0"/>
      </font>
    </dxf>
  </dxfs>
  <tableStyles count="0" defaultTableStyle="TableStyleMedium9" defaultPivotStyle="PivotStyleLight16"/>
  <colors>
    <mruColors>
      <color rgb="FF092869"/>
      <color rgb="FF0391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externalLink" Target="externalLinks/externalLink6.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152400</xdr:colOff>
      <xdr:row>51</xdr:row>
      <xdr:rowOff>85725</xdr:rowOff>
    </xdr:from>
    <xdr:to>
      <xdr:col>4</xdr:col>
      <xdr:colOff>238125</xdr:colOff>
      <xdr:row>53</xdr:row>
      <xdr:rowOff>123825</xdr:rowOff>
    </xdr:to>
    <xdr:pic macro="[0]!inputindividualboards">
      <xdr:nvPicPr>
        <xdr:cNvPr id="5142" name="CommandButton1"/>
        <xdr:cNvPicPr preferRelativeResize="0">
          <a:picLocks noChangeArrowheads="1" noChangeShapeType="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71600" y="10258425"/>
          <a:ext cx="1304925" cy="419100"/>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152400</xdr:colOff>
      <xdr:row>70</xdr:row>
      <xdr:rowOff>85725</xdr:rowOff>
    </xdr:from>
    <xdr:to>
      <xdr:col>4</xdr:col>
      <xdr:colOff>238125</xdr:colOff>
      <xdr:row>72</xdr:row>
      <xdr:rowOff>123825</xdr:rowOff>
    </xdr:to>
    <xdr:pic macro="[0]!checkfilesfromboards">
      <xdr:nvPicPr>
        <xdr:cNvPr id="5151" name="Picture 31"/>
        <xdr:cNvPicPr preferRelativeResize="0">
          <a:picLocks noChangeArrowheads="1" noChangeShapeType="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71600" y="14125575"/>
          <a:ext cx="1304925" cy="419100"/>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7</xdr:col>
          <xdr:colOff>19050</xdr:colOff>
          <xdr:row>22</xdr:row>
          <xdr:rowOff>142875</xdr:rowOff>
        </xdr:from>
        <xdr:to>
          <xdr:col>9</xdr:col>
          <xdr:colOff>19050</xdr:colOff>
          <xdr:row>24</xdr:row>
          <xdr:rowOff>142875</xdr:rowOff>
        </xdr:to>
        <xdr:sp macro="" textlink="">
          <xdr:nvSpPr>
            <xdr:cNvPr id="5121" name="Button 1" hidden="1">
              <a:extLst>
                <a:ext uri="{63B3BB69-23CF-44E3-9099-C40C66FF867C}">
                  <a14:compatExt spid="_x0000_s5121"/>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1</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9525</xdr:colOff>
          <xdr:row>27</xdr:row>
          <xdr:rowOff>161925</xdr:rowOff>
        </xdr:from>
        <xdr:to>
          <xdr:col>9</xdr:col>
          <xdr:colOff>9525</xdr:colOff>
          <xdr:row>29</xdr:row>
          <xdr:rowOff>66675</xdr:rowOff>
        </xdr:to>
        <xdr:sp macro="" textlink="">
          <xdr:nvSpPr>
            <xdr:cNvPr id="5124" name="Button 4" hidden="1">
              <a:extLst>
                <a:ext uri="{63B3BB69-23CF-44E3-9099-C40C66FF867C}">
                  <a14:compatExt spid="_x0000_s5124"/>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4</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28575</xdr:colOff>
          <xdr:row>39</xdr:row>
          <xdr:rowOff>57150</xdr:rowOff>
        </xdr:from>
        <xdr:to>
          <xdr:col>8</xdr:col>
          <xdr:colOff>600075</xdr:colOff>
          <xdr:row>40</xdr:row>
          <xdr:rowOff>180975</xdr:rowOff>
        </xdr:to>
        <xdr:sp macro="" textlink="">
          <xdr:nvSpPr>
            <xdr:cNvPr id="5137" name="Button 17" hidden="1">
              <a:extLst>
                <a:ext uri="{63B3BB69-23CF-44E3-9099-C40C66FF867C}">
                  <a14:compatExt spid="_x0000_s5137"/>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17</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190500</xdr:colOff>
          <xdr:row>15</xdr:row>
          <xdr:rowOff>180975</xdr:rowOff>
        </xdr:from>
        <xdr:to>
          <xdr:col>2</xdr:col>
          <xdr:colOff>514350</xdr:colOff>
          <xdr:row>18</xdr:row>
          <xdr:rowOff>19050</xdr:rowOff>
        </xdr:to>
        <xdr:sp macro="" textlink="">
          <xdr:nvSpPr>
            <xdr:cNvPr id="5150" name="Button 30" hidden="1">
              <a:extLst>
                <a:ext uri="{63B3BB69-23CF-44E3-9099-C40C66FF867C}">
                  <a14:compatExt spid="_x0000_s515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30</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38100</xdr:colOff>
          <xdr:row>29</xdr:row>
          <xdr:rowOff>171450</xdr:rowOff>
        </xdr:from>
        <xdr:to>
          <xdr:col>9</xdr:col>
          <xdr:colOff>9525</xdr:colOff>
          <xdr:row>31</xdr:row>
          <xdr:rowOff>57150</xdr:rowOff>
        </xdr:to>
        <xdr:sp macro="" textlink="">
          <xdr:nvSpPr>
            <xdr:cNvPr id="5152" name="Button 32" hidden="1">
              <a:extLst>
                <a:ext uri="{63B3BB69-23CF-44E3-9099-C40C66FF867C}">
                  <a14:compatExt spid="_x0000_s5152"/>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32</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17</xdr:col>
          <xdr:colOff>9525</xdr:colOff>
          <xdr:row>25</xdr:row>
          <xdr:rowOff>9525</xdr:rowOff>
        </xdr:from>
        <xdr:to>
          <xdr:col>18</xdr:col>
          <xdr:colOff>9525</xdr:colOff>
          <xdr:row>26</xdr:row>
          <xdr:rowOff>28575</xdr:rowOff>
        </xdr:to>
        <xdr:sp macro="" textlink="">
          <xdr:nvSpPr>
            <xdr:cNvPr id="5155" name="Button 35" hidden="1">
              <a:extLst>
                <a:ext uri="{63B3BB69-23CF-44E3-9099-C40C66FF867C}">
                  <a14:compatExt spid="_x0000_s5155"/>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35</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57150</xdr:colOff>
          <xdr:row>79</xdr:row>
          <xdr:rowOff>28575</xdr:rowOff>
        </xdr:from>
        <xdr:to>
          <xdr:col>5</xdr:col>
          <xdr:colOff>219075</xdr:colOff>
          <xdr:row>80</xdr:row>
          <xdr:rowOff>133350</xdr:rowOff>
        </xdr:to>
        <xdr:sp macro="" textlink="">
          <xdr:nvSpPr>
            <xdr:cNvPr id="5157" name="Button 37" hidden="1">
              <a:extLst>
                <a:ext uri="{63B3BB69-23CF-44E3-9099-C40C66FF867C}">
                  <a14:compatExt spid="_x0000_s5157"/>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Button 37</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0</xdr:col>
      <xdr:colOff>1181100</xdr:colOff>
      <xdr:row>46</xdr:row>
      <xdr:rowOff>0</xdr:rowOff>
    </xdr:from>
    <xdr:ext cx="184731" cy="264560"/>
    <xdr:sp macro="" textlink="">
      <xdr:nvSpPr>
        <xdr:cNvPr id="2" name="TextBox 1"/>
        <xdr:cNvSpPr txBox="1"/>
      </xdr:nvSpPr>
      <xdr:spPr>
        <a:xfrm>
          <a:off x="1181100" y="9963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46</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1181100</xdr:colOff>
      <xdr:row>37</xdr:row>
      <xdr:rowOff>0</xdr:rowOff>
    </xdr:from>
    <xdr:ext cx="184731" cy="264560"/>
    <xdr:sp macro="" textlink="">
      <xdr:nvSpPr>
        <xdr:cNvPr id="2" name="TextBox 1"/>
        <xdr:cNvSpPr txBox="1"/>
      </xdr:nvSpPr>
      <xdr:spPr>
        <a:xfrm>
          <a:off x="1181100" y="9582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0</xdr:col>
      <xdr:colOff>1181100</xdr:colOff>
      <xdr:row>37</xdr:row>
      <xdr:rowOff>0</xdr:rowOff>
    </xdr:from>
    <xdr:ext cx="184731" cy="264560"/>
    <xdr:sp macro="" textlink="">
      <xdr:nvSpPr>
        <xdr:cNvPr id="2" name="TextBox 1"/>
        <xdr:cNvSpPr txBox="1"/>
      </xdr:nvSpPr>
      <xdr:spPr>
        <a:xfrm>
          <a:off x="1181100" y="9582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101441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0</xdr:col>
      <xdr:colOff>1181100</xdr:colOff>
      <xdr:row>37</xdr:row>
      <xdr:rowOff>0</xdr:rowOff>
    </xdr:from>
    <xdr:ext cx="184731" cy="264560"/>
    <xdr:sp macro="" textlink="">
      <xdr:nvSpPr>
        <xdr:cNvPr id="2" name="TextBox 1"/>
        <xdr:cNvSpPr txBox="1"/>
      </xdr:nvSpPr>
      <xdr:spPr>
        <a:xfrm>
          <a:off x="1181100" y="9401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101441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0</xdr:col>
      <xdr:colOff>1181100</xdr:colOff>
      <xdr:row>36</xdr:row>
      <xdr:rowOff>0</xdr:rowOff>
    </xdr:from>
    <xdr:ext cx="184731" cy="264560"/>
    <xdr:sp macro="" textlink="">
      <xdr:nvSpPr>
        <xdr:cNvPr id="2" name="TextBox 1"/>
        <xdr:cNvSpPr txBox="1"/>
      </xdr:nvSpPr>
      <xdr:spPr>
        <a:xfrm>
          <a:off x="1181100" y="9401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36</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36</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36</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4" name="TextBox 3"/>
        <xdr:cNvSpPr txBox="1"/>
      </xdr:nvSpPr>
      <xdr:spPr>
        <a:xfrm>
          <a:off x="1181100" y="13658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6" name="TextBox 5"/>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0</xdr:col>
      <xdr:colOff>1181100</xdr:colOff>
      <xdr:row>37</xdr:row>
      <xdr:rowOff>0</xdr:rowOff>
    </xdr:from>
    <xdr:ext cx="184731" cy="264560"/>
    <xdr:sp macro="" textlink="">
      <xdr:nvSpPr>
        <xdr:cNvPr id="4" name="TextBox 3"/>
        <xdr:cNvSpPr txBox="1"/>
      </xdr:nvSpPr>
      <xdr:spPr>
        <a:xfrm>
          <a:off x="1181100" y="13277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3" name="TextBox 2"/>
        <xdr:cNvSpPr txBox="1"/>
      </xdr:nvSpPr>
      <xdr:spPr>
        <a:xfrm>
          <a:off x="1181100" y="8191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6" name="TextBox 5"/>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104203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0</xdr:col>
      <xdr:colOff>1181100</xdr:colOff>
      <xdr:row>38</xdr:row>
      <xdr:rowOff>0</xdr:rowOff>
    </xdr:from>
    <xdr:ext cx="184731" cy="264560"/>
    <xdr:sp macro="" textlink="">
      <xdr:nvSpPr>
        <xdr:cNvPr id="4" name="TextBox 3"/>
        <xdr:cNvSpPr txBox="1"/>
      </xdr:nvSpPr>
      <xdr:spPr>
        <a:xfrm>
          <a:off x="1181100" y="13277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38</xdr:row>
      <xdr:rowOff>0</xdr:rowOff>
    </xdr:from>
    <xdr:ext cx="184731" cy="264560"/>
    <xdr:sp macro="" textlink="">
      <xdr:nvSpPr>
        <xdr:cNvPr id="3" name="TextBox 2"/>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38</xdr:row>
      <xdr:rowOff>0</xdr:rowOff>
    </xdr:from>
    <xdr:ext cx="184731" cy="264560"/>
    <xdr:sp macro="" textlink="">
      <xdr:nvSpPr>
        <xdr:cNvPr id="5" name="TextBox 4"/>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0</xdr:col>
      <xdr:colOff>1181100</xdr:colOff>
      <xdr:row>45</xdr:row>
      <xdr:rowOff>0</xdr:rowOff>
    </xdr:from>
    <xdr:ext cx="184731" cy="264560"/>
    <xdr:sp macro="" textlink="">
      <xdr:nvSpPr>
        <xdr:cNvPr id="2" name="TextBox 1"/>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45</xdr:row>
      <xdr:rowOff>0</xdr:rowOff>
    </xdr:from>
    <xdr:ext cx="184731" cy="264560"/>
    <xdr:sp macro="" textlink="">
      <xdr:nvSpPr>
        <xdr:cNvPr id="3" name="TextBox 2"/>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0</xdr:col>
      <xdr:colOff>1181100</xdr:colOff>
      <xdr:row>41</xdr:row>
      <xdr:rowOff>0</xdr:rowOff>
    </xdr:from>
    <xdr:ext cx="184731" cy="264560"/>
    <xdr:sp macro="" textlink="">
      <xdr:nvSpPr>
        <xdr:cNvPr id="2" name="TextBox 1"/>
        <xdr:cNvSpPr txBox="1"/>
      </xdr:nvSpPr>
      <xdr:spPr>
        <a:xfrm>
          <a:off x="1181100" y="8258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41</xdr:row>
      <xdr:rowOff>0</xdr:rowOff>
    </xdr:from>
    <xdr:ext cx="184731" cy="264560"/>
    <xdr:sp macro="" textlink="">
      <xdr:nvSpPr>
        <xdr:cNvPr id="3" name="TextBox 2"/>
        <xdr:cNvSpPr txBox="1"/>
      </xdr:nvSpPr>
      <xdr:spPr>
        <a:xfrm>
          <a:off x="1181100" y="8258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41</xdr:row>
      <xdr:rowOff>0</xdr:rowOff>
    </xdr:from>
    <xdr:ext cx="184731" cy="264560"/>
    <xdr:sp macro="" textlink="">
      <xdr:nvSpPr>
        <xdr:cNvPr id="4" name="TextBox 3"/>
        <xdr:cNvSpPr txBox="1"/>
      </xdr:nvSpPr>
      <xdr:spPr>
        <a:xfrm>
          <a:off x="1181100" y="9734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41</xdr:row>
      <xdr:rowOff>0</xdr:rowOff>
    </xdr:from>
    <xdr:ext cx="184731" cy="264560"/>
    <xdr:sp macro="" textlink="">
      <xdr:nvSpPr>
        <xdr:cNvPr id="5" name="TextBox 4"/>
        <xdr:cNvSpPr txBox="1"/>
      </xdr:nvSpPr>
      <xdr:spPr>
        <a:xfrm>
          <a:off x="1181100" y="9734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0</xdr:col>
      <xdr:colOff>1181100</xdr:colOff>
      <xdr:row>41</xdr:row>
      <xdr:rowOff>0</xdr:rowOff>
    </xdr:from>
    <xdr:ext cx="184731" cy="264560"/>
    <xdr:sp macro="" textlink="">
      <xdr:nvSpPr>
        <xdr:cNvPr id="2" name="TextBox 1"/>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41</xdr:row>
      <xdr:rowOff>0</xdr:rowOff>
    </xdr:from>
    <xdr:ext cx="184731" cy="264560"/>
    <xdr:sp macro="" textlink="">
      <xdr:nvSpPr>
        <xdr:cNvPr id="3" name="TextBox 2"/>
        <xdr:cNvSpPr txBox="1"/>
      </xdr:nvSpPr>
      <xdr:spPr>
        <a:xfrm>
          <a:off x="1181100" y="9896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7.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5" name="TextBox 4"/>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8.xml><?xml version="1.0" encoding="utf-8"?>
<xdr:wsDr xmlns:xdr="http://schemas.openxmlformats.org/drawingml/2006/spreadsheetDrawing" xmlns:a="http://schemas.openxmlformats.org/drawingml/2006/main">
  <xdr:oneCellAnchor>
    <xdr:from>
      <xdr:col>0</xdr:col>
      <xdr:colOff>1181100</xdr:colOff>
      <xdr:row>37</xdr:row>
      <xdr:rowOff>0</xdr:rowOff>
    </xdr:from>
    <xdr:ext cx="184731" cy="264560"/>
    <xdr:sp macro="" textlink="">
      <xdr:nvSpPr>
        <xdr:cNvPr id="2" name="TextBox 1"/>
        <xdr:cNvSpPr txBox="1"/>
      </xdr:nvSpPr>
      <xdr:spPr>
        <a:xfrm>
          <a:off x="1181100" y="7715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3" name="TextBox 2"/>
        <xdr:cNvSpPr txBox="1"/>
      </xdr:nvSpPr>
      <xdr:spPr>
        <a:xfrm>
          <a:off x="1181100" y="7715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4" name="TextBox 3"/>
        <xdr:cNvSpPr txBox="1"/>
      </xdr:nvSpPr>
      <xdr:spPr>
        <a:xfrm>
          <a:off x="1181100" y="7715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37</xdr:row>
      <xdr:rowOff>0</xdr:rowOff>
    </xdr:from>
    <xdr:ext cx="184731" cy="264560"/>
    <xdr:sp macro="" textlink="">
      <xdr:nvSpPr>
        <xdr:cNvPr id="5" name="TextBox 4"/>
        <xdr:cNvSpPr txBox="1"/>
      </xdr:nvSpPr>
      <xdr:spPr>
        <a:xfrm>
          <a:off x="1181100" y="7715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19.xml><?xml version="1.0" encoding="utf-8"?>
<xdr:wsDr xmlns:xdr="http://schemas.openxmlformats.org/drawingml/2006/spreadsheetDrawing" xmlns:a="http://schemas.openxmlformats.org/drawingml/2006/main">
  <xdr:oneCellAnchor>
    <xdr:from>
      <xdr:col>0</xdr:col>
      <xdr:colOff>1181100</xdr:colOff>
      <xdr:row>43</xdr:row>
      <xdr:rowOff>0</xdr:rowOff>
    </xdr:from>
    <xdr:ext cx="184731" cy="264560"/>
    <xdr:sp macro="" textlink="">
      <xdr:nvSpPr>
        <xdr:cNvPr id="2" name="TextBox 1"/>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3" name="TextBox 2"/>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43</xdr:row>
      <xdr:rowOff>0</xdr:rowOff>
    </xdr:from>
    <xdr:ext cx="184731" cy="264560"/>
    <xdr:sp macro="" textlink="">
      <xdr:nvSpPr>
        <xdr:cNvPr id="4" name="TextBox 3"/>
        <xdr:cNvSpPr txBox="1"/>
      </xdr:nvSpPr>
      <xdr:spPr>
        <a:xfrm>
          <a:off x="1181100" y="884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drawings/drawing20.xml><?xml version="1.0" encoding="utf-8"?>
<xdr:wsDr xmlns:xdr="http://schemas.openxmlformats.org/drawingml/2006/spreadsheetDrawing" xmlns:a="http://schemas.openxmlformats.org/drawingml/2006/main">
  <xdr:oneCellAnchor>
    <xdr:from>
      <xdr:col>0</xdr:col>
      <xdr:colOff>1181100</xdr:colOff>
      <xdr:row>38</xdr:row>
      <xdr:rowOff>0</xdr:rowOff>
    </xdr:from>
    <xdr:ext cx="184731" cy="264560"/>
    <xdr:sp macro="" textlink="">
      <xdr:nvSpPr>
        <xdr:cNvPr id="2" name="TextBox 1"/>
        <xdr:cNvSpPr txBox="1"/>
      </xdr:nvSpPr>
      <xdr:spPr>
        <a:xfrm>
          <a:off x="1181100" y="7905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38</xdr:row>
      <xdr:rowOff>0</xdr:rowOff>
    </xdr:from>
    <xdr:ext cx="184731" cy="264560"/>
    <xdr:sp macro="" textlink="">
      <xdr:nvSpPr>
        <xdr:cNvPr id="3" name="TextBox 2"/>
        <xdr:cNvSpPr txBox="1"/>
      </xdr:nvSpPr>
      <xdr:spPr>
        <a:xfrm>
          <a:off x="1181100" y="7905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oneCellAnchor>
    <xdr:from>
      <xdr:col>0</xdr:col>
      <xdr:colOff>1181100</xdr:colOff>
      <xdr:row>38</xdr:row>
      <xdr:rowOff>0</xdr:rowOff>
    </xdr:from>
    <xdr:ext cx="184731" cy="264560"/>
    <xdr:sp macro="" textlink="">
      <xdr:nvSpPr>
        <xdr:cNvPr id="4" name="TextBox 3"/>
        <xdr:cNvSpPr txBox="1"/>
      </xdr:nvSpPr>
      <xdr:spPr>
        <a:xfrm>
          <a:off x="1181100" y="7905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GB"/>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sdsf00d03\MentalHealth3\Psychological%20Therapies\Publication\20190903\Excel\Publication\background%20templates\Unadjusted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sdsf00d03\waittime\Psychological%20Therapies\Reporting\Monthly\SG\2015\2015-08\Full%20version\Psych%20Therapies%20heat%20waiting%20times%20August%202015%20repor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sychological%20Therapies/Publication/20200901/Excel/Publication/Psychological-Therapies-WT-September-20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sdsf00d03\MentalHealth3\Psychological%20Therapies\Publication\background%20templates\Over%2065year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tats\waittime\CAMHS\Reporting\Programs\Trend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Isdsf00d03\waittime\Psychological%20Therapies\Reporting\Monthly\SG\2017\2017-07\Adjusted%20Psychological%20Therapies%20Waiting%20Times%20-%20July%20201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0"/>
      <sheetName val="Make Report"/>
      <sheetName val="NotesSeen"/>
      <sheetName val="NotesWaiting"/>
      <sheetName val="patients-seen 18 Wk"/>
      <sheetName val="patients-seen 18 Wk combined"/>
      <sheetName val="patients-waiting 18 Wk"/>
      <sheetName val="patients-waiting 18 Wk combined"/>
      <sheetName val="patients seen long waiters"/>
      <sheetName val="patients seen long waiters Comb"/>
      <sheetName val="patients Waiting long waite"/>
      <sheetName val="patients Waiting long waiters C"/>
      <sheetName val="AllDataSeen"/>
      <sheetName val="AllDataWaiting"/>
      <sheetName val="ScotSeen"/>
      <sheetName val="Islandsseen"/>
      <sheetName val="A&amp;ASeen"/>
      <sheetName val="Bseen"/>
      <sheetName val="D&amp;Gseen"/>
      <sheetName val="FFseen"/>
      <sheetName val="FVseen"/>
      <sheetName val="GGseen"/>
      <sheetName val="Gseen"/>
      <sheetName val="Sheet1"/>
      <sheetName val="Hseen"/>
      <sheetName val="Lnseen"/>
      <sheetName val="Loseen"/>
      <sheetName val="Oseen"/>
      <sheetName val="Sseen"/>
      <sheetName val="Tseen"/>
      <sheetName val="Wseen"/>
      <sheetName val="NHS24seen"/>
      <sheetName val="ScotWaiting"/>
      <sheetName val="IslandWaiting"/>
      <sheetName val="IslandWaiting (2)"/>
      <sheetName val="A&amp;AWaiting"/>
      <sheetName val="Bwaiting"/>
      <sheetName val="D&amp;Gwaiting"/>
      <sheetName val="FFwaiting"/>
      <sheetName val="FVwaiting"/>
      <sheetName val="GGwaiting"/>
      <sheetName val="Gwaiting"/>
      <sheetName val="Sheet2"/>
      <sheetName val="Hwaiting"/>
      <sheetName val="Lnwaiting"/>
      <sheetName val="Lowaiting"/>
      <sheetName val="Owaiting"/>
      <sheetName val="Swaiting"/>
      <sheetName val="Twaiting"/>
      <sheetName val="Wwaiting"/>
      <sheetName val="NHS24waiting"/>
    </sheetNames>
    <sheetDataSet>
      <sheetData sheetId="0">
        <row r="1">
          <cell r="G1" t="str">
            <v>Scotland</v>
          </cell>
        </row>
        <row r="2">
          <cell r="G2" t="str">
            <v>NHS Ayrshire &amp; Arran</v>
          </cell>
        </row>
        <row r="3">
          <cell r="G3" t="str">
            <v>NHS Borders</v>
          </cell>
        </row>
        <row r="4">
          <cell r="G4" t="str">
            <v>NHS Dumfries &amp; Galloway</v>
          </cell>
        </row>
        <row r="5">
          <cell r="G5" t="str">
            <v>NHS Fife</v>
          </cell>
        </row>
        <row r="6">
          <cell r="G6" t="str">
            <v>NHS Forth Valley</v>
          </cell>
        </row>
        <row r="7">
          <cell r="G7" t="str">
            <v>NHS Grampian</v>
          </cell>
        </row>
        <row r="8">
          <cell r="G8" t="str">
            <v>NHS Greater Glasgow &amp; Clyde</v>
          </cell>
        </row>
        <row r="9">
          <cell r="G9" t="str">
            <v>NHS Highland</v>
          </cell>
        </row>
        <row r="10">
          <cell r="G10" t="str">
            <v>NHS Lanarkshire</v>
          </cell>
        </row>
        <row r="11">
          <cell r="G11" t="str">
            <v>NHS Lothian</v>
          </cell>
        </row>
        <row r="12">
          <cell r="G12" t="str">
            <v>NHS Orkney</v>
          </cell>
        </row>
        <row r="13">
          <cell r="G13" t="str">
            <v>NHS Shetland</v>
          </cell>
        </row>
        <row r="14">
          <cell r="G14" t="str">
            <v>NHS Tayside</v>
          </cell>
        </row>
        <row r="15">
          <cell r="G15" t="str">
            <v>NHS Western Isles</v>
          </cell>
        </row>
        <row r="16">
          <cell r="G16" t="str">
            <v>NHS24</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Highlights"/>
      <sheetName val="Version changes"/>
      <sheetName val="Sheet10"/>
      <sheetName val="Make Report"/>
      <sheetName val="NotesSeen"/>
      <sheetName val="NotesWaiting"/>
      <sheetName val="notesqsseen"/>
      <sheetName val="notesqswaiting"/>
      <sheetName val="patients-seen rates"/>
      <sheetName val="patients-seen"/>
      <sheetName val="patients-waiting"/>
      <sheetName val="patients-seen by month"/>
      <sheetName val="patients-waiting by month"/>
      <sheetName val="Queue shape seen"/>
      <sheetName val="Queue shape waiting"/>
      <sheetName val="referral received"/>
      <sheetName val="referral accepted"/>
      <sheetName val="AllDataSeen"/>
      <sheetName val="AllDataWaiting"/>
      <sheetName val="ScotSeen"/>
      <sheetName val="A&amp;ASeen"/>
      <sheetName val="Bseen"/>
      <sheetName val="D&amp;Gseen"/>
      <sheetName val="FFseen"/>
      <sheetName val="FVseen"/>
      <sheetName val="GGseen"/>
      <sheetName val="Gseen"/>
      <sheetName val="Hseen"/>
      <sheetName val="Lnseen"/>
      <sheetName val="Loseen"/>
      <sheetName val="Oseen"/>
      <sheetName val="Sseen"/>
      <sheetName val="Tseen"/>
      <sheetName val="Wseen"/>
      <sheetName val="ScotWaiting"/>
      <sheetName val="A&amp;AWaiting"/>
      <sheetName val="Bwaiting"/>
      <sheetName val="D&amp;Gwaiting"/>
      <sheetName val="FFwaiting"/>
      <sheetName val="FVwaiting"/>
      <sheetName val="GGwaiting"/>
      <sheetName val="Gwaiting"/>
      <sheetName val="Hwaiting"/>
      <sheetName val="Lnwaiting"/>
      <sheetName val="Lowaiting"/>
      <sheetName val="Owaiting"/>
      <sheetName val="Swaiting"/>
      <sheetName val="Twaiting"/>
      <sheetName val="Wwaiting"/>
    </sheetNames>
    <sheetDataSet>
      <sheetData sheetId="0"/>
      <sheetData sheetId="1"/>
      <sheetData sheetId="2"/>
      <sheetData sheetId="3"/>
      <sheetData sheetId="4">
        <row r="8">
          <cell r="A8">
            <v>42217</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Make Report"/>
      <sheetName val="NotesSeen"/>
      <sheetName val="NotesWaiting"/>
      <sheetName val="NotesSeenU"/>
      <sheetName val="NotesWaitingU"/>
      <sheetName val="NotesSeen65"/>
      <sheetName val="NotesWaiting65"/>
      <sheetName val="1a"/>
      <sheetName val="1b"/>
      <sheetName val="1c"/>
      <sheetName val="1d"/>
      <sheetName val="2a"/>
      <sheetName val="2b"/>
      <sheetName val="2c"/>
      <sheetName val="2d"/>
      <sheetName val="3a"/>
      <sheetName val="3b"/>
      <sheetName val="3c"/>
      <sheetName val="3d"/>
      <sheetName val="4a"/>
      <sheetName val="4b"/>
      <sheetName val="3a (2)"/>
      <sheetName val="3b (2)"/>
      <sheetName val="3c (2)"/>
      <sheetName val="3d (2)"/>
      <sheetName val="Referrals received"/>
      <sheetName val="Referrals accepted"/>
      <sheetName val="Sheet10"/>
      <sheetName val="AllDataSeen"/>
      <sheetName val="AllDataWaiting"/>
      <sheetName val="AllDataSeenUnadj"/>
      <sheetName val="AllDataWaitingUnadj"/>
      <sheetName val="AllDataSeen65"/>
      <sheetName val="AllDataWaiting65"/>
      <sheetName val="referral received"/>
      <sheetName val="referral accepte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1">
          <cell r="J1" t="str">
            <v>Scotland</v>
          </cell>
        </row>
        <row r="2">
          <cell r="J2" t="str">
            <v>NHS Ayrshire &amp; Arran</v>
          </cell>
        </row>
        <row r="3">
          <cell r="J3" t="str">
            <v>NHS Borders</v>
          </cell>
        </row>
        <row r="4">
          <cell r="J4" t="str">
            <v>NHS Dumfries &amp; Galloway</v>
          </cell>
        </row>
        <row r="5">
          <cell r="J5" t="str">
            <v>NHS Fife</v>
          </cell>
        </row>
        <row r="6">
          <cell r="J6" t="str">
            <v>NHS Forth Valley</v>
          </cell>
        </row>
        <row r="7">
          <cell r="J7" t="str">
            <v>NHS Grampian</v>
          </cell>
        </row>
        <row r="8">
          <cell r="J8" t="str">
            <v>NHS Greater Glasgow &amp; Clyde</v>
          </cell>
        </row>
        <row r="9">
          <cell r="J9" t="str">
            <v>NHS Highland</v>
          </cell>
        </row>
        <row r="10">
          <cell r="J10" t="str">
            <v>NHS Lanarkshire</v>
          </cell>
        </row>
        <row r="11">
          <cell r="J11" t="str">
            <v>NHS Lothian</v>
          </cell>
        </row>
        <row r="12">
          <cell r="J12" t="str">
            <v>NHS Tayside</v>
          </cell>
        </row>
        <row r="13">
          <cell r="J13" t="str">
            <v>NHS Island Boards</v>
          </cell>
        </row>
        <row r="14">
          <cell r="J14" t="str">
            <v>NHS24</v>
          </cell>
        </row>
      </sheetData>
      <sheetData sheetId="29"/>
      <sheetData sheetId="30"/>
      <sheetData sheetId="31"/>
      <sheetData sheetId="32"/>
      <sheetData sheetId="33"/>
      <sheetData sheetId="34"/>
      <sheetData sheetId="35"/>
      <sheetData sheetId="3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0"/>
      <sheetName val="Make Report"/>
      <sheetName val="NotesSeen"/>
      <sheetName val="NotesWaiting"/>
      <sheetName val="patients-seen"/>
      <sheetName val="patients-waiting"/>
      <sheetName val="patients-seen-combined"/>
      <sheetName val="patients-waiting-combined"/>
      <sheetName val="patseen18weeks"/>
      <sheetName val="Patwaiting18weeks"/>
      <sheetName val="patseen18weekscombined"/>
      <sheetName val="patwaiting18weekscombined"/>
      <sheetName val="referral received"/>
      <sheetName val="referral accepted"/>
      <sheetName val="Quarterly referrals"/>
      <sheetName val="Quarterly Referrals 65+"/>
      <sheetName val="AllDataSeen"/>
      <sheetName val="AllDataWaiting"/>
      <sheetName val="ScotSeen"/>
      <sheetName val="islandseen"/>
      <sheetName val="islandwaiting"/>
      <sheetName val="A&amp;ASeen"/>
      <sheetName val="Bseen"/>
      <sheetName val="D&amp;Gseen"/>
      <sheetName val="FFseen"/>
      <sheetName val="FVseen"/>
      <sheetName val="GGseen"/>
      <sheetName val="Gseen"/>
      <sheetName val="Hseen"/>
      <sheetName val="Lnseen"/>
      <sheetName val="Loseen"/>
      <sheetName val="Oseen"/>
      <sheetName val="Sseen"/>
      <sheetName val="Tseen"/>
      <sheetName val="Wseen"/>
      <sheetName val="NHS24seen"/>
      <sheetName val="Sheet1"/>
      <sheetName val="ScotWaiting"/>
      <sheetName val="A&amp;AWaiting"/>
      <sheetName val="Bwaiting"/>
      <sheetName val="D&amp;Gwaiting"/>
      <sheetName val="FFwaiting"/>
      <sheetName val="FVwaiting"/>
      <sheetName val="GGwaiting"/>
      <sheetName val="Gwaiting"/>
      <sheetName val="Hwaiting"/>
      <sheetName val="Lnwaiting"/>
      <sheetName val="Lowaiting"/>
      <sheetName val="Owaiting"/>
      <sheetName val="Swaiting"/>
      <sheetName val="Twaiting"/>
      <sheetName val="Wwaiting"/>
      <sheetName val="NHS24waiting"/>
      <sheetName val="ScotSeen Unadjust"/>
      <sheetName val="A&amp;ASeen Unadjust"/>
      <sheetName val="Bseen Unadjust"/>
      <sheetName val="D&amp;Gseen Unadjust"/>
      <sheetName val="FFseen Unadjust"/>
      <sheetName val="FVseen Unadjust"/>
      <sheetName val="GGseen Unadjust"/>
      <sheetName val="Gseen Unadjust"/>
      <sheetName val="Hseen Unadjust"/>
      <sheetName val="Lnseen Unadjust"/>
      <sheetName val="Loseen Unadjust"/>
      <sheetName val="Oseen Unadjust"/>
      <sheetName val="Sseen Unadjust"/>
      <sheetName val="Tseen Unadjust"/>
      <sheetName val="Wseen Unadjust"/>
    </sheetNames>
    <sheetDataSet>
      <sheetData sheetId="0">
        <row r="2">
          <cell r="I2" t="str">
            <v>Scotland</v>
          </cell>
        </row>
        <row r="3">
          <cell r="I3" t="str">
            <v>NHS Ayrshire &amp; Arran</v>
          </cell>
        </row>
        <row r="4">
          <cell r="I4" t="str">
            <v>NHS Borders</v>
          </cell>
        </row>
        <row r="5">
          <cell r="I5" t="str">
            <v>NHS Dumfries &amp; Galloway</v>
          </cell>
        </row>
        <row r="6">
          <cell r="I6" t="str">
            <v>NHS Fife</v>
          </cell>
        </row>
        <row r="7">
          <cell r="I7" t="str">
            <v>NHS Forth Valley</v>
          </cell>
        </row>
        <row r="8">
          <cell r="I8" t="str">
            <v>NHS Grampian</v>
          </cell>
        </row>
        <row r="9">
          <cell r="I9" t="str">
            <v>NHS Greater Glasgow &amp; Clyde</v>
          </cell>
        </row>
        <row r="10">
          <cell r="I10" t="str">
            <v>NHS Highland</v>
          </cell>
        </row>
        <row r="11">
          <cell r="I11" t="str">
            <v>NHS Lanarkshire</v>
          </cell>
        </row>
        <row r="12">
          <cell r="I12" t="str">
            <v>NHS Lothian</v>
          </cell>
        </row>
        <row r="13">
          <cell r="I13" t="str">
            <v>NHS Tayside</v>
          </cell>
        </row>
        <row r="14">
          <cell r="I14" t="str">
            <v>NHS Island Boards</v>
          </cell>
        </row>
        <row r="15">
          <cell r="I15" t="str">
            <v>NHS24</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0"/>
      <sheetName val="Make Report"/>
      <sheetName val="NotesSeen"/>
      <sheetName val="NotesWaiting"/>
      <sheetName val="Trends"/>
      <sheetName val="Queue shape"/>
      <sheetName val="AllDataWaiting"/>
      <sheetName val="AllDataSeen"/>
      <sheetName val="ScotSeen"/>
      <sheetName val="A&amp;ASeen"/>
      <sheetName val="Bseen"/>
      <sheetName val="D&amp;Gseen"/>
      <sheetName val="FFseen"/>
      <sheetName val="FVseen"/>
      <sheetName val="GGseen"/>
      <sheetName val="Gseen"/>
      <sheetName val="Hseen"/>
      <sheetName val="Lnseen"/>
      <sheetName val="Loseen"/>
      <sheetName val="Oseen"/>
      <sheetName val="Sseen"/>
      <sheetName val="Tseen"/>
      <sheetName val="Wseen"/>
      <sheetName val="ScotWaiting"/>
      <sheetName val="A&amp;AWaiting"/>
      <sheetName val="Bwaiting"/>
      <sheetName val="D&amp;Gwaiting"/>
      <sheetName val="FFwaiting"/>
      <sheetName val="FVwaiting"/>
      <sheetName val="GGwaiting"/>
      <sheetName val="Gwaiting"/>
      <sheetName val="Hwaiting"/>
      <sheetName val="Lnwaiting"/>
      <sheetName val="Lowaiting"/>
      <sheetName val="Owaiting"/>
      <sheetName val="Swaiting"/>
      <sheetName val="Twaiting"/>
      <sheetName val="Wwaiting"/>
    </sheetNames>
    <sheetDataSet>
      <sheetData sheetId="0">
        <row r="4">
          <cell r="D4" t="str">
            <v>0-26 weeks</v>
          </cell>
        </row>
        <row r="5">
          <cell r="D5" t="str">
            <v>over 26 weeks</v>
          </cell>
        </row>
        <row r="6">
          <cell r="D6" t="str">
            <v>0-18 weeks</v>
          </cell>
        </row>
        <row r="7">
          <cell r="D7" t="str">
            <v>over 39 weeks</v>
          </cell>
        </row>
        <row r="8">
          <cell r="D8" t="str">
            <v>over 52 weeks</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sion changes"/>
      <sheetName val="Sheet10"/>
      <sheetName val="Make Report"/>
      <sheetName val="Contents"/>
      <sheetName val="Highlights"/>
      <sheetName val="NotesSeen"/>
      <sheetName val="NotesWaiting"/>
      <sheetName val="notesqsseen"/>
      <sheetName val="notesqswaiting"/>
      <sheetName val="Patients Seen"/>
      <sheetName val="Patients Waiting"/>
      <sheetName val="Dynamicchartref"/>
      <sheetName val="Referral Rates"/>
      <sheetName val="Queue shape "/>
      <sheetName val="Notes"/>
      <sheetName val="AllDataSeen"/>
      <sheetName val="AllDataWaiting"/>
    </sheetNames>
    <sheetDataSet>
      <sheetData sheetId="0"/>
      <sheetData sheetId="1"/>
      <sheetData sheetId="2"/>
      <sheetData sheetId="3"/>
      <sheetData sheetId="4"/>
      <sheetData sheetId="5">
        <row r="2">
          <cell r="A2" t="str">
            <v>NHS24</v>
          </cell>
        </row>
      </sheetData>
      <sheetData sheetId="6">
        <row r="2">
          <cell r="A2" t="str">
            <v>Blue text indicates notes from previous monthly reports</v>
          </cell>
        </row>
        <row r="3">
          <cell r="A3" t="str">
            <v>NHS24</v>
          </cell>
          <cell r="B3" t="str">
            <v>NHS24 Living Life data has been submitted from February 2017.</v>
          </cell>
        </row>
        <row r="4">
          <cell r="A4" t="str">
            <v>NHS Ayrshire &amp; Arran</v>
          </cell>
          <cell r="B4" t="str">
            <v>NHS Ayrshire and Arran data is unavailable for July 2017</v>
          </cell>
        </row>
        <row r="5">
          <cell r="A5" t="str">
            <v>NHS Borders</v>
          </cell>
        </row>
        <row r="6">
          <cell r="A6" t="str">
            <v>NHS Dumfries &amp; Galloway</v>
          </cell>
          <cell r="B6" t="str">
            <v>No CAMH service activity is included.</v>
          </cell>
        </row>
        <row r="7">
          <cell r="A7" t="str">
            <v>NHS Fife</v>
          </cell>
          <cell r="B7" t="str">
            <v>NHS Fife have advised that Occupational Therapy service is migrating to an electronic system, leading to missing data (small numbers).</v>
          </cell>
        </row>
        <row r="8">
          <cell r="A8" t="str">
            <v>NHS Forth Valley</v>
          </cell>
          <cell r="B8" t="str">
            <v>NHS Forth Valley only include data from Psychological Therapy, Psychodynamic Therapy, Behavioural Psychotherapy and Beating the Blues data.</v>
          </cell>
          <cell r="C8" t="str">
            <v>NHS Forth Valley include CAMHS from May 2017</v>
          </cell>
        </row>
        <row r="9">
          <cell r="A9" t="str">
            <v>NHS Grampian</v>
          </cell>
          <cell r="B9" t="str">
            <v>All CAMH service activity is included.</v>
          </cell>
        </row>
        <row r="10">
          <cell r="A10" t="str">
            <v>NHS Greater Glasgow &amp; Clyde</v>
          </cell>
          <cell r="B10" t="str">
            <v xml:space="preserve">NHS Greater Glasgow and Clyde data is incomplete from August 2016 to June 2017, due to the implementation of a new electronic system. </v>
          </cell>
        </row>
        <row r="11">
          <cell r="A11" t="str">
            <v>NHS Highland</v>
          </cell>
          <cell r="B11" t="str">
            <v>NHS Highland do not report on therapies delivered in community setting by Community Mental Health Nurses and therapies delivered by AHPs.</v>
          </cell>
          <cell r="D11" t="str">
            <v>No CAMH service activity is included.</v>
          </cell>
        </row>
        <row r="12">
          <cell r="A12" t="str">
            <v>NHS Lanarkshire</v>
          </cell>
          <cell r="B12" t="str">
            <v>Includes all CAMH activity data.</v>
          </cell>
          <cell r="C12" t="str">
            <v>NHS Lanarkshire does not include data from CamGlen from November 2016 due to the migration of patient management systems within NHS Greater Glasgow &amp; Clyde</v>
          </cell>
        </row>
        <row r="13">
          <cell r="A13" t="str">
            <v>NHS Lothian</v>
          </cell>
        </row>
        <row r="14">
          <cell r="A14" t="str">
            <v>NHS Orkney</v>
          </cell>
          <cell r="B14" t="str">
            <v>NHS Orkney data is unavailable until July 2017.</v>
          </cell>
        </row>
        <row r="15">
          <cell r="A15" t="str">
            <v>NHS Shetland</v>
          </cell>
        </row>
        <row r="16">
          <cell r="A16" t="str">
            <v>NHS Tayside</v>
          </cell>
          <cell r="B16" t="str">
            <v>NHS Tayside data is partially complete for June 2017 (to the 22nd) due to migration to TrakCare</v>
          </cell>
          <cell r="C16" t="str">
            <v>NHS Tayside data is unavailable for July 2017.</v>
          </cell>
        </row>
        <row r="17">
          <cell r="A17" t="str">
            <v>NHS Western Isles</v>
          </cell>
        </row>
        <row r="18">
          <cell r="A18" t="str">
            <v>Scotland</v>
          </cell>
          <cell r="B18" t="str">
            <v>Please see individual Health Boards for detailed footnotes.</v>
          </cell>
          <cell r="C18" t="str">
            <v>NHS Ayrshire and Arran data is unavailable for July 2017</v>
          </cell>
          <cell r="D18" t="str">
            <v xml:space="preserve">NHS Greater Glasgow and Clyde data is incomplete from August 2016 to June 2017, due to the implementation of a new electronic system. </v>
          </cell>
          <cell r="E18" t="str">
            <v>NHS Highland do not report on therapies delivered in community setting by Community Mental Health Nurses and therapies delivered by AHPs.</v>
          </cell>
          <cell r="F18" t="str">
            <v>NHS Lanarkshire does not include data from CamGlen from November 2016 due to the migration of patient management systems within NHS Greater Glasgow &amp; Clyde</v>
          </cell>
          <cell r="G18" t="str">
            <v>NHS Orkney data is unavailable until July 2017.</v>
          </cell>
          <cell r="H18" t="str">
            <v>NHS Tayside data is partially complete for June 2017 (to the 22nd) due to migration to TrakCare</v>
          </cell>
          <cell r="I18" t="str">
            <v>NHS24 Living Life data has been submitted from February 2017.</v>
          </cell>
        </row>
      </sheetData>
      <sheetData sheetId="7"/>
      <sheetData sheetId="8"/>
      <sheetData sheetId="9">
        <row r="77">
          <cell r="A77" t="str">
            <v>Patients seen - adjusted waits - Scotland</v>
          </cell>
        </row>
      </sheetData>
      <sheetData sheetId="10">
        <row r="75">
          <cell r="A75" t="str">
            <v>Patients waiting - adjusted waits - Scotland</v>
          </cell>
        </row>
      </sheetData>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hyperlink" Target="mailto:NSS.isdPsychtherapies@nhs.net"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8.bin"/><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9.bin"/><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0.bin"/><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1.bin"/><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2.bin"/><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hyperlink" Target="http://beta.isdscotland.org/find-publications-and-data/conditions-and-diseases/mental-health/psychological-therapies-waiting-times/2-june-20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U702"/>
  <sheetViews>
    <sheetView workbookViewId="0">
      <selection activeCell="A20" sqref="A20"/>
    </sheetView>
  </sheetViews>
  <sheetFormatPr defaultRowHeight="15"/>
  <cols>
    <col min="1" max="1" width="10.7109375" bestFit="1" customWidth="1"/>
    <col min="4" max="4" width="12" customWidth="1"/>
    <col min="5" max="5" width="12.28515625" customWidth="1"/>
    <col min="6" max="6" width="9" customWidth="1"/>
    <col min="10" max="10" width="15.42578125" bestFit="1" customWidth="1"/>
    <col min="13" max="13" width="61" customWidth="1"/>
    <col min="14" max="14" width="10.7109375" bestFit="1" customWidth="1"/>
  </cols>
  <sheetData>
    <row r="1" spans="1:21">
      <c r="N1" s="145" t="s">
        <v>409</v>
      </c>
      <c r="R1" t="s">
        <v>389</v>
      </c>
    </row>
    <row r="2" spans="1:21">
      <c r="A2" t="s">
        <v>0</v>
      </c>
      <c r="E2" s="1" t="s">
        <v>14</v>
      </c>
      <c r="F2">
        <v>1</v>
      </c>
      <c r="I2" t="s">
        <v>307</v>
      </c>
      <c r="M2" t="s">
        <v>136</v>
      </c>
      <c r="N2" s="168">
        <v>369360</v>
      </c>
      <c r="O2">
        <v>84228</v>
      </c>
      <c r="R2" t="s">
        <v>390</v>
      </c>
      <c r="T2" s="167"/>
      <c r="U2" s="168"/>
    </row>
    <row r="3" spans="1:21">
      <c r="A3" t="s">
        <v>1</v>
      </c>
      <c r="E3" s="1" t="s">
        <v>15</v>
      </c>
      <c r="F3">
        <v>2</v>
      </c>
      <c r="I3" t="s">
        <v>308</v>
      </c>
      <c r="M3" t="s">
        <v>137</v>
      </c>
      <c r="N3" s="168">
        <v>115510</v>
      </c>
      <c r="O3">
        <v>28616</v>
      </c>
      <c r="R3" t="s">
        <v>391</v>
      </c>
      <c r="T3" s="167"/>
      <c r="U3" s="168"/>
    </row>
    <row r="4" spans="1:21">
      <c r="A4" t="s">
        <v>26</v>
      </c>
      <c r="E4" s="1" t="s">
        <v>16</v>
      </c>
      <c r="F4">
        <v>3</v>
      </c>
      <c r="I4" t="s">
        <v>309</v>
      </c>
      <c r="M4" t="s">
        <v>160</v>
      </c>
      <c r="N4" s="168">
        <v>148860</v>
      </c>
      <c r="O4">
        <v>38570</v>
      </c>
      <c r="R4" t="s">
        <v>392</v>
      </c>
      <c r="T4" s="167"/>
      <c r="U4" s="168"/>
    </row>
    <row r="5" spans="1:21">
      <c r="A5" t="s">
        <v>2</v>
      </c>
      <c r="E5" s="1" t="s">
        <v>17</v>
      </c>
      <c r="F5">
        <v>4</v>
      </c>
      <c r="I5" t="s">
        <v>310</v>
      </c>
      <c r="M5" t="s">
        <v>138</v>
      </c>
      <c r="N5" s="168">
        <v>373550</v>
      </c>
      <c r="O5">
        <v>77024</v>
      </c>
      <c r="R5" t="s">
        <v>393</v>
      </c>
      <c r="T5" s="167"/>
      <c r="U5" s="168"/>
    </row>
    <row r="6" spans="1:21">
      <c r="A6" t="s">
        <v>3</v>
      </c>
      <c r="E6" s="1" t="s">
        <v>18</v>
      </c>
      <c r="F6">
        <v>5</v>
      </c>
      <c r="M6" t="s">
        <v>139</v>
      </c>
      <c r="N6" s="168">
        <v>306640</v>
      </c>
      <c r="O6">
        <v>59174</v>
      </c>
      <c r="R6" t="s">
        <v>394</v>
      </c>
      <c r="T6" s="167"/>
      <c r="U6" s="168"/>
    </row>
    <row r="7" spans="1:21">
      <c r="A7" t="s">
        <v>4</v>
      </c>
      <c r="E7" s="1" t="s">
        <v>19</v>
      </c>
      <c r="F7">
        <v>6</v>
      </c>
      <c r="M7" t="s">
        <v>140</v>
      </c>
      <c r="N7" s="168">
        <v>585700</v>
      </c>
      <c r="O7">
        <v>107946</v>
      </c>
      <c r="R7" t="s">
        <v>395</v>
      </c>
      <c r="T7" s="167"/>
      <c r="U7" s="168"/>
    </row>
    <row r="8" spans="1:21">
      <c r="A8" t="s">
        <v>5</v>
      </c>
      <c r="E8" s="1" t="s">
        <v>20</v>
      </c>
      <c r="F8">
        <v>7</v>
      </c>
      <c r="M8" t="s">
        <v>141</v>
      </c>
      <c r="N8" s="168">
        <v>1183120</v>
      </c>
      <c r="O8">
        <v>195952</v>
      </c>
      <c r="R8" t="s">
        <v>396</v>
      </c>
      <c r="T8" s="169"/>
      <c r="U8" s="168"/>
    </row>
    <row r="9" spans="1:21">
      <c r="A9" t="s">
        <v>6</v>
      </c>
      <c r="E9" s="1" t="s">
        <v>21</v>
      </c>
      <c r="F9">
        <v>8</v>
      </c>
      <c r="M9" t="s">
        <v>142</v>
      </c>
      <c r="N9" s="168">
        <v>321700</v>
      </c>
      <c r="O9">
        <v>75298</v>
      </c>
      <c r="R9" t="s">
        <v>397</v>
      </c>
      <c r="T9" s="169"/>
      <c r="U9" s="168"/>
    </row>
    <row r="10" spans="1:21">
      <c r="A10" t="s">
        <v>7</v>
      </c>
      <c r="E10" s="1" t="s">
        <v>22</v>
      </c>
      <c r="F10">
        <v>9</v>
      </c>
      <c r="M10" t="s">
        <v>192</v>
      </c>
      <c r="N10" s="168">
        <v>661900</v>
      </c>
      <c r="O10">
        <v>121805</v>
      </c>
      <c r="R10" t="s">
        <v>398</v>
      </c>
      <c r="T10" s="167"/>
      <c r="U10" s="168"/>
    </row>
    <row r="11" spans="1:21">
      <c r="A11" t="s">
        <v>8</v>
      </c>
      <c r="E11" s="1" t="s">
        <v>23</v>
      </c>
      <c r="F11">
        <v>10</v>
      </c>
      <c r="M11" t="s">
        <v>143</v>
      </c>
      <c r="N11" s="168">
        <v>907580</v>
      </c>
      <c r="O11">
        <v>148954</v>
      </c>
      <c r="R11" t="s">
        <v>399</v>
      </c>
      <c r="T11" s="167"/>
      <c r="U11" s="168"/>
    </row>
    <row r="12" spans="1:21">
      <c r="A12" t="s">
        <v>9</v>
      </c>
      <c r="E12" s="1" t="s">
        <v>24</v>
      </c>
      <c r="F12">
        <v>11</v>
      </c>
      <c r="M12" t="s">
        <v>144</v>
      </c>
      <c r="N12" s="168">
        <v>22270</v>
      </c>
      <c r="O12">
        <v>5306</v>
      </c>
      <c r="R12" t="s">
        <v>400</v>
      </c>
      <c r="T12" s="167"/>
      <c r="U12" s="168"/>
    </row>
    <row r="13" spans="1:21">
      <c r="A13" t="s">
        <v>10</v>
      </c>
      <c r="E13" s="1" t="s">
        <v>25</v>
      </c>
      <c r="F13">
        <v>12</v>
      </c>
      <c r="M13" t="s">
        <v>145</v>
      </c>
      <c r="N13" s="168">
        <v>22920</v>
      </c>
      <c r="O13">
        <v>4686</v>
      </c>
      <c r="R13" t="s">
        <v>401</v>
      </c>
      <c r="T13" s="167"/>
      <c r="U13" s="168"/>
    </row>
    <row r="14" spans="1:21">
      <c r="A14" t="s">
        <v>11</v>
      </c>
      <c r="M14" t="s">
        <v>146</v>
      </c>
      <c r="N14" s="168">
        <v>417470</v>
      </c>
      <c r="O14">
        <v>89691</v>
      </c>
      <c r="R14" t="s">
        <v>402</v>
      </c>
      <c r="T14" s="167"/>
      <c r="U14" s="168"/>
    </row>
    <row r="15" spans="1:21">
      <c r="A15" t="s">
        <v>12</v>
      </c>
      <c r="M15" t="s">
        <v>147</v>
      </c>
      <c r="N15" s="168">
        <v>26720</v>
      </c>
      <c r="O15">
        <v>6895</v>
      </c>
      <c r="R15" t="s">
        <v>403</v>
      </c>
      <c r="T15" s="170"/>
      <c r="U15" s="168"/>
    </row>
    <row r="16" spans="1:21">
      <c r="A16" t="s">
        <v>328</v>
      </c>
      <c r="M16" t="s">
        <v>28</v>
      </c>
      <c r="N16" s="146">
        <f>SUM(N2:N15)</f>
        <v>5463300</v>
      </c>
      <c r="O16" s="146">
        <f>SUM(O2:O15)</f>
        <v>1044145</v>
      </c>
    </row>
    <row r="17" spans="1:15">
      <c r="A17" t="s">
        <v>13</v>
      </c>
      <c r="M17" t="s">
        <v>478</v>
      </c>
      <c r="N17" s="57">
        <f>+N16-N12</f>
        <v>5441030</v>
      </c>
      <c r="O17" s="57">
        <f>+O16-O12</f>
        <v>1038839</v>
      </c>
    </row>
    <row r="18" spans="1:15">
      <c r="M18" t="s">
        <v>479</v>
      </c>
      <c r="N18" s="57">
        <f>+N13+N15+N12</f>
        <v>71910</v>
      </c>
      <c r="O18" s="57">
        <f>+O13+O15+O12</f>
        <v>16887</v>
      </c>
    </row>
    <row r="20" spans="1:15">
      <c r="A20" s="3">
        <f>'1a'!A11</f>
        <v>44348</v>
      </c>
    </row>
    <row r="21" spans="1:15">
      <c r="A21" s="3">
        <v>43191</v>
      </c>
    </row>
    <row r="24" spans="1:15">
      <c r="A24" t="s">
        <v>323</v>
      </c>
    </row>
    <row r="25" spans="1:15">
      <c r="A25" t="s">
        <v>324</v>
      </c>
    </row>
    <row r="26" spans="1:15">
      <c r="A26" t="s">
        <v>325</v>
      </c>
      <c r="J26" s="3" t="s">
        <v>28</v>
      </c>
    </row>
    <row r="27" spans="1:15">
      <c r="A27" t="s">
        <v>326</v>
      </c>
      <c r="J27" t="s">
        <v>136</v>
      </c>
    </row>
    <row r="28" spans="1:15">
      <c r="J28" t="s">
        <v>137</v>
      </c>
    </row>
    <row r="29" spans="1:15">
      <c r="J29" t="s">
        <v>160</v>
      </c>
      <c r="M29" t="s">
        <v>202</v>
      </c>
    </row>
    <row r="30" spans="1:15">
      <c r="A30" t="s">
        <v>0</v>
      </c>
      <c r="B30" t="s">
        <v>136</v>
      </c>
      <c r="D30">
        <v>1</v>
      </c>
      <c r="E30" s="1" t="s">
        <v>14</v>
      </c>
      <c r="F30">
        <v>1</v>
      </c>
      <c r="G30" t="s">
        <v>0</v>
      </c>
      <c r="I30" s="3" t="s">
        <v>28</v>
      </c>
      <c r="J30" t="s">
        <v>138</v>
      </c>
      <c r="M30" t="s">
        <v>201</v>
      </c>
      <c r="N30" t="s">
        <v>158</v>
      </c>
    </row>
    <row r="31" spans="1:15">
      <c r="A31" t="s">
        <v>1</v>
      </c>
      <c r="B31" t="s">
        <v>137</v>
      </c>
      <c r="D31">
        <v>2</v>
      </c>
      <c r="E31" s="1" t="s">
        <v>15</v>
      </c>
      <c r="F31">
        <v>2</v>
      </c>
      <c r="G31" t="s">
        <v>1</v>
      </c>
      <c r="I31" t="s">
        <v>136</v>
      </c>
      <c r="J31" t="s">
        <v>139</v>
      </c>
      <c r="M31" t="s">
        <v>203</v>
      </c>
      <c r="N31" t="s">
        <v>159</v>
      </c>
    </row>
    <row r="32" spans="1:15">
      <c r="A32" t="s">
        <v>26</v>
      </c>
      <c r="B32" t="s">
        <v>160</v>
      </c>
      <c r="D32">
        <v>3</v>
      </c>
      <c r="E32" s="1" t="s">
        <v>16</v>
      </c>
      <c r="F32">
        <v>3</v>
      </c>
      <c r="G32" t="s">
        <v>26</v>
      </c>
      <c r="I32" t="s">
        <v>137</v>
      </c>
      <c r="J32" t="s">
        <v>140</v>
      </c>
    </row>
    <row r="33" spans="1:14">
      <c r="A33" t="s">
        <v>2</v>
      </c>
      <c r="B33" t="s">
        <v>138</v>
      </c>
      <c r="D33">
        <v>4</v>
      </c>
      <c r="E33" s="1" t="s">
        <v>17</v>
      </c>
      <c r="F33">
        <v>4</v>
      </c>
      <c r="G33" t="s">
        <v>2</v>
      </c>
      <c r="I33" t="s">
        <v>160</v>
      </c>
      <c r="J33" t="s">
        <v>141</v>
      </c>
      <c r="M33" t="s">
        <v>352</v>
      </c>
      <c r="N33" t="s">
        <v>161</v>
      </c>
    </row>
    <row r="34" spans="1:14">
      <c r="A34" t="s">
        <v>3</v>
      </c>
      <c r="B34" t="s">
        <v>139</v>
      </c>
      <c r="D34">
        <v>5</v>
      </c>
      <c r="E34" s="1" t="s">
        <v>18</v>
      </c>
      <c r="F34">
        <v>5</v>
      </c>
      <c r="G34" t="s">
        <v>3</v>
      </c>
      <c r="I34" t="s">
        <v>138</v>
      </c>
      <c r="J34" t="s">
        <v>142</v>
      </c>
      <c r="M34" t="s">
        <v>351</v>
      </c>
      <c r="N34" t="s">
        <v>162</v>
      </c>
    </row>
    <row r="35" spans="1:14">
      <c r="A35" t="s">
        <v>4</v>
      </c>
      <c r="B35" t="s">
        <v>140</v>
      </c>
      <c r="D35">
        <v>6</v>
      </c>
      <c r="E35" s="1" t="s">
        <v>19</v>
      </c>
      <c r="F35">
        <v>6</v>
      </c>
      <c r="G35" t="s">
        <v>4</v>
      </c>
      <c r="I35" t="s">
        <v>139</v>
      </c>
      <c r="J35" t="s">
        <v>192</v>
      </c>
      <c r="M35" t="s">
        <v>29</v>
      </c>
      <c r="N35" t="s">
        <v>163</v>
      </c>
    </row>
    <row r="36" spans="1:14">
      <c r="A36" t="s">
        <v>5</v>
      </c>
      <c r="B36" t="s">
        <v>141</v>
      </c>
      <c r="D36">
        <v>7</v>
      </c>
      <c r="E36" s="1" t="s">
        <v>20</v>
      </c>
      <c r="F36">
        <v>7</v>
      </c>
      <c r="G36" t="s">
        <v>5</v>
      </c>
      <c r="I36" t="s">
        <v>140</v>
      </c>
      <c r="J36" t="s">
        <v>143</v>
      </c>
      <c r="M36" t="s">
        <v>353</v>
      </c>
      <c r="N36" t="s">
        <v>164</v>
      </c>
    </row>
    <row r="37" spans="1:14">
      <c r="A37" t="s">
        <v>6</v>
      </c>
      <c r="B37" t="s">
        <v>142</v>
      </c>
      <c r="D37">
        <v>8</v>
      </c>
      <c r="E37" s="1" t="s">
        <v>21</v>
      </c>
      <c r="F37">
        <v>8</v>
      </c>
      <c r="G37" t="s">
        <v>6</v>
      </c>
      <c r="I37" t="s">
        <v>141</v>
      </c>
      <c r="J37" s="3" t="s">
        <v>146</v>
      </c>
      <c r="M37" t="s">
        <v>354</v>
      </c>
      <c r="N37" t="s">
        <v>165</v>
      </c>
    </row>
    <row r="38" spans="1:14">
      <c r="A38" t="s">
        <v>7</v>
      </c>
      <c r="B38" t="s">
        <v>192</v>
      </c>
      <c r="D38">
        <v>9</v>
      </c>
      <c r="E38" s="1" t="s">
        <v>22</v>
      </c>
      <c r="F38">
        <v>9</v>
      </c>
      <c r="G38" t="s">
        <v>7</v>
      </c>
      <c r="I38" t="s">
        <v>142</v>
      </c>
      <c r="J38" s="3" t="s">
        <v>327</v>
      </c>
      <c r="M38" t="s">
        <v>355</v>
      </c>
      <c r="N38" t="s">
        <v>166</v>
      </c>
    </row>
    <row r="39" spans="1:14">
      <c r="A39" t="s">
        <v>8</v>
      </c>
      <c r="B39" t="s">
        <v>143</v>
      </c>
      <c r="D39">
        <v>10</v>
      </c>
      <c r="E39" s="1" t="s">
        <v>23</v>
      </c>
      <c r="F39">
        <v>10</v>
      </c>
      <c r="G39" t="s">
        <v>8</v>
      </c>
      <c r="I39" t="s">
        <v>192</v>
      </c>
      <c r="J39" t="s">
        <v>328</v>
      </c>
      <c r="M39" t="s">
        <v>356</v>
      </c>
      <c r="N39" t="s">
        <v>167</v>
      </c>
    </row>
    <row r="40" spans="1:14">
      <c r="A40" t="s">
        <v>9</v>
      </c>
      <c r="B40" t="s">
        <v>144</v>
      </c>
      <c r="D40">
        <v>11</v>
      </c>
      <c r="E40" s="1" t="s">
        <v>24</v>
      </c>
      <c r="F40">
        <v>11</v>
      </c>
      <c r="G40" t="s">
        <v>9</v>
      </c>
      <c r="I40" t="s">
        <v>143</v>
      </c>
      <c r="J40" t="s">
        <v>144</v>
      </c>
      <c r="M40" t="s">
        <v>357</v>
      </c>
      <c r="N40" t="s">
        <v>168</v>
      </c>
    </row>
    <row r="41" spans="1:14">
      <c r="A41" t="s">
        <v>10</v>
      </c>
      <c r="B41" t="s">
        <v>145</v>
      </c>
      <c r="D41">
        <v>12</v>
      </c>
      <c r="E41" s="1" t="s">
        <v>25</v>
      </c>
      <c r="F41">
        <v>12</v>
      </c>
      <c r="G41" t="s">
        <v>10</v>
      </c>
      <c r="I41" t="s">
        <v>144</v>
      </c>
      <c r="J41" s="3" t="s">
        <v>145</v>
      </c>
    </row>
    <row r="42" spans="1:14">
      <c r="A42" t="s">
        <v>11</v>
      </c>
      <c r="B42" t="s">
        <v>146</v>
      </c>
      <c r="D42">
        <v>13</v>
      </c>
      <c r="G42" t="s">
        <v>11</v>
      </c>
      <c r="I42" s="3" t="s">
        <v>145</v>
      </c>
      <c r="J42" s="3" t="s">
        <v>147</v>
      </c>
    </row>
    <row r="43" spans="1:14">
      <c r="A43" t="s">
        <v>12</v>
      </c>
      <c r="B43" t="s">
        <v>147</v>
      </c>
      <c r="D43">
        <v>14</v>
      </c>
      <c r="G43" t="s">
        <v>12</v>
      </c>
      <c r="I43" s="3" t="s">
        <v>146</v>
      </c>
      <c r="J43" s="3" t="s">
        <v>13</v>
      </c>
    </row>
    <row r="44" spans="1:14">
      <c r="A44" t="s">
        <v>328</v>
      </c>
      <c r="B44" t="s">
        <v>328</v>
      </c>
      <c r="D44">
        <v>15</v>
      </c>
      <c r="G44" t="s">
        <v>328</v>
      </c>
      <c r="I44" s="3" t="s">
        <v>147</v>
      </c>
      <c r="J44" s="3" t="s">
        <v>13</v>
      </c>
    </row>
    <row r="45" spans="1:14">
      <c r="A45" t="s">
        <v>13</v>
      </c>
      <c r="B45" t="s">
        <v>28</v>
      </c>
      <c r="D45">
        <v>16</v>
      </c>
      <c r="I45" t="s">
        <v>328</v>
      </c>
      <c r="N45" t="s">
        <v>13</v>
      </c>
    </row>
    <row r="46" spans="1:14">
      <c r="A46" t="s">
        <v>13</v>
      </c>
      <c r="B46" t="s">
        <v>13</v>
      </c>
      <c r="I46" s="3" t="s">
        <v>13</v>
      </c>
      <c r="J46" s="3" t="s">
        <v>13</v>
      </c>
      <c r="N46" s="3">
        <f t="shared" ref="N46:N58" si="0">DATE(YEAR(N47),MONTH(N47)-1,DAY(N47))</f>
        <v>43922</v>
      </c>
    </row>
    <row r="47" spans="1:14">
      <c r="F47">
        <v>2012</v>
      </c>
      <c r="G47" s="1" t="s">
        <v>14</v>
      </c>
      <c r="I47" s="3" t="s">
        <v>205</v>
      </c>
      <c r="J47" s="1" t="s">
        <v>289</v>
      </c>
      <c r="K47">
        <v>2012</v>
      </c>
      <c r="M47" s="49">
        <v>41000</v>
      </c>
      <c r="N47" s="3">
        <f t="shared" si="0"/>
        <v>43952</v>
      </c>
    </row>
    <row r="48" spans="1:14">
      <c r="F48">
        <v>2012</v>
      </c>
      <c r="G48" s="1" t="s">
        <v>15</v>
      </c>
      <c r="I48" s="3" t="s">
        <v>206</v>
      </c>
      <c r="J48" s="44" t="str">
        <f>CONCATENATE("February ",K48)</f>
        <v>February 2012</v>
      </c>
      <c r="K48">
        <v>2012</v>
      </c>
      <c r="M48" s="49">
        <v>41030</v>
      </c>
      <c r="N48" s="3">
        <f t="shared" si="0"/>
        <v>43983</v>
      </c>
    </row>
    <row r="49" spans="1:14">
      <c r="F49">
        <v>2012</v>
      </c>
      <c r="G49" s="1" t="s">
        <v>16</v>
      </c>
      <c r="I49" s="3" t="s">
        <v>207</v>
      </c>
      <c r="J49" s="44" t="str">
        <f>CONCATENATE("March ",K49)</f>
        <v>March 2012</v>
      </c>
      <c r="K49">
        <v>2012</v>
      </c>
      <c r="M49" s="49">
        <v>41061</v>
      </c>
      <c r="N49" s="3">
        <f t="shared" si="0"/>
        <v>44013</v>
      </c>
    </row>
    <row r="50" spans="1:14">
      <c r="A50">
        <v>1</v>
      </c>
      <c r="B50" t="s">
        <v>35</v>
      </c>
      <c r="C50">
        <v>25</v>
      </c>
      <c r="D50" s="3">
        <v>41000</v>
      </c>
      <c r="E50" s="5">
        <v>41000</v>
      </c>
      <c r="F50">
        <v>2012</v>
      </c>
      <c r="G50" s="1" t="s">
        <v>17</v>
      </c>
      <c r="I50" s="3" t="s">
        <v>208</v>
      </c>
      <c r="J50" s="44" t="str">
        <f>CONCATENATE("April ",K50)</f>
        <v>April 2012</v>
      </c>
      <c r="K50">
        <v>2012</v>
      </c>
      <c r="M50" s="49">
        <v>41091</v>
      </c>
      <c r="N50" s="3">
        <f t="shared" si="0"/>
        <v>44044</v>
      </c>
    </row>
    <row r="51" spans="1:14">
      <c r="A51">
        <v>2</v>
      </c>
      <c r="B51" t="s">
        <v>36</v>
      </c>
      <c r="C51">
        <v>26</v>
      </c>
      <c r="D51" s="3">
        <v>41030</v>
      </c>
      <c r="E51" s="5">
        <v>41030</v>
      </c>
      <c r="F51">
        <v>2012</v>
      </c>
      <c r="G51" s="1" t="s">
        <v>18</v>
      </c>
      <c r="I51" s="3" t="s">
        <v>209</v>
      </c>
      <c r="J51" s="44" t="str">
        <f>CONCATENATE("May ",K51)</f>
        <v>May 2012</v>
      </c>
      <c r="K51">
        <v>2012</v>
      </c>
      <c r="M51" s="49">
        <v>41122</v>
      </c>
      <c r="N51" s="3">
        <f t="shared" si="0"/>
        <v>44075</v>
      </c>
    </row>
    <row r="52" spans="1:14">
      <c r="A52">
        <v>3</v>
      </c>
      <c r="B52" t="s">
        <v>37</v>
      </c>
      <c r="C52">
        <v>27</v>
      </c>
      <c r="D52" s="3">
        <v>41061</v>
      </c>
      <c r="E52" s="5">
        <v>41061</v>
      </c>
      <c r="F52">
        <v>2012</v>
      </c>
      <c r="G52" s="1" t="s">
        <v>19</v>
      </c>
      <c r="I52" s="3" t="s">
        <v>210</v>
      </c>
      <c r="J52" s="44" t="str">
        <f>CONCATENATE("June ",K52)</f>
        <v>June 2012</v>
      </c>
      <c r="K52">
        <v>2012</v>
      </c>
      <c r="M52" s="49">
        <v>41153</v>
      </c>
      <c r="N52" s="3">
        <f t="shared" si="0"/>
        <v>44105</v>
      </c>
    </row>
    <row r="53" spans="1:14">
      <c r="A53">
        <v>4</v>
      </c>
      <c r="B53" t="s">
        <v>38</v>
      </c>
      <c r="C53">
        <v>28</v>
      </c>
      <c r="D53" s="3">
        <v>41091</v>
      </c>
      <c r="E53" s="5">
        <v>41091</v>
      </c>
      <c r="F53">
        <v>2012</v>
      </c>
      <c r="G53" s="1" t="s">
        <v>20</v>
      </c>
      <c r="I53" s="3" t="s">
        <v>211</v>
      </c>
      <c r="J53" s="44" t="str">
        <f>CONCATENATE("July ",K53)</f>
        <v>July 2012</v>
      </c>
      <c r="K53">
        <v>2012</v>
      </c>
      <c r="M53" s="49">
        <v>41183</v>
      </c>
      <c r="N53" s="3">
        <f t="shared" si="0"/>
        <v>44136</v>
      </c>
    </row>
    <row r="54" spans="1:14">
      <c r="A54">
        <v>5</v>
      </c>
      <c r="B54" t="s">
        <v>39</v>
      </c>
      <c r="C54">
        <v>29</v>
      </c>
      <c r="D54" s="3">
        <v>41122</v>
      </c>
      <c r="E54" s="5">
        <v>41122</v>
      </c>
      <c r="F54">
        <v>2012</v>
      </c>
      <c r="G54" s="1" t="s">
        <v>21</v>
      </c>
      <c r="I54" s="3" t="s">
        <v>212</v>
      </c>
      <c r="J54" s="44" t="str">
        <f>CONCATENATE("August ",K54)</f>
        <v>August 2012</v>
      </c>
      <c r="K54">
        <v>2012</v>
      </c>
      <c r="M54" s="49">
        <v>41214</v>
      </c>
      <c r="N54" s="3">
        <f t="shared" si="0"/>
        <v>44166</v>
      </c>
    </row>
    <row r="55" spans="1:14">
      <c r="A55">
        <v>6</v>
      </c>
      <c r="B55" t="s">
        <v>40</v>
      </c>
      <c r="C55">
        <v>30</v>
      </c>
      <c r="D55" s="3">
        <v>41153</v>
      </c>
      <c r="E55" s="5">
        <v>41153</v>
      </c>
      <c r="F55">
        <v>2012</v>
      </c>
      <c r="G55" s="1" t="s">
        <v>22</v>
      </c>
      <c r="I55" s="3" t="s">
        <v>213</v>
      </c>
      <c r="J55" s="44" t="str">
        <f>CONCATENATE("September ",K55)</f>
        <v>September 2012</v>
      </c>
      <c r="K55">
        <v>2012</v>
      </c>
      <c r="M55" s="49">
        <v>41244</v>
      </c>
      <c r="N55" s="3">
        <f t="shared" si="0"/>
        <v>44197</v>
      </c>
    </row>
    <row r="56" spans="1:14">
      <c r="A56">
        <v>7</v>
      </c>
      <c r="B56" t="s">
        <v>41</v>
      </c>
      <c r="C56">
        <v>31</v>
      </c>
      <c r="D56" s="3">
        <v>41183</v>
      </c>
      <c r="E56" s="5">
        <v>41183</v>
      </c>
      <c r="F56">
        <v>2012</v>
      </c>
      <c r="G56" s="1" t="s">
        <v>23</v>
      </c>
      <c r="I56" s="3" t="s">
        <v>214</v>
      </c>
      <c r="J56" s="44" t="str">
        <f>CONCATENATE("October ",K56)</f>
        <v>October 2012</v>
      </c>
      <c r="K56">
        <v>2012</v>
      </c>
      <c r="M56" s="49">
        <v>41275</v>
      </c>
      <c r="N56" s="3">
        <f t="shared" si="0"/>
        <v>44228</v>
      </c>
    </row>
    <row r="57" spans="1:14">
      <c r="A57">
        <v>8</v>
      </c>
      <c r="B57" t="s">
        <v>42</v>
      </c>
      <c r="C57">
        <v>32</v>
      </c>
      <c r="D57" s="3">
        <v>41214</v>
      </c>
      <c r="E57" s="5">
        <v>41214</v>
      </c>
      <c r="F57">
        <v>2012</v>
      </c>
      <c r="G57" s="1" t="s">
        <v>24</v>
      </c>
      <c r="I57" s="3" t="s">
        <v>215</v>
      </c>
      <c r="J57" s="44" t="str">
        <f>CONCATENATE("November ",K57)</f>
        <v>November 2012</v>
      </c>
      <c r="K57">
        <v>2012</v>
      </c>
      <c r="M57" s="49">
        <v>41306</v>
      </c>
      <c r="N57" s="3">
        <f t="shared" si="0"/>
        <v>44256</v>
      </c>
    </row>
    <row r="58" spans="1:14">
      <c r="A58">
        <v>9</v>
      </c>
      <c r="B58" t="s">
        <v>43</v>
      </c>
      <c r="C58">
        <v>33</v>
      </c>
      <c r="D58" s="3">
        <v>41244</v>
      </c>
      <c r="E58" s="5">
        <v>41244</v>
      </c>
      <c r="F58">
        <v>2012</v>
      </c>
      <c r="G58" s="1" t="s">
        <v>25</v>
      </c>
      <c r="I58" s="3" t="s">
        <v>216</v>
      </c>
      <c r="J58" s="44" t="str">
        <f>CONCATENATE("December ",K58)</f>
        <v>December 2012</v>
      </c>
      <c r="K58">
        <v>2012</v>
      </c>
      <c r="M58" s="49">
        <v>41334</v>
      </c>
      <c r="N58" s="3">
        <f t="shared" si="0"/>
        <v>44287</v>
      </c>
    </row>
    <row r="59" spans="1:14">
      <c r="A59">
        <v>10</v>
      </c>
      <c r="B59" t="s">
        <v>44</v>
      </c>
      <c r="C59">
        <v>34</v>
      </c>
      <c r="D59" s="3">
        <v>41275</v>
      </c>
      <c r="E59" s="5">
        <v>41275</v>
      </c>
      <c r="F59">
        <v>2013</v>
      </c>
      <c r="G59" s="1" t="s">
        <v>14</v>
      </c>
      <c r="I59" s="3" t="s">
        <v>217</v>
      </c>
      <c r="J59" s="44" t="str">
        <f>CONCATENATE("January ",K59)</f>
        <v>January 2013</v>
      </c>
      <c r="K59">
        <v>2013</v>
      </c>
      <c r="M59" s="49">
        <v>41365</v>
      </c>
      <c r="N59" s="3">
        <f>DATE(YEAR(N60),MONTH(N60)-1,DAY(N60))</f>
        <v>44317</v>
      </c>
    </row>
    <row r="60" spans="1:14">
      <c r="A60">
        <v>11</v>
      </c>
      <c r="B60" t="s">
        <v>45</v>
      </c>
      <c r="C60">
        <v>35</v>
      </c>
      <c r="D60" s="3">
        <v>41306</v>
      </c>
      <c r="E60" s="5">
        <v>41306</v>
      </c>
      <c r="F60">
        <v>2013</v>
      </c>
      <c r="G60" s="1" t="s">
        <v>15</v>
      </c>
      <c r="I60" s="3" t="s">
        <v>218</v>
      </c>
      <c r="J60" s="44" t="str">
        <f>CONCATENATE("February ",K60)</f>
        <v>February 2013</v>
      </c>
      <c r="K60">
        <v>2013</v>
      </c>
      <c r="M60" s="49">
        <v>41395</v>
      </c>
      <c r="N60" s="3">
        <f>+A20</f>
        <v>44348</v>
      </c>
    </row>
    <row r="61" spans="1:14">
      <c r="A61">
        <v>12</v>
      </c>
      <c r="B61" t="s">
        <v>46</v>
      </c>
      <c r="C61">
        <v>36</v>
      </c>
      <c r="D61" s="3">
        <v>41334</v>
      </c>
      <c r="E61" s="5">
        <v>41334</v>
      </c>
      <c r="F61">
        <v>2013</v>
      </c>
      <c r="G61" s="1" t="s">
        <v>16</v>
      </c>
      <c r="I61" s="3" t="s">
        <v>219</v>
      </c>
      <c r="J61" s="44" t="str">
        <f>CONCATENATE("March ",K61)</f>
        <v>March 2013</v>
      </c>
      <c r="K61">
        <v>2013</v>
      </c>
      <c r="M61" s="49">
        <v>41426</v>
      </c>
      <c r="N61" t="s">
        <v>13</v>
      </c>
    </row>
    <row r="62" spans="1:14">
      <c r="A62">
        <v>13</v>
      </c>
      <c r="B62" t="s">
        <v>47</v>
      </c>
      <c r="C62">
        <v>37</v>
      </c>
      <c r="D62" s="3">
        <v>41365</v>
      </c>
      <c r="E62" s="5">
        <v>41365</v>
      </c>
      <c r="F62">
        <v>2013</v>
      </c>
      <c r="G62" s="1" t="s">
        <v>17</v>
      </c>
      <c r="I62" s="3" t="s">
        <v>220</v>
      </c>
      <c r="J62" s="44" t="str">
        <f>CONCATENATE("April ",K62)</f>
        <v>April 2013</v>
      </c>
      <c r="K62">
        <v>2013</v>
      </c>
      <c r="M62" s="49">
        <v>41456</v>
      </c>
      <c r="N62" t="s">
        <v>13</v>
      </c>
    </row>
    <row r="63" spans="1:14">
      <c r="A63">
        <v>14</v>
      </c>
      <c r="B63" t="s">
        <v>48</v>
      </c>
      <c r="C63">
        <v>38</v>
      </c>
      <c r="D63" s="3">
        <v>41395</v>
      </c>
      <c r="E63" s="5">
        <v>41395</v>
      </c>
      <c r="F63">
        <v>2013</v>
      </c>
      <c r="G63" s="1" t="s">
        <v>18</v>
      </c>
      <c r="I63" s="3" t="s">
        <v>221</v>
      </c>
      <c r="J63" s="44" t="str">
        <f>CONCATENATE("May ",K63)</f>
        <v>May 2013</v>
      </c>
      <c r="K63">
        <v>2013</v>
      </c>
      <c r="M63" s="49">
        <v>41487</v>
      </c>
    </row>
    <row r="64" spans="1:14">
      <c r="A64">
        <v>15</v>
      </c>
      <c r="B64" t="s">
        <v>49</v>
      </c>
      <c r="C64">
        <v>39</v>
      </c>
      <c r="D64" s="3">
        <v>41426</v>
      </c>
      <c r="E64" s="5">
        <v>41426</v>
      </c>
      <c r="F64">
        <v>2013</v>
      </c>
      <c r="G64" s="1" t="s">
        <v>19</v>
      </c>
      <c r="I64" s="3" t="s">
        <v>222</v>
      </c>
      <c r="J64" s="44" t="str">
        <f>CONCATENATE("June ",K64)</f>
        <v>June 2013</v>
      </c>
      <c r="K64">
        <v>2013</v>
      </c>
      <c r="M64" s="49">
        <v>41518</v>
      </c>
    </row>
    <row r="65" spans="1:13">
      <c r="A65">
        <v>16</v>
      </c>
      <c r="B65" t="s">
        <v>50</v>
      </c>
      <c r="C65">
        <v>40</v>
      </c>
      <c r="D65" s="3">
        <v>41456</v>
      </c>
      <c r="E65" s="5">
        <v>41456</v>
      </c>
      <c r="F65">
        <v>2013</v>
      </c>
      <c r="G65" s="1" t="s">
        <v>20</v>
      </c>
      <c r="I65" s="3" t="s">
        <v>223</v>
      </c>
      <c r="J65" s="44" t="str">
        <f>CONCATENATE("July ",K65)</f>
        <v>July 2013</v>
      </c>
      <c r="K65">
        <v>2013</v>
      </c>
      <c r="M65" s="49">
        <v>41548</v>
      </c>
    </row>
    <row r="66" spans="1:13">
      <c r="A66">
        <v>17</v>
      </c>
      <c r="B66" t="s">
        <v>51</v>
      </c>
      <c r="C66">
        <v>41</v>
      </c>
      <c r="D66" s="3">
        <v>41487</v>
      </c>
      <c r="E66" s="5">
        <v>41487</v>
      </c>
      <c r="F66">
        <v>2013</v>
      </c>
      <c r="G66" s="1" t="s">
        <v>21</v>
      </c>
      <c r="I66" s="3" t="s">
        <v>224</v>
      </c>
      <c r="J66" s="44" t="str">
        <f>CONCATENATE("August ",K66)</f>
        <v>August 2013</v>
      </c>
      <c r="K66">
        <v>2013</v>
      </c>
      <c r="M66" s="49">
        <v>41579</v>
      </c>
    </row>
    <row r="67" spans="1:13">
      <c r="A67">
        <v>18</v>
      </c>
      <c r="B67" t="s">
        <v>52</v>
      </c>
      <c r="C67">
        <v>42</v>
      </c>
      <c r="D67" s="3">
        <v>41518</v>
      </c>
      <c r="E67" s="5">
        <v>41518</v>
      </c>
      <c r="F67">
        <v>2013</v>
      </c>
      <c r="G67" s="1" t="s">
        <v>22</v>
      </c>
      <c r="I67" s="3" t="s">
        <v>225</v>
      </c>
      <c r="J67" s="44" t="str">
        <f>CONCATENATE("September ",K67)</f>
        <v>September 2013</v>
      </c>
      <c r="K67">
        <v>2013</v>
      </c>
      <c r="M67" s="49">
        <v>41609</v>
      </c>
    </row>
    <row r="68" spans="1:13">
      <c r="A68">
        <v>19</v>
      </c>
      <c r="B68" t="s">
        <v>53</v>
      </c>
      <c r="C68">
        <v>43</v>
      </c>
      <c r="D68" s="3">
        <v>41548</v>
      </c>
      <c r="E68" s="5">
        <v>41548</v>
      </c>
      <c r="F68">
        <v>2013</v>
      </c>
      <c r="G68" s="1" t="s">
        <v>23</v>
      </c>
      <c r="I68" s="3" t="s">
        <v>226</v>
      </c>
      <c r="J68" s="44" t="str">
        <f>CONCATENATE("October ",K68)</f>
        <v>October 2013</v>
      </c>
      <c r="K68">
        <v>2013</v>
      </c>
      <c r="M68" s="49">
        <v>41640</v>
      </c>
    </row>
    <row r="69" spans="1:13">
      <c r="A69">
        <v>20</v>
      </c>
      <c r="B69" t="s">
        <v>54</v>
      </c>
      <c r="C69">
        <v>44</v>
      </c>
      <c r="D69" s="3">
        <v>41579</v>
      </c>
      <c r="E69" s="5">
        <v>41579</v>
      </c>
      <c r="F69">
        <v>2013</v>
      </c>
      <c r="G69" s="1" t="s">
        <v>24</v>
      </c>
      <c r="I69" s="3" t="s">
        <v>227</v>
      </c>
      <c r="J69" s="44" t="str">
        <f>CONCATENATE("November ",K69)</f>
        <v>November 2013</v>
      </c>
      <c r="K69">
        <v>2013</v>
      </c>
      <c r="M69" s="49">
        <v>41671</v>
      </c>
    </row>
    <row r="70" spans="1:13">
      <c r="A70">
        <v>21</v>
      </c>
      <c r="B70" t="s">
        <v>55</v>
      </c>
      <c r="C70">
        <v>45</v>
      </c>
      <c r="D70" s="3">
        <v>41609</v>
      </c>
      <c r="E70" s="5">
        <v>41609</v>
      </c>
      <c r="F70">
        <v>2013</v>
      </c>
      <c r="G70" s="1" t="s">
        <v>25</v>
      </c>
      <c r="I70" s="3" t="s">
        <v>228</v>
      </c>
      <c r="J70" s="44" t="str">
        <f>CONCATENATE("December ",K70)</f>
        <v>December 2013</v>
      </c>
      <c r="K70">
        <v>2013</v>
      </c>
      <c r="M70" s="49">
        <v>41699</v>
      </c>
    </row>
    <row r="71" spans="1:13">
      <c r="A71">
        <v>22</v>
      </c>
      <c r="B71" t="s">
        <v>56</v>
      </c>
      <c r="C71">
        <v>46</v>
      </c>
      <c r="D71" s="3">
        <v>41640</v>
      </c>
      <c r="E71" s="5">
        <v>41640</v>
      </c>
      <c r="F71">
        <v>2014</v>
      </c>
      <c r="G71" s="1" t="s">
        <v>14</v>
      </c>
      <c r="I71" s="3" t="s">
        <v>229</v>
      </c>
      <c r="J71" s="44" t="str">
        <f>CONCATENATE("January ",K71)</f>
        <v>January 2014</v>
      </c>
      <c r="K71">
        <v>2014</v>
      </c>
      <c r="M71" s="49">
        <v>41730</v>
      </c>
    </row>
    <row r="72" spans="1:13">
      <c r="A72">
        <v>23</v>
      </c>
      <c r="B72" t="s">
        <v>57</v>
      </c>
      <c r="C72">
        <v>47</v>
      </c>
      <c r="D72" s="3">
        <v>41671</v>
      </c>
      <c r="E72" s="5">
        <v>41671</v>
      </c>
      <c r="F72">
        <v>2014</v>
      </c>
      <c r="G72" s="1" t="s">
        <v>15</v>
      </c>
      <c r="I72" s="3" t="s">
        <v>230</v>
      </c>
      <c r="J72" s="44" t="str">
        <f>CONCATENATE("February ",K72)</f>
        <v>February 2014</v>
      </c>
      <c r="K72">
        <v>2014</v>
      </c>
      <c r="M72" s="49">
        <v>41760</v>
      </c>
    </row>
    <row r="73" spans="1:13">
      <c r="A73">
        <v>24</v>
      </c>
      <c r="B73" t="s">
        <v>58</v>
      </c>
      <c r="C73">
        <v>48</v>
      </c>
      <c r="D73" s="3">
        <v>41699</v>
      </c>
      <c r="E73" s="5">
        <v>41699</v>
      </c>
      <c r="F73">
        <v>2014</v>
      </c>
      <c r="G73" s="1" t="s">
        <v>16</v>
      </c>
      <c r="I73" s="3" t="s">
        <v>231</v>
      </c>
      <c r="J73" s="44" t="str">
        <f>CONCATENATE("March ",K73)</f>
        <v>March 2014</v>
      </c>
      <c r="K73">
        <v>2014</v>
      </c>
      <c r="M73" s="49">
        <v>41791</v>
      </c>
    </row>
    <row r="74" spans="1:13">
      <c r="A74">
        <v>25</v>
      </c>
      <c r="B74" t="s">
        <v>59</v>
      </c>
      <c r="C74">
        <v>49</v>
      </c>
      <c r="D74" s="3">
        <v>41730</v>
      </c>
      <c r="E74" s="5">
        <v>41730</v>
      </c>
      <c r="F74">
        <v>2014</v>
      </c>
      <c r="G74" s="1" t="s">
        <v>17</v>
      </c>
      <c r="I74" s="3" t="s">
        <v>232</v>
      </c>
      <c r="J74" s="44" t="str">
        <f>CONCATENATE("April ",K74)</f>
        <v>April 2014</v>
      </c>
      <c r="K74">
        <v>2014</v>
      </c>
      <c r="M74" s="49">
        <v>41821</v>
      </c>
    </row>
    <row r="75" spans="1:13">
      <c r="A75">
        <v>26</v>
      </c>
      <c r="B75" t="s">
        <v>60</v>
      </c>
      <c r="C75">
        <v>50</v>
      </c>
      <c r="D75" s="3">
        <v>41760</v>
      </c>
      <c r="E75" s="5">
        <v>41760</v>
      </c>
      <c r="F75">
        <v>2014</v>
      </c>
      <c r="G75" s="1" t="s">
        <v>18</v>
      </c>
      <c r="I75" s="3" t="s">
        <v>233</v>
      </c>
      <c r="J75" s="44" t="str">
        <f>CONCATENATE("May ",K75)</f>
        <v>May 2014</v>
      </c>
      <c r="K75">
        <v>2014</v>
      </c>
      <c r="M75" s="49">
        <v>41852</v>
      </c>
    </row>
    <row r="76" spans="1:13">
      <c r="A76">
        <v>27</v>
      </c>
      <c r="B76" t="s">
        <v>61</v>
      </c>
      <c r="C76">
        <v>51</v>
      </c>
      <c r="D76" s="3">
        <v>41791</v>
      </c>
      <c r="E76" s="5">
        <v>41791</v>
      </c>
      <c r="F76">
        <v>2014</v>
      </c>
      <c r="G76" s="1" t="s">
        <v>19</v>
      </c>
      <c r="I76" s="3" t="s">
        <v>234</v>
      </c>
      <c r="J76" s="44" t="str">
        <f>CONCATENATE("June ",K76)</f>
        <v>June 2014</v>
      </c>
      <c r="K76">
        <v>2014</v>
      </c>
      <c r="M76" s="49">
        <v>41883</v>
      </c>
    </row>
    <row r="77" spans="1:13">
      <c r="A77">
        <v>28</v>
      </c>
      <c r="B77" t="s">
        <v>62</v>
      </c>
      <c r="C77">
        <v>52</v>
      </c>
      <c r="D77" s="3">
        <v>41821</v>
      </c>
      <c r="E77" s="5">
        <v>41821</v>
      </c>
      <c r="F77">
        <v>2014</v>
      </c>
      <c r="G77" s="1" t="s">
        <v>20</v>
      </c>
      <c r="I77" s="3" t="s">
        <v>235</v>
      </c>
      <c r="J77" s="44" t="str">
        <f>CONCATENATE("July ",K77)</f>
        <v>July 2014</v>
      </c>
      <c r="K77">
        <v>2014</v>
      </c>
      <c r="M77" s="49">
        <v>41913</v>
      </c>
    </row>
    <row r="78" spans="1:13">
      <c r="A78">
        <v>29</v>
      </c>
      <c r="B78" t="s">
        <v>63</v>
      </c>
      <c r="C78">
        <v>53</v>
      </c>
      <c r="D78" s="3">
        <v>41852</v>
      </c>
      <c r="E78" s="5">
        <v>41852</v>
      </c>
      <c r="F78">
        <v>2014</v>
      </c>
      <c r="G78" s="1" t="s">
        <v>21</v>
      </c>
      <c r="I78" s="3" t="s">
        <v>236</v>
      </c>
      <c r="J78" s="44" t="str">
        <f>CONCATENATE("August ",K78)</f>
        <v>August 2014</v>
      </c>
      <c r="K78">
        <v>2014</v>
      </c>
      <c r="M78" s="49">
        <v>41944</v>
      </c>
    </row>
    <row r="79" spans="1:13">
      <c r="A79">
        <v>30</v>
      </c>
      <c r="B79" t="s">
        <v>64</v>
      </c>
      <c r="C79">
        <v>54</v>
      </c>
      <c r="D79" s="3">
        <v>41883</v>
      </c>
      <c r="E79" s="5">
        <v>41883</v>
      </c>
      <c r="F79">
        <v>2014</v>
      </c>
      <c r="G79" s="1" t="s">
        <v>22</v>
      </c>
      <c r="I79" s="3" t="s">
        <v>237</v>
      </c>
      <c r="J79" s="44" t="str">
        <f>CONCATENATE("September ",K79)</f>
        <v>September 2014</v>
      </c>
      <c r="K79">
        <v>2014</v>
      </c>
      <c r="M79" s="49">
        <v>41974</v>
      </c>
    </row>
    <row r="80" spans="1:13">
      <c r="A80">
        <v>31</v>
      </c>
      <c r="B80" t="s">
        <v>65</v>
      </c>
      <c r="C80">
        <v>55</v>
      </c>
      <c r="D80" s="3">
        <v>41913</v>
      </c>
      <c r="E80" s="5">
        <v>41913</v>
      </c>
      <c r="F80">
        <v>2014</v>
      </c>
      <c r="G80" s="1" t="s">
        <v>23</v>
      </c>
      <c r="I80" s="3" t="s">
        <v>238</v>
      </c>
      <c r="J80" s="44" t="str">
        <f>CONCATENATE("October ",K80)</f>
        <v>October 2014</v>
      </c>
      <c r="K80">
        <v>2014</v>
      </c>
      <c r="M80" s="49">
        <v>42005</v>
      </c>
    </row>
    <row r="81" spans="1:13">
      <c r="A81">
        <v>32</v>
      </c>
      <c r="B81" t="s">
        <v>66</v>
      </c>
      <c r="C81">
        <v>56</v>
      </c>
      <c r="D81" s="3">
        <v>41944</v>
      </c>
      <c r="E81" s="5">
        <v>41944</v>
      </c>
      <c r="F81">
        <v>2014</v>
      </c>
      <c r="G81" s="1" t="s">
        <v>24</v>
      </c>
      <c r="I81" s="3" t="s">
        <v>239</v>
      </c>
      <c r="J81" s="44" t="str">
        <f>CONCATENATE("November ",K81)</f>
        <v>November 2014</v>
      </c>
      <c r="K81">
        <v>2014</v>
      </c>
      <c r="M81" s="49">
        <v>42036</v>
      </c>
    </row>
    <row r="82" spans="1:13">
      <c r="A82">
        <v>33</v>
      </c>
      <c r="B82" t="s">
        <v>67</v>
      </c>
      <c r="C82">
        <v>57</v>
      </c>
      <c r="D82" s="3">
        <v>41974</v>
      </c>
      <c r="E82" s="5">
        <v>41974</v>
      </c>
      <c r="F82">
        <v>2014</v>
      </c>
      <c r="G82" s="1" t="s">
        <v>25</v>
      </c>
      <c r="I82" s="3" t="s">
        <v>240</v>
      </c>
      <c r="J82" s="44" t="str">
        <f>CONCATENATE("December ",K82)</f>
        <v>December 2014</v>
      </c>
      <c r="K82">
        <v>2014</v>
      </c>
      <c r="M82" s="49">
        <v>42064</v>
      </c>
    </row>
    <row r="83" spans="1:13">
      <c r="A83">
        <v>34</v>
      </c>
      <c r="B83" t="s">
        <v>68</v>
      </c>
      <c r="C83">
        <v>58</v>
      </c>
      <c r="D83" s="3">
        <v>42005</v>
      </c>
      <c r="E83" s="5">
        <v>42005</v>
      </c>
      <c r="F83">
        <v>2015</v>
      </c>
      <c r="G83" s="1" t="s">
        <v>14</v>
      </c>
      <c r="I83" s="3" t="s">
        <v>241</v>
      </c>
      <c r="J83" s="44" t="str">
        <f>CONCATENATE("January ",K83)</f>
        <v>January 2015</v>
      </c>
      <c r="K83">
        <v>2015</v>
      </c>
      <c r="M83" s="49">
        <v>42095</v>
      </c>
    </row>
    <row r="84" spans="1:13">
      <c r="A84">
        <v>35</v>
      </c>
      <c r="B84" t="s">
        <v>69</v>
      </c>
      <c r="C84">
        <v>59</v>
      </c>
      <c r="D84" s="3">
        <v>42036</v>
      </c>
      <c r="E84" s="5">
        <v>42036</v>
      </c>
      <c r="F84">
        <v>2015</v>
      </c>
      <c r="G84" s="1" t="s">
        <v>15</v>
      </c>
      <c r="I84" s="3" t="s">
        <v>242</v>
      </c>
      <c r="J84" s="44" t="str">
        <f>CONCATENATE("February ",K84)</f>
        <v>February 2015</v>
      </c>
      <c r="K84">
        <v>2015</v>
      </c>
      <c r="M84" s="49">
        <v>42125</v>
      </c>
    </row>
    <row r="85" spans="1:13">
      <c r="A85">
        <v>36</v>
      </c>
      <c r="B85" t="s">
        <v>70</v>
      </c>
      <c r="C85">
        <v>60</v>
      </c>
      <c r="D85" s="3">
        <v>42064</v>
      </c>
      <c r="E85" s="5">
        <v>42064</v>
      </c>
      <c r="F85">
        <v>2015</v>
      </c>
      <c r="G85" s="1" t="s">
        <v>16</v>
      </c>
      <c r="I85" s="3" t="s">
        <v>243</v>
      </c>
      <c r="J85" s="44" t="str">
        <f>CONCATENATE("March ",K85)</f>
        <v>March 2015</v>
      </c>
      <c r="K85">
        <v>2015</v>
      </c>
      <c r="M85" s="49">
        <v>42156</v>
      </c>
    </row>
    <row r="86" spans="1:13">
      <c r="A86">
        <v>37</v>
      </c>
      <c r="B86" t="s">
        <v>71</v>
      </c>
      <c r="C86">
        <v>61</v>
      </c>
      <c r="D86" s="3">
        <v>42095</v>
      </c>
      <c r="E86" s="5">
        <v>42095</v>
      </c>
      <c r="F86">
        <v>2015</v>
      </c>
      <c r="G86" s="1" t="s">
        <v>17</v>
      </c>
      <c r="I86" s="3" t="s">
        <v>244</v>
      </c>
      <c r="J86" s="44" t="str">
        <f>CONCATENATE("April ",K86)</f>
        <v>April 2015</v>
      </c>
      <c r="K86">
        <v>2015</v>
      </c>
      <c r="M86" s="49">
        <v>42186</v>
      </c>
    </row>
    <row r="87" spans="1:13">
      <c r="A87">
        <v>38</v>
      </c>
      <c r="B87" t="s">
        <v>72</v>
      </c>
      <c r="C87">
        <v>62</v>
      </c>
      <c r="D87" s="3">
        <v>42125</v>
      </c>
      <c r="E87" s="5">
        <v>42125</v>
      </c>
      <c r="F87">
        <v>2015</v>
      </c>
      <c r="G87" s="1" t="s">
        <v>18</v>
      </c>
      <c r="I87" s="3" t="s">
        <v>245</v>
      </c>
      <c r="J87" s="44" t="str">
        <f>CONCATENATE("May ",K87)</f>
        <v>May 2015</v>
      </c>
      <c r="K87">
        <v>2015</v>
      </c>
      <c r="M87" s="49">
        <v>42217</v>
      </c>
    </row>
    <row r="88" spans="1:13">
      <c r="A88">
        <v>39</v>
      </c>
      <c r="B88" t="s">
        <v>73</v>
      </c>
      <c r="C88">
        <v>63</v>
      </c>
      <c r="D88" s="3">
        <v>42156</v>
      </c>
      <c r="E88" s="5">
        <v>42156</v>
      </c>
      <c r="F88">
        <v>2015</v>
      </c>
      <c r="G88" s="1" t="s">
        <v>19</v>
      </c>
      <c r="I88" s="3" t="s">
        <v>246</v>
      </c>
      <c r="J88" s="44" t="str">
        <f>CONCATENATE("June ",K88)</f>
        <v>June 2015</v>
      </c>
      <c r="K88">
        <v>2015</v>
      </c>
      <c r="M88" s="49">
        <v>42248</v>
      </c>
    </row>
    <row r="89" spans="1:13">
      <c r="A89">
        <v>40</v>
      </c>
      <c r="B89" t="s">
        <v>74</v>
      </c>
      <c r="C89">
        <v>64</v>
      </c>
      <c r="D89" s="3">
        <v>42186</v>
      </c>
      <c r="E89" s="5">
        <v>42186</v>
      </c>
      <c r="F89">
        <v>2015</v>
      </c>
      <c r="G89" s="1" t="s">
        <v>20</v>
      </c>
      <c r="I89" s="3" t="s">
        <v>247</v>
      </c>
      <c r="J89" s="44" t="str">
        <f>CONCATENATE("July ",K89)</f>
        <v>July 2015</v>
      </c>
      <c r="K89">
        <v>2015</v>
      </c>
      <c r="M89" s="49" t="s">
        <v>300</v>
      </c>
    </row>
    <row r="90" spans="1:13">
      <c r="A90">
        <v>41</v>
      </c>
      <c r="B90" t="s">
        <v>75</v>
      </c>
      <c r="C90">
        <v>65</v>
      </c>
      <c r="D90" s="3">
        <v>42217</v>
      </c>
      <c r="E90" s="5">
        <v>42217</v>
      </c>
      <c r="F90">
        <v>2015</v>
      </c>
      <c r="G90" s="1" t="s">
        <v>21</v>
      </c>
      <c r="I90" s="3" t="s">
        <v>248</v>
      </c>
      <c r="J90" s="44" t="str">
        <f>CONCATENATE("August ",K90)</f>
        <v>August 2015</v>
      </c>
      <c r="K90">
        <v>2015</v>
      </c>
      <c r="M90" s="49">
        <v>42309</v>
      </c>
    </row>
    <row r="91" spans="1:13">
      <c r="A91">
        <v>42</v>
      </c>
      <c r="B91" t="s">
        <v>76</v>
      </c>
      <c r="C91">
        <v>66</v>
      </c>
      <c r="D91" s="3">
        <v>42248</v>
      </c>
      <c r="E91" s="5">
        <v>42248</v>
      </c>
      <c r="F91">
        <v>2015</v>
      </c>
      <c r="G91" s="1" t="s">
        <v>22</v>
      </c>
      <c r="I91" s="3" t="s">
        <v>249</v>
      </c>
      <c r="J91" s="44" t="str">
        <f>CONCATENATE("September ",K91)</f>
        <v>September 2015</v>
      </c>
      <c r="K91">
        <v>2015</v>
      </c>
      <c r="M91" s="49">
        <v>42339</v>
      </c>
    </row>
    <row r="92" spans="1:13">
      <c r="A92">
        <v>43</v>
      </c>
      <c r="B92" t="s">
        <v>77</v>
      </c>
      <c r="C92">
        <v>67</v>
      </c>
      <c r="D92" s="3">
        <v>42278</v>
      </c>
      <c r="E92" s="5">
        <v>42278</v>
      </c>
      <c r="F92">
        <v>2015</v>
      </c>
      <c r="G92" s="1" t="s">
        <v>23</v>
      </c>
      <c r="I92" s="3" t="s">
        <v>250</v>
      </c>
      <c r="J92" s="44" t="str">
        <f>CONCATENATE("October ",K92)</f>
        <v>October 2015</v>
      </c>
      <c r="K92">
        <v>2015</v>
      </c>
      <c r="M92" s="49">
        <v>42370</v>
      </c>
    </row>
    <row r="93" spans="1:13">
      <c r="A93">
        <v>44</v>
      </c>
      <c r="B93" t="s">
        <v>78</v>
      </c>
      <c r="C93">
        <v>68</v>
      </c>
      <c r="D93" s="3">
        <v>42309</v>
      </c>
      <c r="E93" s="5">
        <v>42309</v>
      </c>
      <c r="F93">
        <v>2015</v>
      </c>
      <c r="G93" s="1" t="s">
        <v>24</v>
      </c>
      <c r="I93" s="3" t="s">
        <v>251</v>
      </c>
      <c r="J93" s="44" t="str">
        <f>CONCATENATE("November ",K93)</f>
        <v>November 2015</v>
      </c>
      <c r="K93">
        <v>2015</v>
      </c>
      <c r="M93" s="49">
        <v>42401</v>
      </c>
    </row>
    <row r="94" spans="1:13">
      <c r="A94">
        <v>45</v>
      </c>
      <c r="B94" t="s">
        <v>79</v>
      </c>
      <c r="C94">
        <v>69</v>
      </c>
      <c r="D94" s="3">
        <v>42339</v>
      </c>
      <c r="E94" s="5">
        <v>42339</v>
      </c>
      <c r="F94">
        <v>2015</v>
      </c>
      <c r="G94" s="1" t="s">
        <v>25</v>
      </c>
      <c r="I94" s="3" t="s">
        <v>252</v>
      </c>
      <c r="J94" s="44" t="str">
        <f>CONCATENATE("December ",K94)</f>
        <v>December 2015</v>
      </c>
      <c r="K94">
        <v>2015</v>
      </c>
      <c r="M94" s="49">
        <v>42430</v>
      </c>
    </row>
    <row r="95" spans="1:13">
      <c r="A95">
        <v>46</v>
      </c>
      <c r="B95" t="s">
        <v>80</v>
      </c>
      <c r="C95">
        <v>70</v>
      </c>
      <c r="D95" s="3">
        <v>42370</v>
      </c>
      <c r="E95" s="5">
        <v>42370</v>
      </c>
      <c r="F95">
        <v>2016</v>
      </c>
      <c r="G95" s="1" t="s">
        <v>14</v>
      </c>
      <c r="I95" s="3" t="s">
        <v>253</v>
      </c>
      <c r="J95" s="44" t="str">
        <f>CONCATENATE("January ",K95)</f>
        <v>January 2016</v>
      </c>
      <c r="K95">
        <v>2016</v>
      </c>
      <c r="M95" s="49">
        <v>42461</v>
      </c>
    </row>
    <row r="96" spans="1:13">
      <c r="A96">
        <v>47</v>
      </c>
      <c r="B96" t="s">
        <v>81</v>
      </c>
      <c r="C96">
        <v>71</v>
      </c>
      <c r="D96" s="3">
        <v>42401</v>
      </c>
      <c r="E96" s="5">
        <v>42401</v>
      </c>
      <c r="F96">
        <v>2016</v>
      </c>
      <c r="G96" s="1" t="s">
        <v>15</v>
      </c>
      <c r="I96" s="3" t="s">
        <v>254</v>
      </c>
      <c r="J96" s="44" t="str">
        <f>CONCATENATE("February ",K96)</f>
        <v>February 2016</v>
      </c>
      <c r="K96">
        <v>2016</v>
      </c>
      <c r="M96" s="49">
        <v>42491</v>
      </c>
    </row>
    <row r="97" spans="1:13">
      <c r="A97">
        <v>48</v>
      </c>
      <c r="B97" t="s">
        <v>82</v>
      </c>
      <c r="C97">
        <v>72</v>
      </c>
      <c r="D97" s="3">
        <v>42430</v>
      </c>
      <c r="E97" s="5">
        <v>42430</v>
      </c>
      <c r="F97">
        <v>2016</v>
      </c>
      <c r="G97" s="1" t="s">
        <v>16</v>
      </c>
      <c r="I97" s="3" t="s">
        <v>255</v>
      </c>
      <c r="J97" s="44" t="str">
        <f>CONCATENATE("March ",K97)</f>
        <v>March 2016</v>
      </c>
      <c r="K97">
        <v>2016</v>
      </c>
      <c r="M97" s="49">
        <v>42522</v>
      </c>
    </row>
    <row r="98" spans="1:13">
      <c r="A98">
        <v>49</v>
      </c>
      <c r="B98" t="s">
        <v>83</v>
      </c>
      <c r="C98">
        <v>73</v>
      </c>
      <c r="D98" s="3">
        <v>42461</v>
      </c>
      <c r="E98" s="5">
        <v>42461</v>
      </c>
      <c r="F98">
        <v>2016</v>
      </c>
      <c r="G98" s="1" t="s">
        <v>17</v>
      </c>
      <c r="I98" s="3" t="s">
        <v>256</v>
      </c>
      <c r="J98" s="44" t="str">
        <f>CONCATENATE("April ",K98)</f>
        <v>April 2016</v>
      </c>
      <c r="K98">
        <v>2016</v>
      </c>
      <c r="M98" s="49">
        <v>42552</v>
      </c>
    </row>
    <row r="99" spans="1:13">
      <c r="A99">
        <v>50</v>
      </c>
      <c r="B99" t="s">
        <v>84</v>
      </c>
      <c r="C99">
        <v>74</v>
      </c>
      <c r="D99" s="3">
        <v>42491</v>
      </c>
      <c r="E99" s="5">
        <v>42491</v>
      </c>
      <c r="F99">
        <v>2016</v>
      </c>
      <c r="G99" s="1" t="s">
        <v>18</v>
      </c>
      <c r="I99" s="3" t="s">
        <v>257</v>
      </c>
      <c r="J99" s="44" t="str">
        <f>CONCATENATE("May ",K99)</f>
        <v>May 2016</v>
      </c>
      <c r="K99">
        <v>2016</v>
      </c>
      <c r="M99" s="49">
        <v>42583</v>
      </c>
    </row>
    <row r="100" spans="1:13">
      <c r="A100">
        <v>51</v>
      </c>
      <c r="B100" t="s">
        <v>85</v>
      </c>
      <c r="C100">
        <v>75</v>
      </c>
      <c r="D100" s="3">
        <v>42522</v>
      </c>
      <c r="E100" s="5">
        <v>42522</v>
      </c>
      <c r="F100">
        <v>2016</v>
      </c>
      <c r="G100" s="1" t="s">
        <v>19</v>
      </c>
      <c r="I100" s="3" t="s">
        <v>258</v>
      </c>
      <c r="J100" s="44" t="str">
        <f>CONCATENATE("June ",K100)</f>
        <v>June 2016</v>
      </c>
      <c r="K100">
        <v>2016</v>
      </c>
      <c r="M100" s="49">
        <v>42614</v>
      </c>
    </row>
    <row r="101" spans="1:13">
      <c r="A101">
        <v>52</v>
      </c>
      <c r="B101" t="s">
        <v>86</v>
      </c>
      <c r="C101">
        <v>76</v>
      </c>
      <c r="D101" s="3">
        <v>42552</v>
      </c>
      <c r="E101" s="5">
        <v>42552</v>
      </c>
      <c r="F101">
        <v>2016</v>
      </c>
      <c r="G101" s="1" t="s">
        <v>20</v>
      </c>
      <c r="I101" s="3" t="s">
        <v>259</v>
      </c>
      <c r="J101" s="44" t="str">
        <f>CONCATENATE("July ",K101)</f>
        <v>July 2016</v>
      </c>
      <c r="K101">
        <v>2016</v>
      </c>
      <c r="M101" s="49">
        <v>42644</v>
      </c>
    </row>
    <row r="102" spans="1:13">
      <c r="A102">
        <v>53</v>
      </c>
      <c r="B102" t="s">
        <v>87</v>
      </c>
      <c r="C102">
        <v>77</v>
      </c>
      <c r="D102" s="3">
        <v>42583</v>
      </c>
      <c r="E102" s="5">
        <v>42583</v>
      </c>
      <c r="F102">
        <v>2016</v>
      </c>
      <c r="G102" s="1" t="s">
        <v>21</v>
      </c>
      <c r="I102" s="3" t="s">
        <v>260</v>
      </c>
      <c r="J102" s="44" t="str">
        <f>CONCATENATE("August ",K102)</f>
        <v>August 2016</v>
      </c>
      <c r="K102">
        <v>2016</v>
      </c>
      <c r="M102" s="49">
        <v>42675</v>
      </c>
    </row>
    <row r="103" spans="1:13">
      <c r="A103">
        <v>54</v>
      </c>
      <c r="B103" t="s">
        <v>88</v>
      </c>
      <c r="C103">
        <v>78</v>
      </c>
      <c r="D103" s="3">
        <v>42614</v>
      </c>
      <c r="E103" s="5">
        <v>42614</v>
      </c>
      <c r="F103">
        <v>2016</v>
      </c>
      <c r="G103" s="1" t="s">
        <v>22</v>
      </c>
      <c r="I103" s="3" t="s">
        <v>261</v>
      </c>
      <c r="J103" s="44" t="str">
        <f>CONCATENATE("September ",K103)</f>
        <v>September 2016</v>
      </c>
      <c r="K103">
        <v>2016</v>
      </c>
      <c r="M103" s="49">
        <v>42705</v>
      </c>
    </row>
    <row r="104" spans="1:13">
      <c r="A104">
        <v>55</v>
      </c>
      <c r="B104" t="s">
        <v>89</v>
      </c>
      <c r="C104">
        <v>79</v>
      </c>
      <c r="D104" s="3">
        <v>42644</v>
      </c>
      <c r="E104" s="5">
        <v>42644</v>
      </c>
      <c r="F104">
        <v>2016</v>
      </c>
      <c r="G104" s="1" t="s">
        <v>23</v>
      </c>
      <c r="I104" s="3" t="s">
        <v>262</v>
      </c>
      <c r="J104" s="44" t="str">
        <f>CONCATENATE("October ",K104)</f>
        <v>October 2016</v>
      </c>
      <c r="K104">
        <v>2016</v>
      </c>
      <c r="M104" s="49">
        <v>42736</v>
      </c>
    </row>
    <row r="105" spans="1:13">
      <c r="A105">
        <v>56</v>
      </c>
      <c r="B105" t="s">
        <v>90</v>
      </c>
      <c r="C105">
        <v>80</v>
      </c>
      <c r="D105" s="3">
        <v>42675</v>
      </c>
      <c r="E105" s="5">
        <v>42675</v>
      </c>
      <c r="F105">
        <v>2016</v>
      </c>
      <c r="G105" s="1" t="s">
        <v>24</v>
      </c>
      <c r="I105" s="3" t="s">
        <v>263</v>
      </c>
      <c r="J105" s="44" t="str">
        <f>CONCATENATE("November ",K105)</f>
        <v>November 2016</v>
      </c>
      <c r="K105">
        <v>2016</v>
      </c>
      <c r="M105" s="49">
        <v>42767</v>
      </c>
    </row>
    <row r="106" spans="1:13">
      <c r="A106">
        <v>57</v>
      </c>
      <c r="B106" t="s">
        <v>91</v>
      </c>
      <c r="C106">
        <v>81</v>
      </c>
      <c r="D106" s="3">
        <v>42705</v>
      </c>
      <c r="E106" s="5">
        <v>42705</v>
      </c>
      <c r="F106">
        <v>2016</v>
      </c>
      <c r="G106" s="1" t="s">
        <v>25</v>
      </c>
      <c r="I106" s="3" t="s">
        <v>264</v>
      </c>
      <c r="J106" s="44" t="str">
        <f>CONCATENATE("December ",K106)</f>
        <v>December 2016</v>
      </c>
      <c r="K106">
        <v>2016</v>
      </c>
      <c r="M106" s="49">
        <v>42795</v>
      </c>
    </row>
    <row r="107" spans="1:13">
      <c r="A107">
        <v>58</v>
      </c>
      <c r="B107" t="s">
        <v>92</v>
      </c>
      <c r="C107">
        <v>82</v>
      </c>
      <c r="D107" s="3">
        <v>42736</v>
      </c>
      <c r="E107" s="5">
        <v>42736</v>
      </c>
      <c r="F107">
        <v>2017</v>
      </c>
      <c r="G107" s="1" t="s">
        <v>14</v>
      </c>
      <c r="I107" s="3" t="s">
        <v>265</v>
      </c>
      <c r="J107" s="44" t="str">
        <f>CONCATENATE("January ",K107)</f>
        <v>January 2017</v>
      </c>
      <c r="K107">
        <v>2017</v>
      </c>
      <c r="M107" s="49">
        <v>42826</v>
      </c>
    </row>
    <row r="108" spans="1:13">
      <c r="A108">
        <v>59</v>
      </c>
      <c r="B108" t="s">
        <v>93</v>
      </c>
      <c r="C108">
        <v>83</v>
      </c>
      <c r="D108" s="3">
        <v>42767</v>
      </c>
      <c r="E108" s="5">
        <v>42767</v>
      </c>
      <c r="F108">
        <v>2017</v>
      </c>
      <c r="G108" s="1" t="s">
        <v>15</v>
      </c>
      <c r="I108" s="3" t="s">
        <v>266</v>
      </c>
      <c r="J108" s="44" t="str">
        <f>CONCATENATE("February ",K108)</f>
        <v>February 2017</v>
      </c>
      <c r="K108">
        <v>2017</v>
      </c>
      <c r="M108" s="49">
        <v>42856</v>
      </c>
    </row>
    <row r="109" spans="1:13">
      <c r="A109">
        <v>60</v>
      </c>
      <c r="B109" t="s">
        <v>94</v>
      </c>
      <c r="C109">
        <v>84</v>
      </c>
      <c r="D109" s="3">
        <v>42795</v>
      </c>
      <c r="E109" s="5">
        <v>42795</v>
      </c>
      <c r="F109">
        <v>2017</v>
      </c>
      <c r="G109" s="1" t="s">
        <v>16</v>
      </c>
      <c r="I109" s="3" t="s">
        <v>267</v>
      </c>
      <c r="J109" s="44" t="str">
        <f>CONCATENATE("March ",K109)</f>
        <v>March 2017</v>
      </c>
      <c r="K109">
        <v>2017</v>
      </c>
      <c r="M109" s="49">
        <v>42887</v>
      </c>
    </row>
    <row r="110" spans="1:13">
      <c r="A110">
        <v>61</v>
      </c>
      <c r="B110" t="s">
        <v>95</v>
      </c>
      <c r="C110">
        <v>85</v>
      </c>
      <c r="D110" s="3">
        <v>42826</v>
      </c>
      <c r="E110" s="5">
        <v>42826</v>
      </c>
      <c r="F110">
        <v>2017</v>
      </c>
      <c r="G110" s="1" t="s">
        <v>17</v>
      </c>
      <c r="I110" s="3" t="s">
        <v>268</v>
      </c>
      <c r="J110" s="44" t="str">
        <f>CONCATENATE("April ",K110)</f>
        <v>April 2017</v>
      </c>
      <c r="K110">
        <v>2017</v>
      </c>
      <c r="M110" s="49">
        <v>42917</v>
      </c>
    </row>
    <row r="111" spans="1:13">
      <c r="A111">
        <v>62</v>
      </c>
      <c r="B111" t="s">
        <v>96</v>
      </c>
      <c r="C111">
        <v>86</v>
      </c>
      <c r="D111" s="3">
        <v>42856</v>
      </c>
      <c r="E111" s="5">
        <v>42856</v>
      </c>
      <c r="F111">
        <v>2017</v>
      </c>
      <c r="G111" s="1" t="s">
        <v>18</v>
      </c>
      <c r="I111" s="3" t="s">
        <v>269</v>
      </c>
      <c r="J111" s="44" t="str">
        <f>CONCATENATE("May ",K111)</f>
        <v>May 2017</v>
      </c>
      <c r="K111">
        <v>2017</v>
      </c>
      <c r="M111" s="49">
        <v>42948</v>
      </c>
    </row>
    <row r="112" spans="1:13">
      <c r="A112">
        <v>63</v>
      </c>
      <c r="B112" t="s">
        <v>97</v>
      </c>
      <c r="C112">
        <v>87</v>
      </c>
      <c r="D112" s="3">
        <v>42887</v>
      </c>
      <c r="E112" s="5">
        <v>42887</v>
      </c>
      <c r="F112">
        <v>2017</v>
      </c>
      <c r="G112" s="1" t="s">
        <v>19</v>
      </c>
      <c r="I112" s="3" t="s">
        <v>270</v>
      </c>
      <c r="J112" s="44" t="str">
        <f>CONCATENATE("June ",K112)</f>
        <v>June 2017</v>
      </c>
      <c r="K112">
        <v>2017</v>
      </c>
      <c r="M112" s="49">
        <v>42979</v>
      </c>
    </row>
    <row r="113" spans="1:13">
      <c r="A113">
        <v>64</v>
      </c>
      <c r="B113" t="s">
        <v>98</v>
      </c>
      <c r="C113">
        <v>88</v>
      </c>
      <c r="D113" s="3">
        <v>42917</v>
      </c>
      <c r="E113" s="5">
        <v>42917</v>
      </c>
      <c r="F113">
        <v>2017</v>
      </c>
      <c r="G113" s="1" t="s">
        <v>20</v>
      </c>
      <c r="I113" s="3" t="s">
        <v>271</v>
      </c>
      <c r="J113" s="44" t="str">
        <f>CONCATENATE("July ",K113)</f>
        <v>July 2017</v>
      </c>
      <c r="K113">
        <v>2017</v>
      </c>
      <c r="M113" s="49">
        <v>43009</v>
      </c>
    </row>
    <row r="114" spans="1:13">
      <c r="A114">
        <v>65</v>
      </c>
      <c r="B114" t="s">
        <v>99</v>
      </c>
      <c r="C114">
        <v>89</v>
      </c>
      <c r="D114" s="3">
        <v>42948</v>
      </c>
      <c r="E114" s="5">
        <v>42948</v>
      </c>
      <c r="F114">
        <v>2017</v>
      </c>
      <c r="G114" s="1" t="s">
        <v>21</v>
      </c>
      <c r="I114" s="3" t="s">
        <v>272</v>
      </c>
      <c r="J114" s="44" t="str">
        <f>CONCATENATE("August ",K114)</f>
        <v>August 2017</v>
      </c>
      <c r="K114">
        <v>2017</v>
      </c>
      <c r="M114" s="49">
        <v>43040</v>
      </c>
    </row>
    <row r="115" spans="1:13">
      <c r="A115">
        <v>66</v>
      </c>
      <c r="B115" t="s">
        <v>100</v>
      </c>
      <c r="C115">
        <v>90</v>
      </c>
      <c r="D115" s="3">
        <v>42979</v>
      </c>
      <c r="E115" s="5">
        <v>42979</v>
      </c>
      <c r="F115">
        <v>2017</v>
      </c>
      <c r="G115" s="1" t="s">
        <v>22</v>
      </c>
      <c r="I115" s="3" t="s">
        <v>273</v>
      </c>
      <c r="J115" s="44" t="str">
        <f>CONCATENATE("September ",K115)</f>
        <v>September 2017</v>
      </c>
      <c r="K115">
        <v>2017</v>
      </c>
      <c r="M115" s="49">
        <v>43070</v>
      </c>
    </row>
    <row r="116" spans="1:13">
      <c r="A116">
        <v>67</v>
      </c>
      <c r="B116" t="s">
        <v>101</v>
      </c>
      <c r="C116">
        <v>91</v>
      </c>
      <c r="D116" s="3">
        <v>43009</v>
      </c>
      <c r="E116" s="5">
        <v>43009</v>
      </c>
      <c r="F116">
        <v>2017</v>
      </c>
      <c r="G116" s="1" t="s">
        <v>23</v>
      </c>
      <c r="I116" s="3" t="s">
        <v>274</v>
      </c>
      <c r="J116" s="44" t="str">
        <f>CONCATENATE("October ",K116)</f>
        <v>October 2017</v>
      </c>
      <c r="K116">
        <v>2017</v>
      </c>
      <c r="M116" s="49">
        <v>43101</v>
      </c>
    </row>
    <row r="117" spans="1:13">
      <c r="A117">
        <v>68</v>
      </c>
      <c r="B117" t="s">
        <v>102</v>
      </c>
      <c r="C117">
        <v>92</v>
      </c>
      <c r="D117" s="3">
        <v>43040</v>
      </c>
      <c r="E117" s="5">
        <v>43040</v>
      </c>
      <c r="F117">
        <v>2017</v>
      </c>
      <c r="G117" s="1" t="s">
        <v>24</v>
      </c>
      <c r="I117" s="3" t="s">
        <v>275</v>
      </c>
      <c r="J117" s="44" t="str">
        <f>CONCATENATE("November ",K117)</f>
        <v>November 2017</v>
      </c>
      <c r="K117">
        <v>2017</v>
      </c>
      <c r="M117" s="49">
        <v>43132</v>
      </c>
    </row>
    <row r="118" spans="1:13">
      <c r="A118">
        <v>69</v>
      </c>
      <c r="B118" t="s">
        <v>103</v>
      </c>
      <c r="C118">
        <v>93</v>
      </c>
      <c r="D118" s="3">
        <v>43070</v>
      </c>
      <c r="E118" s="5">
        <v>43070</v>
      </c>
      <c r="F118">
        <v>2017</v>
      </c>
      <c r="G118" s="1" t="s">
        <v>25</v>
      </c>
      <c r="I118" s="3" t="s">
        <v>276</v>
      </c>
      <c r="J118" s="44" t="str">
        <f>CONCATENATE("December ",K118)</f>
        <v>December 2017</v>
      </c>
      <c r="K118">
        <v>2017</v>
      </c>
      <c r="M118" s="49">
        <v>43160</v>
      </c>
    </row>
    <row r="119" spans="1:13">
      <c r="A119">
        <v>70</v>
      </c>
      <c r="B119" t="s">
        <v>104</v>
      </c>
      <c r="C119">
        <v>94</v>
      </c>
      <c r="D119" s="3">
        <v>43101</v>
      </c>
      <c r="E119" s="5">
        <v>43101</v>
      </c>
      <c r="F119">
        <v>2018</v>
      </c>
      <c r="G119" s="1" t="s">
        <v>14</v>
      </c>
      <c r="I119" s="3" t="s">
        <v>277</v>
      </c>
      <c r="J119" s="44" t="str">
        <f>CONCATENATE("January ",K119)</f>
        <v>January 2018</v>
      </c>
      <c r="K119">
        <v>2018</v>
      </c>
      <c r="M119" s="49">
        <v>43191</v>
      </c>
    </row>
    <row r="120" spans="1:13">
      <c r="A120">
        <v>71</v>
      </c>
      <c r="B120" t="s">
        <v>105</v>
      </c>
      <c r="C120">
        <v>95</v>
      </c>
      <c r="D120" s="3">
        <v>43132</v>
      </c>
      <c r="E120" s="5">
        <v>43132</v>
      </c>
      <c r="F120">
        <v>2018</v>
      </c>
      <c r="G120" s="1" t="s">
        <v>15</v>
      </c>
      <c r="I120" s="3" t="s">
        <v>278</v>
      </c>
      <c r="J120" s="44" t="str">
        <f>CONCATENATE("February ",K120)</f>
        <v>February 2018</v>
      </c>
      <c r="K120">
        <v>2018</v>
      </c>
      <c r="M120" s="49">
        <v>43221</v>
      </c>
    </row>
    <row r="121" spans="1:13">
      <c r="A121">
        <v>72</v>
      </c>
      <c r="B121" t="s">
        <v>106</v>
      </c>
      <c r="C121">
        <v>96</v>
      </c>
      <c r="D121" s="3">
        <v>43160</v>
      </c>
      <c r="E121" s="5">
        <v>43160</v>
      </c>
      <c r="F121">
        <v>2018</v>
      </c>
      <c r="G121" s="1" t="s">
        <v>16</v>
      </c>
      <c r="I121" s="3" t="s">
        <v>279</v>
      </c>
      <c r="J121" s="44" t="str">
        <f>CONCATENATE("March ",K121)</f>
        <v>March 2018</v>
      </c>
      <c r="K121">
        <v>2018</v>
      </c>
      <c r="M121" s="49">
        <v>43252</v>
      </c>
    </row>
    <row r="122" spans="1:13">
      <c r="A122">
        <v>73</v>
      </c>
      <c r="B122" t="s">
        <v>107</v>
      </c>
      <c r="C122">
        <v>97</v>
      </c>
      <c r="D122" s="3">
        <v>43191</v>
      </c>
      <c r="E122" s="5">
        <v>43191</v>
      </c>
      <c r="F122">
        <v>2018</v>
      </c>
      <c r="G122" s="1" t="s">
        <v>17</v>
      </c>
      <c r="I122" s="3" t="s">
        <v>280</v>
      </c>
      <c r="J122" s="44" t="str">
        <f>CONCATENATE("April ",K122)</f>
        <v>April 2018</v>
      </c>
      <c r="K122">
        <v>2018</v>
      </c>
      <c r="M122" s="49">
        <v>43282</v>
      </c>
    </row>
    <row r="123" spans="1:13">
      <c r="A123">
        <v>74</v>
      </c>
      <c r="B123" t="s">
        <v>108</v>
      </c>
      <c r="C123">
        <v>98</v>
      </c>
      <c r="D123" s="3">
        <v>43221</v>
      </c>
      <c r="E123" s="5">
        <v>43221</v>
      </c>
      <c r="F123">
        <v>2018</v>
      </c>
      <c r="G123" s="1" t="s">
        <v>18</v>
      </c>
      <c r="I123" s="3" t="s">
        <v>281</v>
      </c>
      <c r="J123" s="44" t="str">
        <f>CONCATENATE("May ",K123)</f>
        <v>May 2018</v>
      </c>
      <c r="K123">
        <v>2018</v>
      </c>
      <c r="M123" s="49">
        <v>43313</v>
      </c>
    </row>
    <row r="124" spans="1:13">
      <c r="A124">
        <v>75</v>
      </c>
      <c r="B124" t="s">
        <v>109</v>
      </c>
      <c r="C124">
        <v>99</v>
      </c>
      <c r="D124" s="3">
        <v>43252</v>
      </c>
      <c r="E124" s="5">
        <v>43252</v>
      </c>
      <c r="F124">
        <v>2018</v>
      </c>
      <c r="G124" s="1" t="s">
        <v>19</v>
      </c>
      <c r="I124" s="3" t="s">
        <v>282</v>
      </c>
      <c r="J124" s="44" t="str">
        <f>CONCATENATE("June ",K124)</f>
        <v>June 2018</v>
      </c>
      <c r="K124">
        <v>2018</v>
      </c>
      <c r="M124" s="49">
        <v>43344</v>
      </c>
    </row>
    <row r="125" spans="1:13">
      <c r="A125">
        <v>76</v>
      </c>
      <c r="B125" t="s">
        <v>110</v>
      </c>
      <c r="C125">
        <v>100</v>
      </c>
      <c r="D125" s="3">
        <v>43282</v>
      </c>
      <c r="E125" s="5">
        <v>43282</v>
      </c>
      <c r="F125">
        <v>2018</v>
      </c>
      <c r="G125" s="1" t="s">
        <v>20</v>
      </c>
      <c r="I125" s="3" t="s">
        <v>283</v>
      </c>
      <c r="J125" s="44" t="str">
        <f>CONCATENATE("July ",K125)</f>
        <v>July 2018</v>
      </c>
      <c r="K125">
        <v>2018</v>
      </c>
      <c r="M125" s="49">
        <v>43374</v>
      </c>
    </row>
    <row r="126" spans="1:13">
      <c r="A126">
        <v>77</v>
      </c>
      <c r="B126" t="s">
        <v>111</v>
      </c>
      <c r="C126">
        <v>101</v>
      </c>
      <c r="D126" s="3">
        <v>43313</v>
      </c>
      <c r="E126" s="5">
        <v>43313</v>
      </c>
      <c r="F126">
        <v>2018</v>
      </c>
      <c r="G126" s="1" t="s">
        <v>21</v>
      </c>
      <c r="I126" s="3" t="s">
        <v>284</v>
      </c>
      <c r="J126" s="44" t="str">
        <f>CONCATENATE("August ",K126)</f>
        <v>August 2018</v>
      </c>
      <c r="K126">
        <v>2018</v>
      </c>
      <c r="M126" s="49">
        <v>43405</v>
      </c>
    </row>
    <row r="127" spans="1:13">
      <c r="A127">
        <v>78</v>
      </c>
      <c r="B127" t="s">
        <v>112</v>
      </c>
      <c r="C127">
        <v>102</v>
      </c>
      <c r="D127" s="3">
        <v>43344</v>
      </c>
      <c r="E127" s="5">
        <v>43344</v>
      </c>
      <c r="F127">
        <v>2018</v>
      </c>
      <c r="G127" s="1" t="s">
        <v>22</v>
      </c>
      <c r="I127" s="3" t="s">
        <v>285</v>
      </c>
      <c r="J127" s="44" t="str">
        <f>CONCATENATE("September ",K127)</f>
        <v>September 2018</v>
      </c>
      <c r="K127">
        <v>2018</v>
      </c>
      <c r="M127" s="49">
        <v>43435</v>
      </c>
    </row>
    <row r="128" spans="1:13">
      <c r="A128">
        <v>79</v>
      </c>
      <c r="B128" t="s">
        <v>113</v>
      </c>
      <c r="C128">
        <v>103</v>
      </c>
      <c r="D128" s="3">
        <v>43374</v>
      </c>
      <c r="E128" s="5">
        <v>43374</v>
      </c>
      <c r="F128">
        <v>2018</v>
      </c>
      <c r="G128" s="1" t="s">
        <v>23</v>
      </c>
      <c r="I128" s="3" t="s">
        <v>286</v>
      </c>
      <c r="J128" s="44" t="str">
        <f>CONCATENATE("October ",K128)</f>
        <v>October 2018</v>
      </c>
      <c r="K128">
        <v>2018</v>
      </c>
      <c r="M128" s="49">
        <v>43466</v>
      </c>
    </row>
    <row r="129" spans="1:13">
      <c r="A129">
        <v>80</v>
      </c>
      <c r="B129" t="s">
        <v>114</v>
      </c>
      <c r="C129">
        <v>104</v>
      </c>
      <c r="D129" s="3">
        <v>43405</v>
      </c>
      <c r="E129" s="5">
        <v>43405</v>
      </c>
      <c r="F129">
        <v>2018</v>
      </c>
      <c r="G129" s="1" t="s">
        <v>24</v>
      </c>
      <c r="I129" s="3" t="s">
        <v>287</v>
      </c>
      <c r="J129" s="44" t="str">
        <f>CONCATENATE("November ",K129)</f>
        <v>November 2018</v>
      </c>
      <c r="K129">
        <v>2018</v>
      </c>
      <c r="M129" s="49">
        <v>43497</v>
      </c>
    </row>
    <row r="130" spans="1:13">
      <c r="A130">
        <v>81</v>
      </c>
      <c r="B130" t="s">
        <v>115</v>
      </c>
      <c r="C130">
        <v>105</v>
      </c>
      <c r="D130" s="3">
        <v>43435</v>
      </c>
      <c r="E130" s="5">
        <v>43435</v>
      </c>
      <c r="F130">
        <v>2018</v>
      </c>
      <c r="G130" s="1" t="s">
        <v>25</v>
      </c>
      <c r="I130" s="3" t="s">
        <v>288</v>
      </c>
      <c r="J130" s="44" t="str">
        <f>CONCATENATE("December ",K130)</f>
        <v>December 2018</v>
      </c>
      <c r="K130">
        <v>2018</v>
      </c>
      <c r="M130" s="49">
        <v>43525</v>
      </c>
    </row>
    <row r="131" spans="1:13">
      <c r="A131">
        <v>82</v>
      </c>
      <c r="B131" t="s">
        <v>116</v>
      </c>
      <c r="C131">
        <v>106</v>
      </c>
      <c r="D131" s="3">
        <v>43466</v>
      </c>
      <c r="E131" s="5">
        <v>43466</v>
      </c>
      <c r="F131">
        <v>2019</v>
      </c>
      <c r="G131" s="1" t="s">
        <v>14</v>
      </c>
      <c r="I131" s="3" t="s">
        <v>365</v>
      </c>
      <c r="J131" s="44" t="str">
        <f>CONCATENATE("January ",K131)</f>
        <v>January 2019</v>
      </c>
      <c r="K131">
        <v>2019</v>
      </c>
    </row>
    <row r="132" spans="1:13">
      <c r="A132">
        <v>83</v>
      </c>
      <c r="B132" t="s">
        <v>117</v>
      </c>
      <c r="C132">
        <v>107</v>
      </c>
      <c r="D132" s="3">
        <v>43497</v>
      </c>
      <c r="E132" s="5">
        <v>43497</v>
      </c>
      <c r="F132">
        <v>2019</v>
      </c>
      <c r="G132" s="1" t="s">
        <v>15</v>
      </c>
      <c r="I132" s="3" t="s">
        <v>366</v>
      </c>
      <c r="J132" s="44" t="str">
        <f>CONCATENATE("February ",K132)</f>
        <v>February 2019</v>
      </c>
      <c r="K132">
        <v>2019</v>
      </c>
    </row>
    <row r="133" spans="1:13">
      <c r="A133">
        <v>84</v>
      </c>
      <c r="B133" t="s">
        <v>118</v>
      </c>
      <c r="C133">
        <v>108</v>
      </c>
      <c r="D133" s="3">
        <v>43525</v>
      </c>
      <c r="E133" s="5">
        <v>43525</v>
      </c>
      <c r="F133">
        <v>2019</v>
      </c>
      <c r="G133" s="1" t="s">
        <v>16</v>
      </c>
      <c r="I133" s="3" t="s">
        <v>367</v>
      </c>
      <c r="J133" s="44" t="str">
        <f>CONCATENATE("March ",K133)</f>
        <v>March 2019</v>
      </c>
      <c r="K133">
        <v>2019</v>
      </c>
    </row>
    <row r="134" spans="1:13">
      <c r="A134">
        <v>85</v>
      </c>
      <c r="B134" t="s">
        <v>119</v>
      </c>
      <c r="C134">
        <v>109</v>
      </c>
      <c r="D134" s="3">
        <v>43556</v>
      </c>
      <c r="E134" s="5">
        <v>43556</v>
      </c>
      <c r="F134">
        <v>2019</v>
      </c>
      <c r="G134" s="1" t="s">
        <v>17</v>
      </c>
      <c r="I134" s="3" t="s">
        <v>368</v>
      </c>
      <c r="J134" s="44" t="str">
        <f>CONCATENATE("April ",K134)</f>
        <v>April 2019</v>
      </c>
      <c r="K134">
        <v>2019</v>
      </c>
    </row>
    <row r="135" spans="1:13">
      <c r="A135">
        <v>86</v>
      </c>
      <c r="B135" t="s">
        <v>120</v>
      </c>
      <c r="C135">
        <v>110</v>
      </c>
      <c r="D135" s="3">
        <v>43586</v>
      </c>
      <c r="E135" s="5">
        <v>43586</v>
      </c>
      <c r="F135">
        <v>2019</v>
      </c>
      <c r="G135" s="1" t="s">
        <v>18</v>
      </c>
      <c r="I135" s="3" t="s">
        <v>369</v>
      </c>
      <c r="J135" s="44" t="str">
        <f>CONCATENATE("May ",K135)</f>
        <v>May 2019</v>
      </c>
      <c r="K135">
        <v>2019</v>
      </c>
    </row>
    <row r="136" spans="1:13">
      <c r="A136">
        <v>87</v>
      </c>
      <c r="B136" t="s">
        <v>121</v>
      </c>
      <c r="C136">
        <v>111</v>
      </c>
      <c r="D136" s="3">
        <v>43617</v>
      </c>
      <c r="E136" s="5">
        <v>43617</v>
      </c>
      <c r="F136">
        <v>2019</v>
      </c>
      <c r="G136" s="1" t="s">
        <v>19</v>
      </c>
      <c r="I136" s="3" t="s">
        <v>370</v>
      </c>
      <c r="J136" s="44" t="str">
        <f>CONCATENATE("June ",K136)</f>
        <v>June 2019</v>
      </c>
      <c r="K136">
        <v>2019</v>
      </c>
    </row>
    <row r="137" spans="1:13">
      <c r="A137">
        <v>88</v>
      </c>
      <c r="B137" t="s">
        <v>122</v>
      </c>
      <c r="C137">
        <v>112</v>
      </c>
      <c r="D137" s="3">
        <v>43647</v>
      </c>
      <c r="E137" s="5">
        <v>43647</v>
      </c>
      <c r="F137">
        <v>2019</v>
      </c>
      <c r="G137" s="1" t="s">
        <v>20</v>
      </c>
      <c r="I137" s="3" t="s">
        <v>371</v>
      </c>
      <c r="J137" s="44" t="str">
        <f>CONCATENATE("July ",K137)</f>
        <v>July 2019</v>
      </c>
      <c r="K137">
        <v>2019</v>
      </c>
    </row>
    <row r="138" spans="1:13">
      <c r="A138">
        <v>89</v>
      </c>
      <c r="B138" t="s">
        <v>123</v>
      </c>
      <c r="C138">
        <v>113</v>
      </c>
      <c r="D138" s="3">
        <v>43678</v>
      </c>
      <c r="E138" s="5">
        <v>43678</v>
      </c>
      <c r="F138">
        <v>2019</v>
      </c>
      <c r="G138" s="1" t="s">
        <v>21</v>
      </c>
      <c r="I138" s="3" t="s">
        <v>372</v>
      </c>
      <c r="J138" s="44" t="str">
        <f>CONCATENATE("August ",K138)</f>
        <v>August 2019</v>
      </c>
      <c r="K138">
        <v>2019</v>
      </c>
    </row>
    <row r="139" spans="1:13">
      <c r="A139">
        <v>90</v>
      </c>
      <c r="B139" t="s">
        <v>124</v>
      </c>
      <c r="C139">
        <v>114</v>
      </c>
      <c r="D139" s="3">
        <v>43709</v>
      </c>
      <c r="E139" s="5">
        <v>43709</v>
      </c>
      <c r="F139">
        <v>2019</v>
      </c>
      <c r="G139" s="1" t="s">
        <v>22</v>
      </c>
      <c r="I139" s="3" t="s">
        <v>373</v>
      </c>
      <c r="J139" s="44" t="str">
        <f>CONCATENATE("September ",K139)</f>
        <v>September 2019</v>
      </c>
      <c r="K139">
        <v>2019</v>
      </c>
    </row>
    <row r="140" spans="1:13">
      <c r="A140">
        <v>91</v>
      </c>
      <c r="B140" t="s">
        <v>125</v>
      </c>
      <c r="C140">
        <v>115</v>
      </c>
      <c r="D140" s="3">
        <v>43739</v>
      </c>
      <c r="E140" s="5">
        <v>43739</v>
      </c>
      <c r="F140">
        <v>2019</v>
      </c>
      <c r="G140" s="1" t="s">
        <v>23</v>
      </c>
      <c r="I140" s="3" t="s">
        <v>374</v>
      </c>
      <c r="J140" s="44" t="str">
        <f>CONCATENATE("October ",K140)</f>
        <v>October 2019</v>
      </c>
      <c r="K140">
        <v>2019</v>
      </c>
    </row>
    <row r="141" spans="1:13">
      <c r="A141">
        <v>92</v>
      </c>
      <c r="B141" t="s">
        <v>126</v>
      </c>
      <c r="C141">
        <v>116</v>
      </c>
      <c r="D141" s="3">
        <v>43770</v>
      </c>
      <c r="E141" s="5">
        <v>43770</v>
      </c>
      <c r="F141">
        <v>2019</v>
      </c>
      <c r="G141" s="1" t="s">
        <v>24</v>
      </c>
      <c r="I141" s="3" t="s">
        <v>375</v>
      </c>
      <c r="J141" s="44" t="str">
        <f>CONCATENATE("November ",K141)</f>
        <v>November 2019</v>
      </c>
      <c r="K141">
        <v>2019</v>
      </c>
    </row>
    <row r="142" spans="1:13">
      <c r="A142">
        <v>93</v>
      </c>
      <c r="B142" t="s">
        <v>127</v>
      </c>
      <c r="C142">
        <v>117</v>
      </c>
      <c r="D142" s="3">
        <v>43800</v>
      </c>
      <c r="E142" s="5">
        <v>43800</v>
      </c>
      <c r="F142">
        <v>2019</v>
      </c>
      <c r="G142" s="1" t="s">
        <v>25</v>
      </c>
      <c r="I142" s="3" t="s">
        <v>376</v>
      </c>
      <c r="J142" s="44" t="str">
        <f>CONCATENATE("December ",K142)</f>
        <v>December 2019</v>
      </c>
      <c r="K142">
        <v>2019</v>
      </c>
    </row>
    <row r="143" spans="1:13">
      <c r="A143">
        <v>94</v>
      </c>
      <c r="B143" t="s">
        <v>128</v>
      </c>
      <c r="C143">
        <v>118</v>
      </c>
      <c r="D143" s="3">
        <v>43831</v>
      </c>
      <c r="E143" s="5">
        <v>43831</v>
      </c>
      <c r="F143">
        <v>2020</v>
      </c>
      <c r="G143" s="1" t="s">
        <v>14</v>
      </c>
      <c r="I143" s="3" t="s">
        <v>377</v>
      </c>
      <c r="J143" s="44" t="str">
        <f>CONCATENATE("January ",K143)</f>
        <v>January 2020</v>
      </c>
      <c r="K143">
        <v>2020</v>
      </c>
    </row>
    <row r="144" spans="1:13">
      <c r="A144">
        <v>95</v>
      </c>
      <c r="B144" t="s">
        <v>129</v>
      </c>
      <c r="C144">
        <v>119</v>
      </c>
      <c r="D144" s="3">
        <v>43862</v>
      </c>
      <c r="E144" s="5">
        <v>43862</v>
      </c>
      <c r="F144">
        <v>2020</v>
      </c>
      <c r="G144" s="1" t="s">
        <v>15</v>
      </c>
      <c r="I144" s="3" t="s">
        <v>378</v>
      </c>
      <c r="J144" s="44" t="str">
        <f>CONCATENATE("February ",K144)</f>
        <v>February 2020</v>
      </c>
      <c r="K144">
        <v>2020</v>
      </c>
    </row>
    <row r="145" spans="1:11">
      <c r="A145">
        <v>96</v>
      </c>
      <c r="B145" t="s">
        <v>130</v>
      </c>
      <c r="C145">
        <v>120</v>
      </c>
      <c r="D145" s="3">
        <v>43891</v>
      </c>
      <c r="E145" s="5">
        <v>43891</v>
      </c>
      <c r="F145">
        <v>2020</v>
      </c>
      <c r="G145" s="1" t="s">
        <v>16</v>
      </c>
      <c r="I145" s="3" t="s">
        <v>379</v>
      </c>
      <c r="J145" s="44" t="str">
        <f>CONCATENATE("March ",K145)</f>
        <v>March 2020</v>
      </c>
      <c r="K145">
        <v>2020</v>
      </c>
    </row>
    <row r="146" spans="1:11">
      <c r="A146">
        <v>97</v>
      </c>
      <c r="B146" t="s">
        <v>131</v>
      </c>
      <c r="C146">
        <v>121</v>
      </c>
      <c r="D146" s="3">
        <v>43922</v>
      </c>
      <c r="E146" s="5">
        <v>43922</v>
      </c>
      <c r="F146">
        <v>2020</v>
      </c>
      <c r="G146" s="1" t="s">
        <v>17</v>
      </c>
      <c r="I146" s="3" t="s">
        <v>380</v>
      </c>
      <c r="J146" s="44" t="str">
        <f>CONCATENATE("April ",K146)</f>
        <v>April 2020</v>
      </c>
      <c r="K146">
        <v>2020</v>
      </c>
    </row>
    <row r="147" spans="1:11">
      <c r="A147">
        <v>98</v>
      </c>
      <c r="B147" t="s">
        <v>132</v>
      </c>
      <c r="C147">
        <v>122</v>
      </c>
      <c r="D147" s="3">
        <v>43952</v>
      </c>
      <c r="E147" s="5">
        <v>43952</v>
      </c>
      <c r="F147">
        <v>2020</v>
      </c>
      <c r="G147" s="1" t="s">
        <v>18</v>
      </c>
      <c r="I147" s="3" t="s">
        <v>381</v>
      </c>
      <c r="J147" s="44" t="str">
        <f>CONCATENATE("May ",K147)</f>
        <v>May 2020</v>
      </c>
      <c r="K147">
        <v>2020</v>
      </c>
    </row>
    <row r="148" spans="1:11">
      <c r="A148">
        <v>99</v>
      </c>
      <c r="B148" t="s">
        <v>133</v>
      </c>
      <c r="C148">
        <v>123</v>
      </c>
      <c r="D148" s="3">
        <v>43983</v>
      </c>
      <c r="E148" s="5">
        <v>43983</v>
      </c>
      <c r="F148">
        <v>2020</v>
      </c>
      <c r="G148" s="1" t="s">
        <v>19</v>
      </c>
      <c r="I148" s="3" t="s">
        <v>382</v>
      </c>
      <c r="J148" s="44" t="str">
        <f>CONCATENATE("June ",K148)</f>
        <v>June 2020</v>
      </c>
      <c r="K148">
        <v>2020</v>
      </c>
    </row>
    <row r="149" spans="1:11">
      <c r="A149">
        <v>100</v>
      </c>
      <c r="B149" t="s">
        <v>134</v>
      </c>
      <c r="C149">
        <v>124</v>
      </c>
      <c r="D149" s="3">
        <v>44013</v>
      </c>
      <c r="E149" s="5">
        <v>44013</v>
      </c>
      <c r="F149">
        <v>2020</v>
      </c>
      <c r="G149" s="1" t="s">
        <v>20</v>
      </c>
      <c r="I149" s="3" t="s">
        <v>383</v>
      </c>
      <c r="J149" s="44" t="str">
        <f>CONCATENATE("July ",K149)</f>
        <v>July 2020</v>
      </c>
      <c r="K149">
        <v>2020</v>
      </c>
    </row>
    <row r="150" spans="1:11">
      <c r="A150">
        <v>101</v>
      </c>
      <c r="B150" t="s">
        <v>135</v>
      </c>
      <c r="C150">
        <v>125</v>
      </c>
      <c r="D150" s="3">
        <v>44044</v>
      </c>
      <c r="E150" s="5">
        <v>44044</v>
      </c>
      <c r="F150">
        <v>2020</v>
      </c>
      <c r="G150" s="1" t="s">
        <v>21</v>
      </c>
      <c r="I150" s="3" t="s">
        <v>384</v>
      </c>
      <c r="J150" s="44" t="str">
        <f>CONCATENATE("August ",K150)</f>
        <v>August 2020</v>
      </c>
      <c r="K150">
        <v>2020</v>
      </c>
    </row>
    <row r="151" spans="1:11">
      <c r="A151">
        <v>102</v>
      </c>
      <c r="B151" t="s">
        <v>404</v>
      </c>
      <c r="C151">
        <v>126</v>
      </c>
      <c r="D151" s="3">
        <v>44075</v>
      </c>
      <c r="E151" s="5">
        <v>44075</v>
      </c>
      <c r="F151">
        <v>2020</v>
      </c>
      <c r="G151" s="1" t="s">
        <v>22</v>
      </c>
      <c r="I151" s="3" t="s">
        <v>385</v>
      </c>
      <c r="J151" s="44" t="str">
        <f>CONCATENATE("September ",K151)</f>
        <v>September 2020</v>
      </c>
      <c r="K151">
        <v>2020</v>
      </c>
    </row>
    <row r="152" spans="1:11">
      <c r="A152">
        <v>103</v>
      </c>
      <c r="B152" t="s">
        <v>405</v>
      </c>
      <c r="C152">
        <v>127</v>
      </c>
      <c r="D152" s="3">
        <v>44105</v>
      </c>
      <c r="E152" s="5">
        <v>44105</v>
      </c>
      <c r="F152">
        <v>2020</v>
      </c>
      <c r="G152" s="1" t="s">
        <v>23</v>
      </c>
      <c r="I152" s="3" t="s">
        <v>386</v>
      </c>
      <c r="J152" s="44" t="str">
        <f>CONCATENATE("October ",K152)</f>
        <v>October 2020</v>
      </c>
      <c r="K152">
        <v>2020</v>
      </c>
    </row>
    <row r="153" spans="1:11">
      <c r="A153">
        <v>104</v>
      </c>
      <c r="B153" t="s">
        <v>406</v>
      </c>
      <c r="C153">
        <v>128</v>
      </c>
      <c r="D153" s="3">
        <v>44136</v>
      </c>
      <c r="E153" s="5">
        <v>44136</v>
      </c>
      <c r="F153">
        <v>2020</v>
      </c>
      <c r="G153" s="1" t="s">
        <v>24</v>
      </c>
      <c r="I153" s="3" t="s">
        <v>387</v>
      </c>
      <c r="J153" s="44" t="str">
        <f>CONCATENATE("November ",K153)</f>
        <v>November 2020</v>
      </c>
      <c r="K153">
        <v>2020</v>
      </c>
    </row>
    <row r="154" spans="1:11">
      <c r="A154">
        <v>105</v>
      </c>
      <c r="B154" t="s">
        <v>407</v>
      </c>
      <c r="C154">
        <v>129</v>
      </c>
      <c r="D154" s="3">
        <v>44166</v>
      </c>
      <c r="E154" s="5">
        <v>44166</v>
      </c>
      <c r="F154">
        <v>2020</v>
      </c>
      <c r="G154" s="1" t="s">
        <v>25</v>
      </c>
      <c r="I154" s="3" t="s">
        <v>388</v>
      </c>
      <c r="J154" s="44" t="str">
        <f>CONCATENATE("December ",K154)</f>
        <v>December 2020</v>
      </c>
      <c r="K154">
        <v>2020</v>
      </c>
    </row>
    <row r="155" spans="1:11">
      <c r="A155" t="s">
        <v>13</v>
      </c>
      <c r="B155" t="s">
        <v>13</v>
      </c>
      <c r="C155" t="s">
        <v>13</v>
      </c>
      <c r="F155">
        <v>2021</v>
      </c>
      <c r="G155" s="1" t="s">
        <v>14</v>
      </c>
      <c r="I155" s="3" t="s">
        <v>290</v>
      </c>
    </row>
    <row r="156" spans="1:11">
      <c r="F156">
        <v>2021</v>
      </c>
      <c r="G156" s="1" t="s">
        <v>15</v>
      </c>
    </row>
    <row r="157" spans="1:11">
      <c r="F157">
        <v>2021</v>
      </c>
      <c r="G157" s="1" t="s">
        <v>16</v>
      </c>
    </row>
    <row r="158" spans="1:11">
      <c r="F158">
        <v>2021</v>
      </c>
      <c r="G158" s="1" t="s">
        <v>17</v>
      </c>
    </row>
    <row r="159" spans="1:11">
      <c r="F159">
        <v>2021</v>
      </c>
      <c r="G159" s="1" t="s">
        <v>18</v>
      </c>
    </row>
    <row r="160" spans="1:11">
      <c r="F160">
        <v>2021</v>
      </c>
      <c r="G160" s="1" t="s">
        <v>19</v>
      </c>
    </row>
    <row r="161" spans="6:7">
      <c r="F161">
        <v>2021</v>
      </c>
      <c r="G161" s="1" t="s">
        <v>20</v>
      </c>
    </row>
    <row r="162" spans="6:7">
      <c r="F162">
        <v>2021</v>
      </c>
      <c r="G162" s="1" t="s">
        <v>21</v>
      </c>
    </row>
    <row r="163" spans="6:7">
      <c r="F163">
        <v>2021</v>
      </c>
      <c r="G163" s="1" t="s">
        <v>22</v>
      </c>
    </row>
    <row r="164" spans="6:7">
      <c r="F164">
        <v>2021</v>
      </c>
      <c r="G164" s="1" t="s">
        <v>23</v>
      </c>
    </row>
    <row r="165" spans="6:7">
      <c r="F165">
        <v>2021</v>
      </c>
      <c r="G165" s="1" t="s">
        <v>24</v>
      </c>
    </row>
    <row r="166" spans="6:7">
      <c r="F166">
        <v>2021</v>
      </c>
      <c r="G166" s="1" t="s">
        <v>25</v>
      </c>
    </row>
    <row r="167" spans="6:7">
      <c r="F167">
        <v>2022</v>
      </c>
      <c r="G167" s="1" t="s">
        <v>14</v>
      </c>
    </row>
    <row r="168" spans="6:7">
      <c r="F168">
        <v>2022</v>
      </c>
      <c r="G168" s="1" t="s">
        <v>15</v>
      </c>
    </row>
    <row r="169" spans="6:7">
      <c r="F169">
        <v>2022</v>
      </c>
      <c r="G169" s="1" t="s">
        <v>16</v>
      </c>
    </row>
    <row r="170" spans="6:7">
      <c r="F170">
        <v>2022</v>
      </c>
      <c r="G170" s="1" t="s">
        <v>17</v>
      </c>
    </row>
    <row r="171" spans="6:7">
      <c r="F171">
        <v>2022</v>
      </c>
      <c r="G171" s="1" t="s">
        <v>18</v>
      </c>
    </row>
    <row r="172" spans="6:7">
      <c r="F172">
        <v>2022</v>
      </c>
      <c r="G172" s="1" t="s">
        <v>19</v>
      </c>
    </row>
    <row r="173" spans="6:7">
      <c r="F173">
        <v>2022</v>
      </c>
      <c r="G173" s="1" t="s">
        <v>20</v>
      </c>
    </row>
    <row r="174" spans="6:7">
      <c r="F174">
        <v>2022</v>
      </c>
      <c r="G174" s="1" t="s">
        <v>21</v>
      </c>
    </row>
    <row r="175" spans="6:7">
      <c r="F175">
        <v>2022</v>
      </c>
      <c r="G175" s="1" t="s">
        <v>22</v>
      </c>
    </row>
    <row r="176" spans="6:7">
      <c r="F176">
        <v>2022</v>
      </c>
      <c r="G176" s="1" t="s">
        <v>23</v>
      </c>
    </row>
    <row r="177" spans="6:7">
      <c r="F177">
        <v>2022</v>
      </c>
      <c r="G177" s="1" t="s">
        <v>24</v>
      </c>
    </row>
    <row r="178" spans="6:7">
      <c r="F178">
        <v>2022</v>
      </c>
      <c r="G178" s="1" t="s">
        <v>25</v>
      </c>
    </row>
    <row r="179" spans="6:7">
      <c r="F179">
        <v>2023</v>
      </c>
      <c r="G179" s="1" t="s">
        <v>14</v>
      </c>
    </row>
    <row r="180" spans="6:7">
      <c r="F180">
        <v>2023</v>
      </c>
      <c r="G180" s="1" t="s">
        <v>15</v>
      </c>
    </row>
    <row r="181" spans="6:7">
      <c r="F181">
        <v>2023</v>
      </c>
      <c r="G181" s="1" t="s">
        <v>16</v>
      </c>
    </row>
    <row r="182" spans="6:7">
      <c r="F182">
        <v>2023</v>
      </c>
      <c r="G182" s="1" t="s">
        <v>17</v>
      </c>
    </row>
    <row r="183" spans="6:7">
      <c r="F183">
        <v>2023</v>
      </c>
      <c r="G183" s="1" t="s">
        <v>18</v>
      </c>
    </row>
    <row r="184" spans="6:7">
      <c r="F184">
        <v>2023</v>
      </c>
      <c r="G184" s="1" t="s">
        <v>19</v>
      </c>
    </row>
    <row r="185" spans="6:7">
      <c r="F185">
        <v>2023</v>
      </c>
      <c r="G185" s="1" t="s">
        <v>20</v>
      </c>
    </row>
    <row r="186" spans="6:7">
      <c r="F186">
        <v>2023</v>
      </c>
      <c r="G186" s="1" t="s">
        <v>21</v>
      </c>
    </row>
    <row r="187" spans="6:7">
      <c r="F187">
        <v>2023</v>
      </c>
      <c r="G187" s="1" t="s">
        <v>22</v>
      </c>
    </row>
    <row r="188" spans="6:7">
      <c r="F188">
        <v>2023</v>
      </c>
      <c r="G188" s="1" t="s">
        <v>23</v>
      </c>
    </row>
    <row r="189" spans="6:7">
      <c r="F189">
        <v>2023</v>
      </c>
      <c r="G189" s="1" t="s">
        <v>24</v>
      </c>
    </row>
    <row r="190" spans="6:7">
      <c r="F190">
        <v>2023</v>
      </c>
      <c r="G190" s="1" t="s">
        <v>25</v>
      </c>
    </row>
    <row r="679" spans="4:18">
      <c r="D679">
        <v>8</v>
      </c>
      <c r="E679">
        <v>7</v>
      </c>
      <c r="F679">
        <v>8</v>
      </c>
      <c r="G679">
        <v>8</v>
      </c>
      <c r="H679">
        <v>8</v>
      </c>
      <c r="I679">
        <v>8</v>
      </c>
      <c r="J679">
        <v>8</v>
      </c>
      <c r="K679">
        <v>8</v>
      </c>
      <c r="L679">
        <v>8</v>
      </c>
      <c r="M679">
        <v>7</v>
      </c>
      <c r="N679">
        <v>7</v>
      </c>
      <c r="O679">
        <v>7</v>
      </c>
      <c r="P679">
        <v>7</v>
      </c>
      <c r="Q679">
        <v>7</v>
      </c>
      <c r="R679">
        <v>7</v>
      </c>
    </row>
    <row r="680" spans="4:18">
      <c r="D680">
        <v>24</v>
      </c>
      <c r="E680">
        <v>23</v>
      </c>
      <c r="F680">
        <v>24</v>
      </c>
      <c r="G680">
        <v>24</v>
      </c>
      <c r="H680">
        <v>25</v>
      </c>
      <c r="I680">
        <v>25</v>
      </c>
      <c r="J680">
        <v>25</v>
      </c>
      <c r="K680">
        <v>25</v>
      </c>
      <c r="L680">
        <v>25</v>
      </c>
      <c r="M680">
        <v>25</v>
      </c>
      <c r="N680">
        <v>24</v>
      </c>
      <c r="O680">
        <v>24</v>
      </c>
      <c r="P680">
        <v>24</v>
      </c>
      <c r="Q680">
        <v>24</v>
      </c>
      <c r="R680">
        <v>24</v>
      </c>
    </row>
    <row r="690" spans="4:18">
      <c r="D690">
        <v>10</v>
      </c>
      <c r="E690">
        <v>9</v>
      </c>
      <c r="F690">
        <v>10</v>
      </c>
      <c r="G690">
        <v>10</v>
      </c>
      <c r="H690">
        <v>10</v>
      </c>
      <c r="I690">
        <v>10</v>
      </c>
      <c r="J690">
        <v>10</v>
      </c>
      <c r="K690">
        <v>10</v>
      </c>
      <c r="L690">
        <v>10</v>
      </c>
      <c r="M690">
        <v>9</v>
      </c>
      <c r="N690">
        <v>9</v>
      </c>
      <c r="O690">
        <v>9</v>
      </c>
      <c r="P690">
        <v>9</v>
      </c>
      <c r="Q690">
        <v>9</v>
      </c>
      <c r="R690">
        <v>9</v>
      </c>
    </row>
    <row r="691" spans="4:18">
      <c r="D691">
        <v>26</v>
      </c>
      <c r="E691">
        <v>25</v>
      </c>
      <c r="F691">
        <v>25</v>
      </c>
      <c r="G691">
        <v>26</v>
      </c>
      <c r="H691">
        <v>27</v>
      </c>
      <c r="I691">
        <v>26</v>
      </c>
      <c r="J691">
        <v>26</v>
      </c>
      <c r="K691">
        <v>26</v>
      </c>
      <c r="L691">
        <v>26</v>
      </c>
      <c r="M691">
        <v>26</v>
      </c>
      <c r="N691">
        <v>26</v>
      </c>
      <c r="O691">
        <v>26</v>
      </c>
      <c r="P691">
        <v>26</v>
      </c>
      <c r="Q691">
        <v>26</v>
      </c>
      <c r="R691">
        <v>26</v>
      </c>
    </row>
    <row r="701" spans="4:18">
      <c r="D701">
        <v>5</v>
      </c>
      <c r="E701">
        <v>5</v>
      </c>
      <c r="F701">
        <v>6</v>
      </c>
      <c r="G701">
        <v>6</v>
      </c>
      <c r="H701">
        <v>6</v>
      </c>
      <c r="I701">
        <v>6</v>
      </c>
      <c r="J701">
        <v>6</v>
      </c>
      <c r="K701">
        <v>6</v>
      </c>
      <c r="L701">
        <v>6</v>
      </c>
      <c r="M701">
        <v>6</v>
      </c>
      <c r="N701">
        <v>6</v>
      </c>
      <c r="O701">
        <v>6</v>
      </c>
      <c r="P701">
        <v>6</v>
      </c>
      <c r="Q701">
        <v>6</v>
      </c>
      <c r="R701">
        <v>6</v>
      </c>
    </row>
    <row r="702" spans="4:18">
      <c r="D702">
        <v>17</v>
      </c>
      <c r="E702">
        <v>17</v>
      </c>
      <c r="F702">
        <v>18</v>
      </c>
      <c r="G702">
        <v>18</v>
      </c>
      <c r="H702">
        <v>18</v>
      </c>
      <c r="I702">
        <v>18</v>
      </c>
      <c r="J702">
        <v>19</v>
      </c>
      <c r="K702">
        <v>18</v>
      </c>
      <c r="L702">
        <v>18</v>
      </c>
      <c r="M702">
        <v>18</v>
      </c>
      <c r="N702">
        <v>19</v>
      </c>
      <c r="O702">
        <v>19</v>
      </c>
      <c r="P702">
        <v>19</v>
      </c>
      <c r="Q702">
        <v>19</v>
      </c>
      <c r="R702">
        <v>19</v>
      </c>
    </row>
  </sheetData>
  <conditionalFormatting sqref="N16:O16">
    <cfRule type="expression" dxfId="2" priority="1" stopIfTrue="1">
      <formula>$A16="SCOTLAND"</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2:S80"/>
  <sheetViews>
    <sheetView topLeftCell="A17" workbookViewId="0">
      <selection activeCell="H27" sqref="H27:J27"/>
    </sheetView>
  </sheetViews>
  <sheetFormatPr defaultRowHeight="15"/>
  <cols>
    <col min="17" max="17" width="11.5703125" customWidth="1"/>
    <col min="18" max="18" width="20.42578125" customWidth="1"/>
  </cols>
  <sheetData>
    <row r="2" spans="1:4">
      <c r="A2" t="s">
        <v>149</v>
      </c>
    </row>
    <row r="7" spans="1:4">
      <c r="D7" t="s">
        <v>150</v>
      </c>
    </row>
    <row r="8" spans="1:4">
      <c r="D8" t="s">
        <v>153</v>
      </c>
    </row>
    <row r="9" spans="1:4">
      <c r="D9" t="s">
        <v>157</v>
      </c>
    </row>
    <row r="12" spans="1:4">
      <c r="D12" t="s">
        <v>151</v>
      </c>
    </row>
    <row r="13" spans="1:4">
      <c r="D13" t="s">
        <v>152</v>
      </c>
    </row>
    <row r="14" spans="1:4">
      <c r="D14" t="s">
        <v>156</v>
      </c>
    </row>
    <row r="17" spans="1:19">
      <c r="D17" t="s">
        <v>154</v>
      </c>
    </row>
    <row r="18" spans="1:19">
      <c r="D18" t="s">
        <v>152</v>
      </c>
    </row>
    <row r="19" spans="1:19" ht="15.75" thickBot="1">
      <c r="A19" s="41"/>
      <c r="B19" s="41"/>
      <c r="C19" s="41"/>
      <c r="D19" s="41" t="s">
        <v>155</v>
      </c>
      <c r="E19" s="41"/>
      <c r="F19" s="41"/>
      <c r="G19" s="41"/>
      <c r="H19" s="41"/>
      <c r="I19" s="41"/>
      <c r="J19" s="41"/>
      <c r="K19" s="41"/>
      <c r="L19" s="41"/>
      <c r="M19" s="41"/>
    </row>
    <row r="21" spans="1:19" ht="26.25">
      <c r="C21" s="42" t="s">
        <v>198</v>
      </c>
    </row>
    <row r="22" spans="1:19">
      <c r="O22" s="58" t="s">
        <v>319</v>
      </c>
    </row>
    <row r="23" spans="1:19">
      <c r="O23" s="58"/>
    </row>
    <row r="24" spans="1:19">
      <c r="C24" s="43" t="s">
        <v>298</v>
      </c>
      <c r="O24" s="58" t="s">
        <v>318</v>
      </c>
      <c r="R24" s="2" t="s">
        <v>326</v>
      </c>
    </row>
    <row r="25" spans="1:19">
      <c r="O25" s="58"/>
    </row>
    <row r="26" spans="1:19" ht="15.75" thickBot="1">
      <c r="O26" s="58" t="s">
        <v>320</v>
      </c>
      <c r="S26" s="30" t="s">
        <v>299</v>
      </c>
    </row>
    <row r="27" spans="1:19" ht="15.75" thickBot="1">
      <c r="C27" s="43" t="s">
        <v>199</v>
      </c>
      <c r="H27" s="417" t="s">
        <v>390</v>
      </c>
      <c r="I27" s="418"/>
      <c r="J27" s="419"/>
      <c r="O27" s="58"/>
    </row>
    <row r="28" spans="1:19">
      <c r="C28" s="43"/>
      <c r="O28" s="58"/>
    </row>
    <row r="29" spans="1:19">
      <c r="C29" s="43" t="s">
        <v>200</v>
      </c>
      <c r="L29" t="s">
        <v>299</v>
      </c>
      <c r="O29" s="58"/>
    </row>
    <row r="30" spans="1:19">
      <c r="O30" s="58"/>
    </row>
    <row r="31" spans="1:19">
      <c r="O31" s="58"/>
    </row>
    <row r="32" spans="1:19">
      <c r="O32" s="58"/>
    </row>
    <row r="33" spans="1:10" ht="26.25">
      <c r="A33" s="43"/>
      <c r="B33" s="42" t="s">
        <v>291</v>
      </c>
      <c r="C33" s="45"/>
      <c r="D33" s="45"/>
      <c r="E33" s="45"/>
      <c r="F33" s="45"/>
      <c r="G33" s="43"/>
      <c r="H33" s="43"/>
      <c r="I33" s="43"/>
    </row>
    <row r="34" spans="1:10">
      <c r="A34" s="43"/>
      <c r="B34" s="43"/>
      <c r="C34" s="43"/>
      <c r="D34" s="43"/>
      <c r="E34" s="43"/>
      <c r="F34" s="43"/>
      <c r="G34" s="43"/>
      <c r="H34" s="43"/>
      <c r="I34" s="43"/>
    </row>
    <row r="35" spans="1:10">
      <c r="A35" s="43"/>
      <c r="B35" s="43"/>
      <c r="C35" s="43"/>
      <c r="D35" s="43"/>
      <c r="E35" s="43"/>
      <c r="F35" s="43"/>
      <c r="G35" s="43"/>
      <c r="H35" s="43"/>
      <c r="I35" s="43"/>
    </row>
    <row r="36" spans="1:10">
      <c r="A36" s="43"/>
      <c r="B36" s="43" t="s">
        <v>199</v>
      </c>
      <c r="C36" s="43"/>
      <c r="D36" s="43"/>
      <c r="E36" s="43"/>
      <c r="F36" s="420" t="s">
        <v>168</v>
      </c>
      <c r="G36" s="421"/>
      <c r="H36" s="421"/>
      <c r="I36" s="422"/>
    </row>
    <row r="37" spans="1:10" ht="15.75" thickBot="1">
      <c r="A37" s="43"/>
      <c r="B37" s="43"/>
      <c r="C37" s="43"/>
      <c r="D37" s="43"/>
      <c r="E37" s="43"/>
      <c r="F37" s="43"/>
      <c r="G37" s="43"/>
      <c r="H37" s="43"/>
      <c r="I37" s="43"/>
    </row>
    <row r="38" spans="1:10" ht="15.75" thickBot="1">
      <c r="A38" s="43"/>
      <c r="B38" s="43"/>
      <c r="C38" s="43" t="s">
        <v>199</v>
      </c>
      <c r="D38" s="43"/>
      <c r="E38" s="43"/>
      <c r="F38" s="43"/>
      <c r="G38" s="43"/>
      <c r="H38" s="415" t="s">
        <v>204</v>
      </c>
      <c r="I38" s="423"/>
      <c r="J38" s="416"/>
    </row>
    <row r="39" spans="1:10">
      <c r="A39" s="43"/>
      <c r="B39" s="43"/>
      <c r="C39" s="43"/>
      <c r="D39" s="43"/>
      <c r="E39" s="43"/>
      <c r="F39" s="43"/>
      <c r="G39" s="43"/>
      <c r="H39" s="43"/>
      <c r="I39" s="43"/>
    </row>
    <row r="40" spans="1:10">
      <c r="A40" s="43"/>
      <c r="B40" s="43"/>
      <c r="D40" s="43"/>
      <c r="E40" s="43"/>
      <c r="F40" s="43"/>
      <c r="G40" s="43"/>
      <c r="H40" s="43"/>
      <c r="I40" s="43"/>
    </row>
    <row r="41" spans="1:10">
      <c r="A41" s="43"/>
      <c r="B41" s="43"/>
      <c r="C41" s="43" t="s">
        <v>200</v>
      </c>
      <c r="D41" s="43"/>
      <c r="E41" s="43"/>
      <c r="F41" s="43"/>
      <c r="G41" s="43"/>
      <c r="H41" s="43"/>
      <c r="I41" s="43"/>
    </row>
    <row r="45" spans="1:10" s="43" customFormat="1"/>
    <row r="46" spans="1:10" s="43" customFormat="1" ht="23.25">
      <c r="B46" s="46" t="s">
        <v>292</v>
      </c>
    </row>
    <row r="47" spans="1:10" s="43" customFormat="1" ht="15.75" thickBot="1"/>
    <row r="48" spans="1:10" s="43" customFormat="1" ht="15.75" thickBot="1">
      <c r="B48" s="43" t="s">
        <v>293</v>
      </c>
      <c r="F48" s="415" t="s">
        <v>10</v>
      </c>
      <c r="G48" s="416"/>
    </row>
    <row r="49" spans="1:11" s="43" customFormat="1">
      <c r="B49" s="47" t="s">
        <v>294</v>
      </c>
    </row>
    <row r="50" spans="1:11" s="43" customFormat="1">
      <c r="B50" s="47"/>
    </row>
    <row r="51" spans="1:11" s="43" customFormat="1">
      <c r="B51" s="47"/>
    </row>
    <row r="52" spans="1:11" s="43" customFormat="1"/>
    <row r="53" spans="1:11" s="43" customFormat="1">
      <c r="B53" s="43" t="s">
        <v>295</v>
      </c>
      <c r="F53" s="43" t="s">
        <v>296</v>
      </c>
    </row>
    <row r="54" spans="1:11" s="43" customFormat="1"/>
    <row r="55" spans="1:11" s="43" customFormat="1">
      <c r="A55" s="48"/>
      <c r="B55" s="48"/>
      <c r="C55" s="48"/>
      <c r="D55" s="48"/>
      <c r="E55" s="48"/>
      <c r="F55" s="48"/>
      <c r="G55" s="48"/>
      <c r="H55" s="48"/>
      <c r="I55" s="48"/>
      <c r="J55" s="48"/>
      <c r="K55" s="48"/>
    </row>
    <row r="58" spans="1:11" ht="23.25">
      <c r="B58" s="55" t="s">
        <v>304</v>
      </c>
    </row>
    <row r="59" spans="1:11" ht="15.75" thickBot="1"/>
    <row r="60" spans="1:11" ht="15.75" thickBot="1">
      <c r="B60" t="s">
        <v>305</v>
      </c>
      <c r="G60" s="417" t="s">
        <v>307</v>
      </c>
      <c r="H60" s="418"/>
      <c r="I60" s="419"/>
    </row>
    <row r="62" spans="1:11">
      <c r="B62" t="s">
        <v>306</v>
      </c>
    </row>
    <row r="65" spans="2:14" ht="23.25">
      <c r="B65" s="56" t="s">
        <v>311</v>
      </c>
    </row>
    <row r="66" spans="2:14" ht="15.75" thickBot="1"/>
    <row r="67" spans="2:14" ht="15.75" thickBot="1">
      <c r="B67" s="43" t="s">
        <v>293</v>
      </c>
      <c r="C67" s="43"/>
      <c r="D67" s="43"/>
      <c r="E67" s="43"/>
      <c r="F67" s="415" t="s">
        <v>10</v>
      </c>
      <c r="G67" s="416"/>
      <c r="H67" s="43"/>
      <c r="I67" s="43"/>
      <c r="J67" s="43"/>
      <c r="K67" s="43"/>
      <c r="L67" s="43"/>
      <c r="M67" s="43"/>
      <c r="N67" s="43"/>
    </row>
    <row r="68" spans="2:14">
      <c r="B68" s="47" t="s">
        <v>294</v>
      </c>
      <c r="C68" s="43"/>
      <c r="D68" s="43"/>
      <c r="E68" s="43"/>
      <c r="F68" s="43"/>
      <c r="G68" s="43"/>
      <c r="H68" s="43"/>
      <c r="I68" s="43"/>
      <c r="J68" s="43"/>
      <c r="K68" s="43"/>
      <c r="L68" s="43"/>
      <c r="M68" s="43"/>
      <c r="N68" s="43"/>
    </row>
    <row r="69" spans="2:14">
      <c r="B69" s="47"/>
      <c r="C69" s="43"/>
      <c r="D69" s="43"/>
      <c r="E69" s="43"/>
      <c r="F69" s="43"/>
      <c r="G69" s="43"/>
      <c r="H69" s="43"/>
      <c r="I69" s="43"/>
      <c r="J69" s="43"/>
      <c r="K69" s="43"/>
      <c r="L69" s="43"/>
      <c r="M69" s="43"/>
      <c r="N69" s="43"/>
    </row>
    <row r="70" spans="2:14">
      <c r="B70" s="47"/>
      <c r="C70" s="43"/>
      <c r="D70" s="43"/>
      <c r="E70" s="43"/>
      <c r="F70" s="43"/>
      <c r="G70" s="43"/>
      <c r="H70" s="43"/>
      <c r="I70" s="43"/>
      <c r="J70" s="43"/>
      <c r="K70" s="43"/>
      <c r="L70" s="43"/>
      <c r="M70" s="43"/>
      <c r="N70" s="43"/>
    </row>
    <row r="71" spans="2:14">
      <c r="B71" s="43"/>
      <c r="C71" s="43"/>
      <c r="D71" s="43"/>
      <c r="E71" s="43"/>
      <c r="F71" s="43"/>
      <c r="G71" s="43"/>
      <c r="H71" s="43"/>
      <c r="I71" s="43"/>
      <c r="J71" s="43"/>
      <c r="K71" s="43"/>
      <c r="L71" s="43"/>
      <c r="M71" s="43"/>
      <c r="N71" s="43"/>
    </row>
    <row r="72" spans="2:14">
      <c r="B72" s="43" t="s">
        <v>295</v>
      </c>
      <c r="C72" s="43"/>
      <c r="D72" s="43"/>
      <c r="E72" s="43"/>
      <c r="F72" s="43" t="s">
        <v>296</v>
      </c>
      <c r="G72" s="43"/>
      <c r="H72" s="43"/>
      <c r="I72" s="43"/>
      <c r="J72" s="43"/>
      <c r="K72" s="43"/>
      <c r="L72" s="43"/>
      <c r="M72" s="43"/>
      <c r="N72" s="43"/>
    </row>
    <row r="75" spans="2:14">
      <c r="B75" t="s">
        <v>312</v>
      </c>
    </row>
    <row r="78" spans="2:14" ht="23.25">
      <c r="B78" s="56" t="s">
        <v>321</v>
      </c>
    </row>
    <row r="80" spans="2:14">
      <c r="B80" t="s">
        <v>322</v>
      </c>
    </row>
  </sheetData>
  <mergeCells count="6">
    <mergeCell ref="F67:G67"/>
    <mergeCell ref="H27:J27"/>
    <mergeCell ref="F36:I36"/>
    <mergeCell ref="H38:J38"/>
    <mergeCell ref="F48:G48"/>
    <mergeCell ref="G60:I60"/>
  </mergeCells>
  <dataValidations count="7">
    <dataValidation type="list" allowBlank="1" showInputMessage="1" showErrorMessage="1" sqref="H38:J38">
      <formula1>tab</formula1>
    </dataValidation>
    <dataValidation type="list" allowBlank="1" showInputMessage="1" showErrorMessage="1" sqref="F36">
      <formula1>MMI</formula1>
    </dataValidation>
    <dataValidation type="list" allowBlank="1" showInputMessage="1" showErrorMessage="1" sqref="WVN48 JB48 SX48 ACT48 AMP48 AWL48 BGH48 BQD48 BZZ48 CJV48 CTR48 DDN48 DNJ48 DXF48 EHB48 EQX48 FAT48 FKP48 FUL48 GEH48 GOD48 GXZ48 HHV48 HRR48 IBN48 ILJ48 IVF48 JFB48 JOX48 JYT48 KIP48 KSL48 LCH48 LMD48 LVZ48 MFV48 MPR48 MZN48 NJJ48 NTF48 ODB48 OMX48 OWT48 PGP48 PQL48 QAH48 QKD48 QTZ48 RDV48 RNR48 RXN48 SHJ48 SRF48 TBB48 TKX48 TUT48 UEP48 UOL48 UYH48 VID48 VRZ48 WBV48 WLR48">
      <formula1 xml:space="preserve"> boards</formula1>
    </dataValidation>
    <dataValidation type="list" allowBlank="1" showInputMessage="1" showErrorMessage="1" sqref="F48:G48 F67:G67">
      <formula1 xml:space="preserve"> Boards1</formula1>
    </dataValidation>
    <dataValidation type="list" allowBlank="1" showInputMessage="1" showErrorMessage="1" sqref="G60:I60">
      <formula1>Referrals</formula1>
    </dataValidation>
    <dataValidation type="list" allowBlank="1" showInputMessage="1" showErrorMessage="1" sqref="R24">
      <formula1>seenwaiting</formula1>
    </dataValidation>
    <dataValidation type="list" allowBlank="1" showInputMessage="1" showErrorMessage="1" sqref="H27:J27">
      <formula1>listoftables</formula1>
    </dataValidation>
  </dataValidation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0]!checkingsource">
                <anchor moveWithCells="1" sizeWithCells="1">
                  <from>
                    <xdr:col>7</xdr:col>
                    <xdr:colOff>19050</xdr:colOff>
                    <xdr:row>22</xdr:row>
                    <xdr:rowOff>142875</xdr:rowOff>
                  </from>
                  <to>
                    <xdr:col>9</xdr:col>
                    <xdr:colOff>19050</xdr:colOff>
                    <xdr:row>24</xdr:row>
                    <xdr:rowOff>142875</xdr:rowOff>
                  </to>
                </anchor>
              </controlPr>
            </control>
          </mc:Choice>
        </mc:AlternateContent>
        <mc:AlternateContent xmlns:mc="http://schemas.openxmlformats.org/markup-compatibility/2006">
          <mc:Choice Requires="x14">
            <control shapeId="5124" r:id="rId5" name="Button 4">
              <controlPr defaultSize="0" print="0" autoFill="0" autoPict="0" macro="[0]!comparingtables">
                <anchor moveWithCells="1" sizeWithCells="1">
                  <from>
                    <xdr:col>7</xdr:col>
                    <xdr:colOff>9525</xdr:colOff>
                    <xdr:row>27</xdr:row>
                    <xdr:rowOff>161925</xdr:rowOff>
                  </from>
                  <to>
                    <xdr:col>9</xdr:col>
                    <xdr:colOff>9525</xdr:colOff>
                    <xdr:row>29</xdr:row>
                    <xdr:rowOff>66675</xdr:rowOff>
                  </to>
                </anchor>
              </controlPr>
            </control>
          </mc:Choice>
        </mc:AlternateContent>
        <mc:AlternateContent xmlns:mc="http://schemas.openxmlformats.org/markup-compatibility/2006">
          <mc:Choice Requires="x14">
            <control shapeId="5137" r:id="rId6" name="Button 17">
              <controlPr defaultSize="0" print="0" autoFill="0" autoPict="0" macro="[0]!currentMMIagainstlastMMI">
                <anchor moveWithCells="1" sizeWithCells="1">
                  <from>
                    <xdr:col>7</xdr:col>
                    <xdr:colOff>28575</xdr:colOff>
                    <xdr:row>39</xdr:row>
                    <xdr:rowOff>57150</xdr:rowOff>
                  </from>
                  <to>
                    <xdr:col>8</xdr:col>
                    <xdr:colOff>600075</xdr:colOff>
                    <xdr:row>40</xdr:row>
                    <xdr:rowOff>180975</xdr:rowOff>
                  </to>
                </anchor>
              </controlPr>
            </control>
          </mc:Choice>
        </mc:AlternateContent>
        <mc:AlternateContent xmlns:mc="http://schemas.openxmlformats.org/markup-compatibility/2006">
          <mc:Choice Requires="x14">
            <control shapeId="5150" r:id="rId7" name="Button 30">
              <controlPr defaultSize="0" print="0" autoFill="0" autoPict="0" macro="[0]!checkingboxplotsdata">
                <anchor moveWithCells="1" sizeWithCells="1">
                  <from>
                    <xdr:col>1</xdr:col>
                    <xdr:colOff>190500</xdr:colOff>
                    <xdr:row>15</xdr:row>
                    <xdr:rowOff>180975</xdr:rowOff>
                  </from>
                  <to>
                    <xdr:col>2</xdr:col>
                    <xdr:colOff>514350</xdr:colOff>
                    <xdr:row>18</xdr:row>
                    <xdr:rowOff>19050</xdr:rowOff>
                  </to>
                </anchor>
              </controlPr>
            </control>
          </mc:Choice>
        </mc:AlternateContent>
        <mc:AlternateContent xmlns:mc="http://schemas.openxmlformats.org/markup-compatibility/2006">
          <mc:Choice Requires="x14">
            <control shapeId="5152" r:id="rId8" name="Button 32">
              <controlPr defaultSize="0" print="0" autoFill="0" autoPict="0" macro="[0]!comparingtablesbymonth">
                <anchor moveWithCells="1" sizeWithCells="1">
                  <from>
                    <xdr:col>7</xdr:col>
                    <xdr:colOff>38100</xdr:colOff>
                    <xdr:row>29</xdr:row>
                    <xdr:rowOff>171450</xdr:rowOff>
                  </from>
                  <to>
                    <xdr:col>9</xdr:col>
                    <xdr:colOff>9525</xdr:colOff>
                    <xdr:row>31</xdr:row>
                    <xdr:rowOff>57150</xdr:rowOff>
                  </to>
                </anchor>
              </controlPr>
            </control>
          </mc:Choice>
        </mc:AlternateContent>
        <mc:AlternateContent xmlns:mc="http://schemas.openxmlformats.org/markup-compatibility/2006">
          <mc:Choice Requires="x14">
            <control shapeId="5155" r:id="rId9" name="Button 35">
              <controlPr defaultSize="0" print="0" autoFill="0" autoPict="0" macro="[0]!comparingtablesbymonth">
                <anchor moveWithCells="1" sizeWithCells="1">
                  <from>
                    <xdr:col>17</xdr:col>
                    <xdr:colOff>9525</xdr:colOff>
                    <xdr:row>25</xdr:row>
                    <xdr:rowOff>9525</xdr:rowOff>
                  </from>
                  <to>
                    <xdr:col>18</xdr:col>
                    <xdr:colOff>9525</xdr:colOff>
                    <xdr:row>26</xdr:row>
                    <xdr:rowOff>28575</xdr:rowOff>
                  </to>
                </anchor>
              </controlPr>
            </control>
          </mc:Choice>
        </mc:AlternateContent>
        <mc:AlternateContent xmlns:mc="http://schemas.openxmlformats.org/markup-compatibility/2006">
          <mc:Choice Requires="x14">
            <control shapeId="5157" r:id="rId10" name="Button 37">
              <controlPr defaultSize="0" print="0" autoFill="0" autoPict="0" macro="[0]!typeofadjustment">
                <anchor moveWithCells="1" sizeWithCells="1">
                  <from>
                    <xdr:col>3</xdr:col>
                    <xdr:colOff>57150</xdr:colOff>
                    <xdr:row>79</xdr:row>
                    <xdr:rowOff>28575</xdr:rowOff>
                  </from>
                  <to>
                    <xdr:col>5</xdr:col>
                    <xdr:colOff>219075</xdr:colOff>
                    <xdr:row>80</xdr:row>
                    <xdr:rowOff>133350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B3:C32"/>
  <sheetViews>
    <sheetView tabSelected="1" workbookViewId="0">
      <selection activeCell="F7" sqref="F7"/>
    </sheetView>
  </sheetViews>
  <sheetFormatPr defaultRowHeight="12.75"/>
  <cols>
    <col min="1" max="1" width="9.140625" style="184"/>
    <col min="2" max="2" width="33.28515625" style="184" customWidth="1"/>
    <col min="3" max="3" width="110.7109375" style="184" bestFit="1" customWidth="1"/>
    <col min="4" max="16384" width="9.140625" style="184"/>
  </cols>
  <sheetData>
    <row r="3" spans="2:3" ht="20.100000000000001" customHeight="1">
      <c r="B3" s="182" t="s">
        <v>423</v>
      </c>
      <c r="C3" s="183" t="s">
        <v>424</v>
      </c>
    </row>
    <row r="4" spans="2:3" ht="20.100000000000001" customHeight="1">
      <c r="B4" s="187" t="s">
        <v>2180</v>
      </c>
      <c r="C4" s="398" t="s">
        <v>2181</v>
      </c>
    </row>
    <row r="5" spans="2:3" ht="20.100000000000001" customHeight="1">
      <c r="B5" s="399" t="s">
        <v>452</v>
      </c>
      <c r="C5" s="215" t="s">
        <v>471</v>
      </c>
    </row>
    <row r="6" spans="2:3" ht="18.95" customHeight="1">
      <c r="B6" s="185" t="s">
        <v>390</v>
      </c>
      <c r="C6" s="186" t="s">
        <v>425</v>
      </c>
    </row>
    <row r="7" spans="2:3" ht="18.95" customHeight="1">
      <c r="B7" s="185" t="s">
        <v>391</v>
      </c>
      <c r="C7" s="186" t="s">
        <v>426</v>
      </c>
    </row>
    <row r="8" spans="2:3" ht="18.95" customHeight="1">
      <c r="B8" s="187" t="s">
        <v>392</v>
      </c>
      <c r="C8" s="188" t="s">
        <v>427</v>
      </c>
    </row>
    <row r="9" spans="2:3" ht="18.95" customHeight="1">
      <c r="B9" s="185" t="s">
        <v>393</v>
      </c>
      <c r="C9" s="189" t="s">
        <v>428</v>
      </c>
    </row>
    <row r="10" spans="2:3" ht="18.95" customHeight="1">
      <c r="B10" s="185" t="s">
        <v>394</v>
      </c>
      <c r="C10" s="186" t="s">
        <v>429</v>
      </c>
    </row>
    <row r="11" spans="2:3" ht="18.95" customHeight="1">
      <c r="B11" s="185" t="s">
        <v>395</v>
      </c>
      <c r="C11" s="186" t="s">
        <v>430</v>
      </c>
    </row>
    <row r="12" spans="2:3" ht="18.95" customHeight="1">
      <c r="B12" s="185" t="s">
        <v>396</v>
      </c>
      <c r="C12" s="186" t="s">
        <v>431</v>
      </c>
    </row>
    <row r="13" spans="2:3" ht="18.95" customHeight="1">
      <c r="B13" s="190" t="s">
        <v>397</v>
      </c>
      <c r="C13" s="189" t="s">
        <v>432</v>
      </c>
    </row>
    <row r="14" spans="2:3" ht="18.95" customHeight="1">
      <c r="B14" s="191" t="s">
        <v>398</v>
      </c>
      <c r="C14" s="186" t="s">
        <v>433</v>
      </c>
    </row>
    <row r="15" spans="2:3" ht="18.95" customHeight="1">
      <c r="B15" s="191" t="s">
        <v>399</v>
      </c>
      <c r="C15" s="186" t="s">
        <v>434</v>
      </c>
    </row>
    <row r="16" spans="2:3" ht="18.95" customHeight="1">
      <c r="B16" s="191" t="s">
        <v>400</v>
      </c>
      <c r="C16" s="188" t="s">
        <v>435</v>
      </c>
    </row>
    <row r="17" spans="2:3" ht="18.95" customHeight="1">
      <c r="B17" s="191" t="s">
        <v>401</v>
      </c>
      <c r="C17" s="189" t="s">
        <v>436</v>
      </c>
    </row>
    <row r="18" spans="2:3" ht="18.95" customHeight="1">
      <c r="B18" s="192" t="s">
        <v>402</v>
      </c>
      <c r="C18" s="186" t="s">
        <v>1309</v>
      </c>
    </row>
    <row r="19" spans="2:3" ht="18.95" customHeight="1">
      <c r="B19" s="185" t="s">
        <v>403</v>
      </c>
      <c r="C19" s="186" t="s">
        <v>1308</v>
      </c>
    </row>
    <row r="20" spans="2:3" ht="18.95" customHeight="1">
      <c r="B20" s="185" t="s">
        <v>1306</v>
      </c>
      <c r="C20" s="186" t="s">
        <v>1307</v>
      </c>
    </row>
    <row r="21" spans="2:3">
      <c r="B21" s="191" t="s">
        <v>452</v>
      </c>
      <c r="C21" s="186" t="s">
        <v>452</v>
      </c>
    </row>
    <row r="22" spans="2:3" ht="15">
      <c r="B22" s="193"/>
      <c r="C22" s="194"/>
    </row>
    <row r="23" spans="2:3" ht="15">
      <c r="B23" s="193"/>
      <c r="C23" s="194"/>
    </row>
    <row r="24" spans="2:3" ht="15">
      <c r="B24" s="193"/>
      <c r="C24" s="194"/>
    </row>
    <row r="25" spans="2:3" ht="15">
      <c r="B25" s="193"/>
      <c r="C25" s="194"/>
    </row>
    <row r="26" spans="2:3" ht="15">
      <c r="B26" s="193"/>
      <c r="C26" s="194"/>
    </row>
    <row r="27" spans="2:3" ht="15">
      <c r="B27" s="193"/>
      <c r="C27" s="194"/>
    </row>
    <row r="28" spans="2:3" ht="15">
      <c r="B28" s="193"/>
      <c r="C28" s="194"/>
    </row>
    <row r="29" spans="2:3" ht="15">
      <c r="B29" s="193"/>
      <c r="C29" s="194"/>
    </row>
    <row r="30" spans="2:3" ht="15">
      <c r="B30" s="193"/>
      <c r="C30" s="194"/>
    </row>
    <row r="31" spans="2:3" ht="15">
      <c r="B31" s="193"/>
      <c r="C31" s="194"/>
    </row>
    <row r="32" spans="2:3" ht="15">
      <c r="B32" s="193"/>
      <c r="C32" s="194"/>
    </row>
  </sheetData>
  <hyperlinks>
    <hyperlink ref="B8" location="'1c'!A1" display="1c"/>
    <hyperlink ref="B11" location="'2b'!A1" display="2b"/>
    <hyperlink ref="B13" location="'2d'!A1" display="2d"/>
    <hyperlink ref="B9" location="'1d'!A1" display="1d"/>
    <hyperlink ref="B10" location="'2a'!A1" display="2a"/>
    <hyperlink ref="B12" location="'2c'!A1" display="2c"/>
    <hyperlink ref="B7" location="'1b'!A1" display="1b"/>
    <hyperlink ref="B6" location="'1a'!A1" display="1a"/>
    <hyperlink ref="B14" location="'3a'!A1" display="3a"/>
    <hyperlink ref="B15" location="'3b'!A1" display="3b"/>
    <hyperlink ref="B16" location="'3c'!A1" display="3c"/>
    <hyperlink ref="B17" location="'3d'!A1" display="3d"/>
    <hyperlink ref="B18" location="'4a'!A1" display="4a"/>
    <hyperlink ref="B19" location="'4b'!A1" display="4b"/>
    <hyperlink ref="B21" location="footnotes!A1" display="Footnotes"/>
    <hyperlink ref="B5" location="footnotes!A1" display="Footnotes"/>
    <hyperlink ref="B20" location="'4c'!A1" display="4c"/>
    <hyperlink ref="B4" location="'Sept 21 resubs - Fife referrals'!A1" display="Sept 21 resubs - Fife referrals"/>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8"/>
  <sheetViews>
    <sheetView workbookViewId="0">
      <selection activeCell="L13" sqref="L13"/>
    </sheetView>
  </sheetViews>
  <sheetFormatPr defaultRowHeight="12.75"/>
  <cols>
    <col min="1" max="1" width="24" style="371" customWidth="1"/>
    <col min="2" max="2" width="7.42578125" style="371" bestFit="1" customWidth="1"/>
    <col min="3" max="3" width="5.7109375" style="371" customWidth="1"/>
    <col min="4" max="4" width="7.42578125" style="371" bestFit="1" customWidth="1"/>
    <col min="5" max="5" width="5.7109375" style="371" customWidth="1"/>
    <col min="6" max="6" width="8" style="371" bestFit="1" customWidth="1"/>
    <col min="7" max="7" width="5.7109375" style="371" customWidth="1"/>
    <col min="8" max="8" width="8" style="371" bestFit="1" customWidth="1"/>
    <col min="9" max="9" width="5.7109375" style="371" customWidth="1"/>
    <col min="10" max="16384" width="9.140625" style="371"/>
  </cols>
  <sheetData>
    <row r="1" spans="1:17">
      <c r="A1" s="384" t="s">
        <v>2179</v>
      </c>
      <c r="B1" s="376"/>
      <c r="C1" s="376"/>
      <c r="D1" s="376"/>
      <c r="E1" s="376"/>
      <c r="F1" s="376"/>
      <c r="G1" s="376"/>
      <c r="H1" s="376"/>
      <c r="I1" s="396"/>
      <c r="O1" s="413"/>
      <c r="P1" s="413"/>
      <c r="Q1" s="413"/>
    </row>
    <row r="2" spans="1:17">
      <c r="A2" s="374"/>
      <c r="B2" s="424" t="s">
        <v>2178</v>
      </c>
      <c r="C2" s="424"/>
      <c r="D2" s="424"/>
      <c r="E2" s="424"/>
      <c r="F2" s="425" t="s">
        <v>138</v>
      </c>
      <c r="G2" s="425"/>
      <c r="H2" s="425"/>
      <c r="I2" s="425"/>
      <c r="O2" s="413"/>
      <c r="P2" s="413"/>
      <c r="Q2" s="413"/>
    </row>
    <row r="3" spans="1:17" ht="24.75" customHeight="1">
      <c r="A3" s="374"/>
      <c r="B3" s="426" t="s">
        <v>2177</v>
      </c>
      <c r="C3" s="426"/>
      <c r="D3" s="426" t="s">
        <v>2176</v>
      </c>
      <c r="E3" s="426"/>
      <c r="F3" s="427" t="s">
        <v>2177</v>
      </c>
      <c r="G3" s="427"/>
      <c r="H3" s="426" t="s">
        <v>2176</v>
      </c>
      <c r="I3" s="426"/>
      <c r="N3" s="400" t="s">
        <v>138</v>
      </c>
      <c r="O3" s="401"/>
      <c r="P3" s="120"/>
      <c r="Q3" s="413"/>
    </row>
    <row r="4" spans="1:17" ht="15">
      <c r="A4" s="374"/>
      <c r="B4" s="394" t="s">
        <v>2175</v>
      </c>
      <c r="C4" s="394" t="s">
        <v>2173</v>
      </c>
      <c r="D4" s="394" t="s">
        <v>2175</v>
      </c>
      <c r="E4" s="394" t="s">
        <v>2173</v>
      </c>
      <c r="F4" s="395" t="s">
        <v>2174</v>
      </c>
      <c r="G4" s="394" t="s">
        <v>2173</v>
      </c>
      <c r="H4" s="394" t="s">
        <v>2174</v>
      </c>
      <c r="I4" s="394" t="s">
        <v>2173</v>
      </c>
      <c r="N4" s="400" t="s">
        <v>28</v>
      </c>
      <c r="O4" s="402"/>
      <c r="P4" s="403"/>
      <c r="Q4" s="413"/>
    </row>
    <row r="5" spans="1:17">
      <c r="A5" s="384" t="s">
        <v>2172</v>
      </c>
      <c r="B5" s="393"/>
      <c r="C5" s="390"/>
      <c r="D5" s="389"/>
      <c r="E5" s="390"/>
      <c r="F5" s="392"/>
      <c r="G5" s="390"/>
      <c r="H5" s="391"/>
      <c r="I5" s="390"/>
      <c r="O5" s="413"/>
      <c r="P5" s="413"/>
      <c r="Q5" s="413"/>
    </row>
    <row r="6" spans="1:17">
      <c r="A6" s="378" t="s">
        <v>2162</v>
      </c>
      <c r="B6" s="389">
        <v>42023</v>
      </c>
      <c r="C6" s="376">
        <v>7.7</v>
      </c>
      <c r="D6" s="389">
        <v>39219</v>
      </c>
      <c r="E6" s="376">
        <v>7.2</v>
      </c>
      <c r="F6" s="388">
        <v>2524</v>
      </c>
      <c r="G6" s="374">
        <v>6.8</v>
      </c>
      <c r="H6" s="387">
        <v>2316</v>
      </c>
      <c r="I6" s="383">
        <v>6.2</v>
      </c>
      <c r="O6" s="413"/>
      <c r="P6" s="413"/>
      <c r="Q6" s="413"/>
    </row>
    <row r="7" spans="1:17">
      <c r="A7" s="373" t="s">
        <v>2161</v>
      </c>
      <c r="B7" s="411">
        <v>42214</v>
      </c>
      <c r="C7" s="397">
        <v>7.7268317683451393</v>
      </c>
      <c r="D7" s="411">
        <v>39363</v>
      </c>
      <c r="E7" s="397">
        <v>7.2049859974740542</v>
      </c>
      <c r="F7" s="412">
        <v>2715</v>
      </c>
      <c r="G7" s="397">
        <v>7.268103332887164</v>
      </c>
      <c r="H7" s="411">
        <v>2460</v>
      </c>
      <c r="I7" s="397">
        <v>6.5854637933342257</v>
      </c>
      <c r="O7" s="413"/>
      <c r="P7" s="413"/>
      <c r="Q7" s="413"/>
    </row>
    <row r="8" spans="1:17">
      <c r="A8" s="372" t="s">
        <v>2160</v>
      </c>
      <c r="B8" s="404" t="s">
        <v>2222</v>
      </c>
      <c r="C8" s="405" t="s">
        <v>2182</v>
      </c>
      <c r="D8" s="404" t="s">
        <v>2223</v>
      </c>
      <c r="E8" s="404" t="s">
        <v>2182</v>
      </c>
      <c r="F8" s="404" t="s">
        <v>2222</v>
      </c>
      <c r="G8" s="405" t="s">
        <v>2187</v>
      </c>
      <c r="H8" s="404" t="s">
        <v>2223</v>
      </c>
      <c r="I8" s="404" t="s">
        <v>2207</v>
      </c>
    </row>
    <row r="9" spans="1:17">
      <c r="A9" s="380" t="s">
        <v>2171</v>
      </c>
      <c r="B9" s="377"/>
      <c r="C9" s="376"/>
      <c r="D9" s="377"/>
      <c r="E9" s="376"/>
      <c r="F9" s="379"/>
      <c r="G9" s="374"/>
      <c r="H9" s="375"/>
      <c r="I9" s="374"/>
    </row>
    <row r="10" spans="1:17">
      <c r="A10" s="378" t="s">
        <v>2162</v>
      </c>
      <c r="B10" s="377">
        <v>43443</v>
      </c>
      <c r="C10" s="385">
        <v>8</v>
      </c>
      <c r="D10" s="377">
        <v>40530</v>
      </c>
      <c r="E10" s="376">
        <v>7.4</v>
      </c>
      <c r="F10" s="379">
        <v>2650</v>
      </c>
      <c r="G10" s="374">
        <v>7.1</v>
      </c>
      <c r="H10" s="375">
        <v>2455</v>
      </c>
      <c r="I10" s="374">
        <v>6.6</v>
      </c>
    </row>
    <row r="11" spans="1:17">
      <c r="A11" s="373" t="s">
        <v>2161</v>
      </c>
      <c r="B11" s="381">
        <v>43688</v>
      </c>
      <c r="C11" s="397">
        <v>7.9966320721908009</v>
      </c>
      <c r="D11" s="381">
        <v>40735</v>
      </c>
      <c r="E11" s="397">
        <v>7.456116266725239</v>
      </c>
      <c r="F11" s="382">
        <v>2895</v>
      </c>
      <c r="G11" s="397">
        <v>7.7499665372774729</v>
      </c>
      <c r="H11" s="381">
        <v>2660</v>
      </c>
      <c r="I11" s="397">
        <v>7.1208673537679026</v>
      </c>
    </row>
    <row r="12" spans="1:17">
      <c r="A12" s="372" t="s">
        <v>2160</v>
      </c>
      <c r="B12" s="404" t="s">
        <v>2183</v>
      </c>
      <c r="C12" s="405" t="s">
        <v>2182</v>
      </c>
      <c r="D12" s="404" t="s">
        <v>2184</v>
      </c>
      <c r="E12" s="405" t="s">
        <v>2185</v>
      </c>
      <c r="F12" s="404" t="s">
        <v>2183</v>
      </c>
      <c r="G12" s="406" t="s">
        <v>2186</v>
      </c>
      <c r="H12" s="404" t="s">
        <v>2184</v>
      </c>
      <c r="I12" s="405" t="s">
        <v>2187</v>
      </c>
    </row>
    <row r="13" spans="1:17">
      <c r="A13" s="380" t="s">
        <v>2170</v>
      </c>
      <c r="B13" s="377"/>
      <c r="C13" s="385"/>
      <c r="D13" s="377"/>
      <c r="E13" s="376"/>
      <c r="F13" s="379"/>
      <c r="G13" s="374"/>
      <c r="H13" s="375"/>
      <c r="I13" s="374"/>
    </row>
    <row r="14" spans="1:17">
      <c r="A14" s="378" t="s">
        <v>2162</v>
      </c>
      <c r="B14" s="377">
        <v>38314</v>
      </c>
      <c r="C14" s="385">
        <v>7</v>
      </c>
      <c r="D14" s="377">
        <v>36992</v>
      </c>
      <c r="E14" s="376">
        <v>6.8</v>
      </c>
      <c r="F14" s="379">
        <v>2380</v>
      </c>
      <c r="G14" s="374">
        <v>6.4</v>
      </c>
      <c r="H14" s="375">
        <v>2264</v>
      </c>
      <c r="I14" s="374">
        <v>6.1</v>
      </c>
    </row>
    <row r="15" spans="1:17">
      <c r="A15" s="373" t="s">
        <v>2161</v>
      </c>
      <c r="B15" s="381">
        <v>38800</v>
      </c>
      <c r="C15" s="397">
        <v>7.1019347280947409</v>
      </c>
      <c r="D15" s="381">
        <v>37436</v>
      </c>
      <c r="E15" s="397">
        <v>6.8522687752823384</v>
      </c>
      <c r="F15" s="382">
        <v>2866</v>
      </c>
      <c r="G15" s="397">
        <v>7.6723330210145901</v>
      </c>
      <c r="H15" s="381">
        <v>2708</v>
      </c>
      <c r="I15" s="397">
        <v>7.2493642082719854</v>
      </c>
    </row>
    <row r="16" spans="1:17">
      <c r="A16" s="372" t="s">
        <v>2160</v>
      </c>
      <c r="B16" s="404" t="s">
        <v>2188</v>
      </c>
      <c r="C16" s="405" t="s">
        <v>2185</v>
      </c>
      <c r="D16" s="404" t="s">
        <v>2189</v>
      </c>
      <c r="E16" s="405" t="s">
        <v>2185</v>
      </c>
      <c r="F16" s="404" t="s">
        <v>2188</v>
      </c>
      <c r="G16" s="406" t="s">
        <v>2190</v>
      </c>
      <c r="H16" s="404" t="s">
        <v>2189</v>
      </c>
      <c r="I16" s="405" t="s">
        <v>2191</v>
      </c>
      <c r="L16" s="397"/>
    </row>
    <row r="17" spans="1:9">
      <c r="A17" s="384" t="s">
        <v>2169</v>
      </c>
      <c r="B17" s="377"/>
      <c r="C17" s="376"/>
      <c r="D17" s="386"/>
      <c r="E17" s="376"/>
      <c r="F17" s="379"/>
      <c r="G17" s="374"/>
      <c r="H17" s="375"/>
      <c r="I17" s="374"/>
    </row>
    <row r="18" spans="1:9">
      <c r="A18" s="378" t="s">
        <v>2162</v>
      </c>
      <c r="B18" s="377">
        <v>39499</v>
      </c>
      <c r="C18" s="376">
        <v>7.2</v>
      </c>
      <c r="D18" s="377">
        <v>38204</v>
      </c>
      <c r="E18" s="385">
        <v>7</v>
      </c>
      <c r="F18" s="379">
        <v>2498</v>
      </c>
      <c r="G18" s="374">
        <v>6.7</v>
      </c>
      <c r="H18" s="375">
        <v>2371</v>
      </c>
      <c r="I18" s="374">
        <v>6.3</v>
      </c>
    </row>
    <row r="19" spans="1:9">
      <c r="A19" s="373" t="s">
        <v>2161</v>
      </c>
      <c r="B19" s="381">
        <v>39972</v>
      </c>
      <c r="C19" s="397">
        <v>7.3164570863763663</v>
      </c>
      <c r="D19" s="381">
        <v>38667</v>
      </c>
      <c r="E19" s="397">
        <v>7.0775904672999834</v>
      </c>
      <c r="F19" s="382">
        <v>2971</v>
      </c>
      <c r="G19" s="397">
        <v>7.9534198902422704</v>
      </c>
      <c r="H19" s="381">
        <v>2834</v>
      </c>
      <c r="I19" s="397">
        <v>7.5866684513452016</v>
      </c>
    </row>
    <row r="20" spans="1:9">
      <c r="A20" s="372" t="s">
        <v>2160</v>
      </c>
      <c r="B20" s="404" t="s">
        <v>2192</v>
      </c>
      <c r="C20" s="405" t="s">
        <v>2185</v>
      </c>
      <c r="D20" s="404" t="s">
        <v>2193</v>
      </c>
      <c r="E20" s="405" t="s">
        <v>2185</v>
      </c>
      <c r="F20" s="404" t="s">
        <v>2192</v>
      </c>
      <c r="G20" s="406" t="s">
        <v>2190</v>
      </c>
      <c r="H20" s="404" t="s">
        <v>2193</v>
      </c>
      <c r="I20" s="406" t="s">
        <v>2190</v>
      </c>
    </row>
    <row r="21" spans="1:9">
      <c r="A21" s="380" t="s">
        <v>2168</v>
      </c>
      <c r="B21" s="377"/>
      <c r="C21" s="376"/>
      <c r="D21" s="377"/>
      <c r="E21" s="376"/>
      <c r="F21" s="379"/>
      <c r="G21" s="374"/>
      <c r="H21" s="375"/>
      <c r="I21" s="374"/>
    </row>
    <row r="22" spans="1:9">
      <c r="A22" s="378" t="s">
        <v>2162</v>
      </c>
      <c r="B22" s="377">
        <v>38706</v>
      </c>
      <c r="C22" s="376">
        <v>7.1</v>
      </c>
      <c r="D22" s="377">
        <v>37394</v>
      </c>
      <c r="E22" s="376">
        <v>6.8</v>
      </c>
      <c r="F22" s="379">
        <v>2805</v>
      </c>
      <c r="G22" s="374">
        <v>7.5</v>
      </c>
      <c r="H22" s="375">
        <v>2731</v>
      </c>
      <c r="I22" s="374">
        <v>7.3</v>
      </c>
    </row>
    <row r="23" spans="1:9">
      <c r="A23" s="373" t="s">
        <v>2161</v>
      </c>
      <c r="B23" s="381">
        <v>38707</v>
      </c>
      <c r="C23" s="397">
        <v>7.0849120494938953</v>
      </c>
      <c r="D23" s="381">
        <v>37355</v>
      </c>
      <c r="E23" s="397">
        <v>6.8374425713396665</v>
      </c>
      <c r="F23" s="382">
        <v>2806</v>
      </c>
      <c r="G23" s="397">
        <v>7.5117119528844869</v>
      </c>
      <c r="H23" s="381">
        <v>2692</v>
      </c>
      <c r="I23" s="397">
        <v>7.2065319234372911</v>
      </c>
    </row>
    <row r="24" spans="1:9">
      <c r="A24" s="372" t="s">
        <v>2160</v>
      </c>
      <c r="B24" s="404" t="s">
        <v>2194</v>
      </c>
      <c r="C24" s="405" t="s">
        <v>2182</v>
      </c>
      <c r="D24" s="407">
        <v>-39</v>
      </c>
      <c r="E24" s="405" t="s">
        <v>2182</v>
      </c>
      <c r="F24" s="404" t="s">
        <v>2194</v>
      </c>
      <c r="G24" s="405" t="s">
        <v>2182</v>
      </c>
      <c r="H24" s="407">
        <v>-39</v>
      </c>
      <c r="I24" s="408">
        <v>-9.3468076562708724E-2</v>
      </c>
    </row>
    <row r="25" spans="1:9">
      <c r="A25" s="380" t="s">
        <v>2167</v>
      </c>
      <c r="B25" s="377"/>
      <c r="C25" s="376"/>
      <c r="D25" s="377"/>
      <c r="E25" s="376"/>
      <c r="F25" s="379"/>
      <c r="G25" s="374"/>
      <c r="H25" s="375"/>
      <c r="I25" s="374"/>
    </row>
    <row r="26" spans="1:9">
      <c r="A26" s="378" t="s">
        <v>2162</v>
      </c>
      <c r="B26" s="377">
        <v>39034</v>
      </c>
      <c r="C26" s="376">
        <v>7.1</v>
      </c>
      <c r="D26" s="377">
        <v>37727</v>
      </c>
      <c r="E26" s="376">
        <v>6.9</v>
      </c>
      <c r="F26" s="379">
        <v>2731</v>
      </c>
      <c r="G26" s="374">
        <v>7.3</v>
      </c>
      <c r="H26" s="375">
        <v>2528</v>
      </c>
      <c r="I26" s="374">
        <v>6.8</v>
      </c>
    </row>
    <row r="27" spans="1:9">
      <c r="A27" s="373" t="s">
        <v>2161</v>
      </c>
      <c r="B27" s="381">
        <v>39274</v>
      </c>
      <c r="C27" s="397">
        <v>7.1886954770926002</v>
      </c>
      <c r="D27" s="381">
        <v>37939</v>
      </c>
      <c r="E27" s="397">
        <v>6.9443376713707829</v>
      </c>
      <c r="F27" s="382">
        <v>2971</v>
      </c>
      <c r="G27" s="397">
        <v>7.9534198902422704</v>
      </c>
      <c r="H27" s="381">
        <v>2740</v>
      </c>
      <c r="I27" s="397">
        <v>7.335028777941373</v>
      </c>
    </row>
    <row r="28" spans="1:9">
      <c r="A28" s="372" t="s">
        <v>2160</v>
      </c>
      <c r="B28" s="404" t="s">
        <v>2195</v>
      </c>
      <c r="C28" s="405" t="s">
        <v>2185</v>
      </c>
      <c r="D28" s="404" t="s">
        <v>2196</v>
      </c>
      <c r="E28" s="405" t="s">
        <v>2182</v>
      </c>
      <c r="F28" s="404" t="s">
        <v>2195</v>
      </c>
      <c r="G28" s="406" t="s">
        <v>2197</v>
      </c>
      <c r="H28" s="404" t="s">
        <v>2196</v>
      </c>
      <c r="I28" s="405" t="s">
        <v>2187</v>
      </c>
    </row>
    <row r="29" spans="1:9">
      <c r="A29" s="380" t="s">
        <v>2166</v>
      </c>
      <c r="B29" s="377"/>
      <c r="C29" s="376"/>
      <c r="D29" s="377"/>
      <c r="E29" s="376"/>
      <c r="F29" s="379"/>
      <c r="G29" s="374"/>
      <c r="H29" s="375"/>
      <c r="I29" s="374"/>
    </row>
    <row r="30" spans="1:9">
      <c r="A30" s="378" t="s">
        <v>2162</v>
      </c>
      <c r="B30" s="377">
        <v>21850</v>
      </c>
      <c r="C30" s="385">
        <v>4</v>
      </c>
      <c r="D30" s="377">
        <v>21082</v>
      </c>
      <c r="E30" s="385">
        <v>3.9</v>
      </c>
      <c r="F30" s="379">
        <v>658</v>
      </c>
      <c r="G30" s="383">
        <v>1.8</v>
      </c>
      <c r="H30" s="375">
        <v>577</v>
      </c>
      <c r="I30" s="374">
        <v>1.5</v>
      </c>
    </row>
    <row r="31" spans="1:9">
      <c r="A31" s="373" t="s">
        <v>2161</v>
      </c>
      <c r="B31" s="381">
        <v>21915</v>
      </c>
      <c r="C31" s="397">
        <v>4.0113118444895939</v>
      </c>
      <c r="D31" s="381">
        <v>21138</v>
      </c>
      <c r="E31" s="397">
        <v>3.8690901103728517</v>
      </c>
      <c r="F31" s="382">
        <v>723</v>
      </c>
      <c r="G31" s="397">
        <v>1.935483870967742</v>
      </c>
      <c r="H31" s="381">
        <v>633</v>
      </c>
      <c r="I31" s="397">
        <v>1.6945522687725874</v>
      </c>
    </row>
    <row r="32" spans="1:9">
      <c r="A32" s="372" t="s">
        <v>2160</v>
      </c>
      <c r="B32" s="404" t="s">
        <v>2198</v>
      </c>
      <c r="C32" s="405" t="s">
        <v>2182</v>
      </c>
      <c r="D32" s="404" t="s">
        <v>2199</v>
      </c>
      <c r="E32" s="405" t="s">
        <v>2182</v>
      </c>
      <c r="F32" s="409">
        <v>65</v>
      </c>
      <c r="G32" s="405" t="s">
        <v>2185</v>
      </c>
      <c r="H32" s="407">
        <v>56</v>
      </c>
      <c r="I32" s="405" t="s">
        <v>2200</v>
      </c>
    </row>
    <row r="33" spans="1:9">
      <c r="A33" s="384" t="s">
        <v>2165</v>
      </c>
      <c r="B33" s="377"/>
      <c r="C33" s="376"/>
      <c r="D33" s="377"/>
      <c r="E33" s="376"/>
      <c r="F33" s="379"/>
      <c r="G33" s="374"/>
      <c r="H33" s="375"/>
      <c r="I33" s="374"/>
    </row>
    <row r="34" spans="1:9">
      <c r="A34" s="378" t="s">
        <v>2162</v>
      </c>
      <c r="B34" s="377">
        <v>34210</v>
      </c>
      <c r="C34" s="376">
        <v>6.3</v>
      </c>
      <c r="D34" s="377">
        <v>33138</v>
      </c>
      <c r="E34" s="376">
        <v>6.1</v>
      </c>
      <c r="F34" s="379">
        <v>1903</v>
      </c>
      <c r="G34" s="383">
        <v>5.0999999999999996</v>
      </c>
      <c r="H34" s="375">
        <v>1741</v>
      </c>
      <c r="I34" s="374">
        <v>6.3</v>
      </c>
    </row>
    <row r="35" spans="1:9">
      <c r="A35" s="373" t="s">
        <v>2161</v>
      </c>
      <c r="B35" s="381">
        <v>34394</v>
      </c>
      <c r="C35" s="397">
        <v>6.2954624494353233</v>
      </c>
      <c r="D35" s="381">
        <v>33305</v>
      </c>
      <c r="E35" s="397">
        <v>6.096132374206066</v>
      </c>
      <c r="F35" s="382">
        <v>2087</v>
      </c>
      <c r="G35" s="397">
        <v>5.5869361531254187</v>
      </c>
      <c r="H35" s="381">
        <v>1908</v>
      </c>
      <c r="I35" s="397">
        <v>5.1077499665372779</v>
      </c>
    </row>
    <row r="36" spans="1:9">
      <c r="A36" s="372" t="s">
        <v>2160</v>
      </c>
      <c r="B36" s="404" t="s">
        <v>2201</v>
      </c>
      <c r="C36" s="405" t="s">
        <v>2182</v>
      </c>
      <c r="D36" s="404" t="s">
        <v>2202</v>
      </c>
      <c r="E36" s="405" t="s">
        <v>2182</v>
      </c>
      <c r="F36" s="404" t="s">
        <v>2201</v>
      </c>
      <c r="G36" s="406" t="s">
        <v>2187</v>
      </c>
      <c r="H36" s="404" t="s">
        <v>2202</v>
      </c>
      <c r="I36" s="408">
        <v>-1.192250033462722</v>
      </c>
    </row>
    <row r="37" spans="1:9">
      <c r="A37" s="380" t="s">
        <v>2164</v>
      </c>
      <c r="B37" s="377"/>
      <c r="C37" s="376"/>
      <c r="D37" s="377"/>
      <c r="E37" s="376"/>
      <c r="F37" s="379"/>
      <c r="G37" s="374"/>
      <c r="H37" s="375"/>
      <c r="I37" s="374"/>
    </row>
    <row r="38" spans="1:9">
      <c r="A38" s="378" t="s">
        <v>2162</v>
      </c>
      <c r="B38" s="377">
        <v>38603</v>
      </c>
      <c r="C38" s="376">
        <v>7.1</v>
      </c>
      <c r="D38" s="377">
        <v>37419</v>
      </c>
      <c r="E38" s="376">
        <v>6.8</v>
      </c>
      <c r="F38" s="379">
        <v>2352</v>
      </c>
      <c r="G38" s="374">
        <v>6.3</v>
      </c>
      <c r="H38" s="375">
        <v>2202</v>
      </c>
      <c r="I38" s="374">
        <v>5.9</v>
      </c>
    </row>
    <row r="39" spans="1:9">
      <c r="A39" s="373" t="s">
        <v>2161</v>
      </c>
      <c r="B39" s="381">
        <v>38873</v>
      </c>
      <c r="C39" s="397">
        <v>7.1152966155986306</v>
      </c>
      <c r="D39" s="381">
        <v>37672</v>
      </c>
      <c r="E39" s="397">
        <v>6.8954661102264199</v>
      </c>
      <c r="F39" s="382">
        <v>2622</v>
      </c>
      <c r="G39" s="397">
        <v>7.0191406772855043</v>
      </c>
      <c r="H39" s="381">
        <v>2455</v>
      </c>
      <c r="I39" s="397">
        <v>6.5720787043233839</v>
      </c>
    </row>
    <row r="40" spans="1:9">
      <c r="A40" s="372" t="s">
        <v>2160</v>
      </c>
      <c r="B40" s="404" t="s">
        <v>2203</v>
      </c>
      <c r="C40" s="405" t="s">
        <v>2182</v>
      </c>
      <c r="D40" s="404" t="s">
        <v>2204</v>
      </c>
      <c r="E40" s="405" t="s">
        <v>2185</v>
      </c>
      <c r="F40" s="404" t="s">
        <v>2203</v>
      </c>
      <c r="G40" s="406" t="s">
        <v>2197</v>
      </c>
      <c r="H40" s="404" t="s">
        <v>2204</v>
      </c>
      <c r="I40" s="406" t="s">
        <v>2197</v>
      </c>
    </row>
    <row r="41" spans="1:9">
      <c r="A41" s="380" t="s">
        <v>2163</v>
      </c>
      <c r="B41" s="377"/>
      <c r="C41" s="376"/>
      <c r="D41" s="377"/>
      <c r="E41" s="376"/>
      <c r="F41" s="379"/>
      <c r="G41" s="374"/>
      <c r="H41" s="375"/>
      <c r="I41" s="374"/>
    </row>
    <row r="42" spans="1:9">
      <c r="A42" s="378" t="s">
        <v>2162</v>
      </c>
      <c r="B42" s="377">
        <v>36956</v>
      </c>
      <c r="C42" s="376">
        <v>6.8</v>
      </c>
      <c r="D42" s="377">
        <v>36020</v>
      </c>
      <c r="E42" s="376">
        <v>6.6</v>
      </c>
      <c r="F42" s="379">
        <v>2204</v>
      </c>
      <c r="G42" s="374">
        <v>5.9</v>
      </c>
      <c r="H42" s="375">
        <v>2071</v>
      </c>
      <c r="I42" s="374">
        <v>5.5</v>
      </c>
    </row>
    <row r="43" spans="1:9" ht="14.25">
      <c r="A43" s="373" t="s">
        <v>2208</v>
      </c>
      <c r="B43" s="381">
        <v>37539</v>
      </c>
      <c r="C43" s="397">
        <v>6.8711218494316624</v>
      </c>
      <c r="D43" s="381">
        <v>36587</v>
      </c>
      <c r="E43" s="397">
        <v>6.6968681932165541</v>
      </c>
      <c r="F43" s="382">
        <v>2372</v>
      </c>
      <c r="G43" s="397">
        <v>6.3498862267434077</v>
      </c>
      <c r="H43" s="381">
        <v>2223</v>
      </c>
      <c r="I43" s="397">
        <v>5.9510105742203185</v>
      </c>
    </row>
    <row r="44" spans="1:9" ht="14.25">
      <c r="A44" s="372" t="s">
        <v>2209</v>
      </c>
      <c r="B44" s="404" t="s">
        <v>2205</v>
      </c>
      <c r="C44" s="405" t="s">
        <v>2185</v>
      </c>
      <c r="D44" s="404" t="s">
        <v>2206</v>
      </c>
      <c r="E44" s="405" t="s">
        <v>2185</v>
      </c>
      <c r="F44" s="409">
        <v>168</v>
      </c>
      <c r="G44" s="406" t="s">
        <v>2207</v>
      </c>
      <c r="H44" s="407">
        <v>152</v>
      </c>
      <c r="I44" s="405" t="s">
        <v>2187</v>
      </c>
    </row>
    <row r="45" spans="1:9" ht="7.5" customHeight="1"/>
    <row r="46" spans="1:9">
      <c r="A46" s="410" t="s">
        <v>2221</v>
      </c>
    </row>
    <row r="48" spans="1:9">
      <c r="A48" s="414"/>
    </row>
  </sheetData>
  <mergeCells count="6">
    <mergeCell ref="B2:E2"/>
    <mergeCell ref="F2:I2"/>
    <mergeCell ref="B3:C3"/>
    <mergeCell ref="D3:E3"/>
    <mergeCell ref="F3:G3"/>
    <mergeCell ref="H3:I3"/>
  </mergeCells>
  <conditionalFormatting sqref="O3">
    <cfRule type="expression" dxfId="1" priority="2" stopIfTrue="1">
      <formula>$A3="SCOTLAND"</formula>
    </cfRule>
  </conditionalFormatting>
  <conditionalFormatting sqref="O4">
    <cfRule type="expression" dxfId="0" priority="1" stopIfTrue="1">
      <formula>$A4="SCOTLAND"</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58"/>
  <sheetViews>
    <sheetView zoomScale="89" zoomScaleNormal="100" workbookViewId="0"/>
  </sheetViews>
  <sheetFormatPr defaultRowHeight="14.25"/>
  <cols>
    <col min="1" max="1" width="30.7109375" style="175" customWidth="1"/>
    <col min="2" max="16384" width="9.140625" style="175"/>
  </cols>
  <sheetData>
    <row r="2" spans="1:5" ht="15">
      <c r="A2" s="251"/>
    </row>
    <row r="3" spans="1:5" ht="18">
      <c r="A3" s="180" t="s">
        <v>411</v>
      </c>
    </row>
    <row r="4" spans="1:5">
      <c r="A4" s="175" t="s">
        <v>470</v>
      </c>
      <c r="B4" s="217" t="s">
        <v>390</v>
      </c>
      <c r="C4" s="217" t="s">
        <v>392</v>
      </c>
      <c r="D4" s="217" t="s">
        <v>394</v>
      </c>
      <c r="E4" s="217" t="s">
        <v>396</v>
      </c>
    </row>
    <row r="5" spans="1:5">
      <c r="A5" s="195" t="s">
        <v>414</v>
      </c>
    </row>
    <row r="6" spans="1:5">
      <c r="A6" s="175" t="s">
        <v>2136</v>
      </c>
    </row>
    <row r="7" spans="1:5">
      <c r="A7" s="174" t="s">
        <v>415</v>
      </c>
    </row>
    <row r="8" spans="1:5">
      <c r="A8" s="174" t="s">
        <v>1303</v>
      </c>
    </row>
    <row r="9" spans="1:5">
      <c r="A9" s="174" t="s">
        <v>416</v>
      </c>
    </row>
    <row r="10" spans="1:5">
      <c r="A10" s="174" t="s">
        <v>417</v>
      </c>
    </row>
    <row r="11" spans="1:5">
      <c r="A11" s="174" t="s">
        <v>418</v>
      </c>
    </row>
    <row r="12" spans="1:5">
      <c r="A12" s="173" t="s">
        <v>419</v>
      </c>
    </row>
    <row r="13" spans="1:5">
      <c r="A13" s="174" t="s">
        <v>420</v>
      </c>
    </row>
    <row r="14" spans="1:5">
      <c r="A14" s="174" t="s">
        <v>421</v>
      </c>
    </row>
    <row r="15" spans="1:5">
      <c r="A15" s="174" t="s">
        <v>437</v>
      </c>
    </row>
    <row r="16" spans="1:5">
      <c r="A16" s="174" t="s">
        <v>2210</v>
      </c>
    </row>
    <row r="17" spans="1:5">
      <c r="A17" s="174" t="s">
        <v>2211</v>
      </c>
    </row>
    <row r="18" spans="1:5">
      <c r="A18" s="177" t="s">
        <v>2126</v>
      </c>
    </row>
    <row r="19" spans="1:5">
      <c r="A19" s="174" t="s">
        <v>2137</v>
      </c>
    </row>
    <row r="20" spans="1:5">
      <c r="A20" s="179" t="s">
        <v>2138</v>
      </c>
    </row>
    <row r="21" spans="1:5">
      <c r="A21" s="179" t="s">
        <v>2139</v>
      </c>
    </row>
    <row r="22" spans="1:5">
      <c r="A22" s="177" t="s">
        <v>1300</v>
      </c>
    </row>
    <row r="23" spans="1:5">
      <c r="A23" s="174" t="s">
        <v>2137</v>
      </c>
    </row>
    <row r="24" spans="1:5">
      <c r="A24" s="179" t="s">
        <v>2127</v>
      </c>
    </row>
    <row r="25" spans="1:5">
      <c r="A25" s="181" t="s">
        <v>412</v>
      </c>
    </row>
    <row r="26" spans="1:5">
      <c r="A26" s="174" t="s">
        <v>2143</v>
      </c>
    </row>
    <row r="27" spans="1:5">
      <c r="A27" s="179" t="s">
        <v>2140</v>
      </c>
    </row>
    <row r="28" spans="1:5">
      <c r="A28" s="177" t="s">
        <v>413</v>
      </c>
    </row>
    <row r="29" spans="1:5">
      <c r="A29" s="174" t="s">
        <v>2144</v>
      </c>
    </row>
    <row r="31" spans="1:5" ht="18">
      <c r="A31" s="196" t="s">
        <v>438</v>
      </c>
      <c r="B31" s="218"/>
    </row>
    <row r="32" spans="1:5">
      <c r="A32" s="177" t="s">
        <v>470</v>
      </c>
      <c r="B32" s="217" t="s">
        <v>391</v>
      </c>
      <c r="C32" s="217" t="s">
        <v>393</v>
      </c>
      <c r="D32" s="217" t="s">
        <v>395</v>
      </c>
      <c r="E32" s="217" t="s">
        <v>397</v>
      </c>
    </row>
    <row r="33" spans="1:2">
      <c r="A33" s="174" t="s">
        <v>2141</v>
      </c>
      <c r="B33" s="218"/>
    </row>
    <row r="34" spans="1:2">
      <c r="A34" s="213" t="s">
        <v>2142</v>
      </c>
    </row>
    <row r="35" spans="1:2">
      <c r="A35" s="177" t="s">
        <v>2126</v>
      </c>
    </row>
    <row r="36" spans="1:2">
      <c r="A36" s="174" t="s">
        <v>2137</v>
      </c>
    </row>
    <row r="37" spans="1:2">
      <c r="A37" s="179" t="s">
        <v>2138</v>
      </c>
      <c r="B37" s="217"/>
    </row>
    <row r="38" spans="1:2">
      <c r="A38" s="177" t="s">
        <v>1300</v>
      </c>
    </row>
    <row r="39" spans="1:2">
      <c r="A39" s="174" t="s">
        <v>2137</v>
      </c>
    </row>
    <row r="40" spans="1:2">
      <c r="A40" s="179" t="s">
        <v>2127</v>
      </c>
    </row>
    <row r="41" spans="1:2">
      <c r="A41" s="181" t="s">
        <v>412</v>
      </c>
    </row>
    <row r="42" spans="1:2">
      <c r="A42" s="174" t="s">
        <v>2143</v>
      </c>
    </row>
    <row r="43" spans="1:2">
      <c r="A43" s="177" t="s">
        <v>413</v>
      </c>
    </row>
    <row r="44" spans="1:2">
      <c r="A44" s="174" t="s">
        <v>2144</v>
      </c>
    </row>
    <row r="45" spans="1:2">
      <c r="A45" s="214"/>
    </row>
    <row r="46" spans="1:2" ht="18">
      <c r="A46" s="197" t="s">
        <v>29</v>
      </c>
    </row>
    <row r="47" spans="1:2">
      <c r="A47" s="214" t="s">
        <v>2146</v>
      </c>
      <c r="B47" s="217" t="s">
        <v>402</v>
      </c>
    </row>
    <row r="48" spans="1:2">
      <c r="A48" s="175" t="s">
        <v>2136</v>
      </c>
    </row>
    <row r="49" spans="1:3">
      <c r="A49" s="174" t="s">
        <v>472</v>
      </c>
    </row>
    <row r="50" spans="1:3">
      <c r="A50" s="174" t="s">
        <v>477</v>
      </c>
    </row>
    <row r="51" spans="1:3">
      <c r="A51" s="174" t="s">
        <v>1304</v>
      </c>
    </row>
    <row r="52" spans="1:3">
      <c r="A52" s="174" t="s">
        <v>463</v>
      </c>
    </row>
    <row r="53" spans="1:3">
      <c r="A53" s="174" t="s">
        <v>473</v>
      </c>
    </row>
    <row r="54" spans="1:3">
      <c r="A54" s="174" t="s">
        <v>474</v>
      </c>
    </row>
    <row r="55" spans="1:3">
      <c r="A55" s="174" t="s">
        <v>475</v>
      </c>
    </row>
    <row r="56" spans="1:3">
      <c r="A56" s="174" t="s">
        <v>476</v>
      </c>
    </row>
    <row r="57" spans="1:3">
      <c r="A57" s="174" t="s">
        <v>2214</v>
      </c>
    </row>
    <row r="58" spans="1:3">
      <c r="A58" s="174" t="s">
        <v>2215</v>
      </c>
    </row>
    <row r="59" spans="1:3">
      <c r="A59" s="174" t="s">
        <v>2212</v>
      </c>
    </row>
    <row r="60" spans="1:3">
      <c r="A60" s="174" t="s">
        <v>2213</v>
      </c>
    </row>
    <row r="61" spans="1:3" ht="18" customHeight="1">
      <c r="A61" s="177" t="s">
        <v>2126</v>
      </c>
    </row>
    <row r="62" spans="1:3" ht="18" customHeight="1">
      <c r="A62" s="174" t="s">
        <v>2216</v>
      </c>
      <c r="B62" s="217"/>
      <c r="C62" s="217"/>
    </row>
    <row r="63" spans="1:3" ht="18" customHeight="1">
      <c r="A63" s="179" t="s">
        <v>2147</v>
      </c>
      <c r="B63" s="217"/>
      <c r="C63" s="217"/>
    </row>
    <row r="64" spans="1:3" ht="18" customHeight="1">
      <c r="A64" s="179" t="s">
        <v>2148</v>
      </c>
    </row>
    <row r="65" spans="1:3">
      <c r="A65" s="179" t="s">
        <v>2149</v>
      </c>
    </row>
    <row r="66" spans="1:3">
      <c r="A66" s="177" t="s">
        <v>1300</v>
      </c>
    </row>
    <row r="67" spans="1:3">
      <c r="A67" s="174" t="s">
        <v>2217</v>
      </c>
    </row>
    <row r="68" spans="1:3">
      <c r="A68" s="179" t="s">
        <v>2150</v>
      </c>
    </row>
    <row r="69" spans="1:3">
      <c r="A69" s="181" t="s">
        <v>412</v>
      </c>
    </row>
    <row r="70" spans="1:3">
      <c r="A70" s="174" t="s">
        <v>2218</v>
      </c>
    </row>
    <row r="71" spans="1:3">
      <c r="A71" s="179" t="s">
        <v>2151</v>
      </c>
    </row>
    <row r="72" spans="1:3">
      <c r="A72" s="177" t="s">
        <v>413</v>
      </c>
    </row>
    <row r="73" spans="1:3">
      <c r="A73" s="174" t="s">
        <v>2219</v>
      </c>
    </row>
    <row r="74" spans="1:3">
      <c r="A74" s="179" t="s">
        <v>2152</v>
      </c>
    </row>
    <row r="75" spans="1:3">
      <c r="A75" s="174"/>
    </row>
    <row r="76" spans="1:3" ht="18">
      <c r="A76" s="196" t="s">
        <v>439</v>
      </c>
    </row>
    <row r="77" spans="1:3">
      <c r="A77" s="177" t="s">
        <v>470</v>
      </c>
      <c r="B77" s="217" t="s">
        <v>398</v>
      </c>
      <c r="C77" s="217" t="s">
        <v>400</v>
      </c>
    </row>
    <row r="78" spans="1:3">
      <c r="A78" s="175" t="s">
        <v>2136</v>
      </c>
    </row>
    <row r="79" spans="1:3">
      <c r="A79" s="174" t="s">
        <v>440</v>
      </c>
    </row>
    <row r="80" spans="1:3">
      <c r="A80" s="173" t="s">
        <v>441</v>
      </c>
    </row>
    <row r="81" spans="1:3">
      <c r="A81" s="174" t="s">
        <v>442</v>
      </c>
    </row>
    <row r="82" spans="1:3">
      <c r="A82" s="173" t="s">
        <v>443</v>
      </c>
    </row>
    <row r="83" spans="1:3">
      <c r="A83" s="173" t="s">
        <v>444</v>
      </c>
    </row>
    <row r="84" spans="1:3">
      <c r="A84" s="173" t="s">
        <v>445</v>
      </c>
    </row>
    <row r="85" spans="1:3">
      <c r="A85" s="173" t="s">
        <v>446</v>
      </c>
    </row>
    <row r="86" spans="1:3">
      <c r="A86" s="173" t="s">
        <v>447</v>
      </c>
    </row>
    <row r="87" spans="1:3">
      <c r="A87" s="174" t="s">
        <v>448</v>
      </c>
    </row>
    <row r="88" spans="1:3">
      <c r="A88" s="174" t="s">
        <v>449</v>
      </c>
    </row>
    <row r="89" spans="1:3">
      <c r="A89" s="174" t="s">
        <v>2154</v>
      </c>
    </row>
    <row r="90" spans="1:3">
      <c r="A90" s="177" t="s">
        <v>2126</v>
      </c>
      <c r="B90" s="217" t="s">
        <v>399</v>
      </c>
      <c r="C90" s="217" t="s">
        <v>401</v>
      </c>
    </row>
    <row r="91" spans="1:3">
      <c r="A91" s="174" t="s">
        <v>2137</v>
      </c>
    </row>
    <row r="92" spans="1:3">
      <c r="A92" s="179" t="s">
        <v>2138</v>
      </c>
    </row>
    <row r="93" spans="1:3">
      <c r="A93" s="177" t="s">
        <v>1300</v>
      </c>
    </row>
    <row r="94" spans="1:3">
      <c r="A94" s="174" t="s">
        <v>2137</v>
      </c>
    </row>
    <row r="95" spans="1:3">
      <c r="A95" s="179" t="s">
        <v>2127</v>
      </c>
    </row>
    <row r="96" spans="1:3">
      <c r="A96" s="181" t="s">
        <v>412</v>
      </c>
      <c r="B96" s="217" t="s">
        <v>403</v>
      </c>
    </row>
    <row r="97" spans="1:1">
      <c r="A97" s="174" t="s">
        <v>2137</v>
      </c>
    </row>
    <row r="98" spans="1:1">
      <c r="A98" s="177" t="s">
        <v>413</v>
      </c>
    </row>
    <row r="99" spans="1:1">
      <c r="A99" s="174" t="s">
        <v>2137</v>
      </c>
    </row>
    <row r="100" spans="1:1">
      <c r="A100" s="176"/>
    </row>
    <row r="101" spans="1:1">
      <c r="A101" s="174"/>
    </row>
    <row r="102" spans="1:1" ht="18">
      <c r="A102" s="196" t="s">
        <v>450</v>
      </c>
    </row>
    <row r="103" spans="1:1">
      <c r="A103" s="177" t="s">
        <v>470</v>
      </c>
    </row>
    <row r="104" spans="1:1">
      <c r="A104" s="174" t="s">
        <v>480</v>
      </c>
    </row>
    <row r="105" spans="1:1">
      <c r="A105" s="213" t="s">
        <v>2155</v>
      </c>
    </row>
    <row r="106" spans="1:1">
      <c r="A106" s="174"/>
    </row>
    <row r="107" spans="1:1" ht="18">
      <c r="A107" s="198" t="s">
        <v>451</v>
      </c>
    </row>
    <row r="108" spans="1:1">
      <c r="A108" s="175" t="s">
        <v>470</v>
      </c>
    </row>
    <row r="109" spans="1:1">
      <c r="A109" s="212" t="s">
        <v>460</v>
      </c>
    </row>
    <row r="110" spans="1:1">
      <c r="A110" s="212" t="s">
        <v>461</v>
      </c>
    </row>
    <row r="111" spans="1:1">
      <c r="A111" s="212" t="s">
        <v>462</v>
      </c>
    </row>
    <row r="112" spans="1:1">
      <c r="A112" s="212" t="s">
        <v>463</v>
      </c>
    </row>
    <row r="113" spans="1:1">
      <c r="A113" s="212" t="s">
        <v>464</v>
      </c>
    </row>
    <row r="114" spans="1:1">
      <c r="A114" s="212" t="s">
        <v>465</v>
      </c>
    </row>
    <row r="115" spans="1:1">
      <c r="A115" s="212" t="s">
        <v>466</v>
      </c>
    </row>
    <row r="116" spans="1:1">
      <c r="A116" s="212" t="s">
        <v>467</v>
      </c>
    </row>
    <row r="117" spans="1:1">
      <c r="A117" s="212" t="s">
        <v>468</v>
      </c>
    </row>
    <row r="118" spans="1:1">
      <c r="A118" s="212" t="s">
        <v>469</v>
      </c>
    </row>
    <row r="119" spans="1:1">
      <c r="A119" s="174" t="s">
        <v>2145</v>
      </c>
    </row>
    <row r="120" spans="1:1">
      <c r="A120" s="177" t="s">
        <v>2126</v>
      </c>
    </row>
    <row r="121" spans="1:1">
      <c r="A121" s="174" t="s">
        <v>2153</v>
      </c>
    </row>
    <row r="122" spans="1:1">
      <c r="A122" s="179" t="s">
        <v>2158</v>
      </c>
    </row>
    <row r="123" spans="1:1">
      <c r="A123" s="179" t="s">
        <v>2148</v>
      </c>
    </row>
    <row r="124" spans="1:1">
      <c r="A124" s="177" t="s">
        <v>1300</v>
      </c>
    </row>
    <row r="125" spans="1:1">
      <c r="A125" s="174" t="s">
        <v>2156</v>
      </c>
    </row>
    <row r="126" spans="1:1">
      <c r="A126" s="179" t="s">
        <v>2127</v>
      </c>
    </row>
    <row r="127" spans="1:1">
      <c r="A127" s="179" t="s">
        <v>2159</v>
      </c>
    </row>
    <row r="128" spans="1:1">
      <c r="A128" s="181" t="s">
        <v>412</v>
      </c>
    </row>
    <row r="129" spans="1:1">
      <c r="A129" s="174" t="s">
        <v>2157</v>
      </c>
    </row>
    <row r="130" spans="1:1">
      <c r="A130" s="179" t="s">
        <v>2151</v>
      </c>
    </row>
    <row r="131" spans="1:1">
      <c r="A131" s="177" t="s">
        <v>413</v>
      </c>
    </row>
    <row r="132" spans="1:1">
      <c r="A132" s="174" t="s">
        <v>2157</v>
      </c>
    </row>
    <row r="133" spans="1:1">
      <c r="A133" s="179" t="s">
        <v>2152</v>
      </c>
    </row>
    <row r="138" spans="1:1">
      <c r="A138" s="177"/>
    </row>
    <row r="139" spans="1:1">
      <c r="A139" s="174"/>
    </row>
    <row r="140" spans="1:1">
      <c r="A140" s="179"/>
    </row>
    <row r="146" spans="1:1">
      <c r="A146" s="177"/>
    </row>
    <row r="147" spans="1:1">
      <c r="A147" s="174"/>
    </row>
    <row r="148" spans="1:1">
      <c r="A148" s="178"/>
    </row>
    <row r="149" spans="1:1">
      <c r="A149" s="179"/>
    </row>
    <row r="150" spans="1:1">
      <c r="A150" s="176"/>
    </row>
    <row r="151" spans="1:1">
      <c r="A151" s="177"/>
    </row>
    <row r="152" spans="1:1">
      <c r="A152" s="174"/>
    </row>
    <row r="153" spans="1:1">
      <c r="A153" s="181"/>
    </row>
    <row r="154" spans="1:1">
      <c r="A154" s="174"/>
    </row>
    <row r="155" spans="1:1">
      <c r="A155" s="174"/>
    </row>
    <row r="156" spans="1:1">
      <c r="A156" s="177"/>
    </row>
    <row r="157" spans="1:1">
      <c r="A157" s="174"/>
    </row>
    <row r="158" spans="1:1">
      <c r="A158" s="176"/>
    </row>
  </sheetData>
  <hyperlinks>
    <hyperlink ref="B4" location="'1a'!A1" display="1a"/>
    <hyperlink ref="C4" location="'1c'!A1" display="1c"/>
    <hyperlink ref="D4" location="'2a'!A1" display="2a"/>
    <hyperlink ref="E4" location="'2c'!A1" display="2c"/>
    <hyperlink ref="B32" location="'1b'!A1" display="1b"/>
    <hyperlink ref="C32" location="'1d'!A1" display="1d"/>
    <hyperlink ref="D32" location="'2b'!A1" display="2b"/>
    <hyperlink ref="E32" location="'2d'!A1" display="2d"/>
    <hyperlink ref="B90" location="'3b'!A1" display="3b"/>
    <hyperlink ref="C90" location="'3d'!A1" display="3d"/>
    <hyperlink ref="B96" location="'4b'!A1" display="4b"/>
    <hyperlink ref="B47" location="'4a'!A1" display="4a"/>
    <hyperlink ref="B77" location="'3a'!A1" display="3a"/>
    <hyperlink ref="C77" location="'3c'!A1" display="3c"/>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R817"/>
  <sheetViews>
    <sheetView workbookViewId="0">
      <pane xSplit="3" ySplit="1" topLeftCell="M41" activePane="bottomRight" state="frozen"/>
      <selection pane="topRight" activeCell="D1" sqref="D1"/>
      <selection pane="bottomLeft" activeCell="A2" sqref="A2"/>
      <selection pane="bottomRight" sqref="A1:XFD1048576"/>
    </sheetView>
  </sheetViews>
  <sheetFormatPr defaultRowHeight="15"/>
  <cols>
    <col min="1" max="1" width="54.28515625" customWidth="1"/>
    <col min="2" max="2" width="23" customWidth="1"/>
    <col min="3" max="3" width="13.5703125" customWidth="1"/>
    <col min="4" max="4" width="11.28515625" customWidth="1"/>
    <col min="5" max="18" width="10.7109375" bestFit="1" customWidth="1"/>
    <col min="257" max="257" width="54.28515625" customWidth="1"/>
    <col min="258" max="258" width="23" customWidth="1"/>
    <col min="259" max="259" width="13.5703125" customWidth="1"/>
    <col min="260" max="260" width="11.28515625" customWidth="1"/>
    <col min="261" max="274" width="10.7109375" bestFit="1" customWidth="1"/>
    <col min="513" max="513" width="54.28515625" customWidth="1"/>
    <col min="514" max="514" width="23" customWidth="1"/>
    <col min="515" max="515" width="13.5703125" customWidth="1"/>
    <col min="516" max="516" width="11.28515625" customWidth="1"/>
    <col min="517" max="530" width="10.7109375" bestFit="1" customWidth="1"/>
    <col min="769" max="769" width="54.28515625" customWidth="1"/>
    <col min="770" max="770" width="23" customWidth="1"/>
    <col min="771" max="771" width="13.5703125" customWidth="1"/>
    <col min="772" max="772" width="11.28515625" customWidth="1"/>
    <col min="773" max="786" width="10.7109375" bestFit="1" customWidth="1"/>
    <col min="1025" max="1025" width="54.28515625" customWidth="1"/>
    <col min="1026" max="1026" width="23" customWidth="1"/>
    <col min="1027" max="1027" width="13.5703125" customWidth="1"/>
    <col min="1028" max="1028" width="11.28515625" customWidth="1"/>
    <col min="1029" max="1042" width="10.7109375" bestFit="1" customWidth="1"/>
    <col min="1281" max="1281" width="54.28515625" customWidth="1"/>
    <col min="1282" max="1282" width="23" customWidth="1"/>
    <col min="1283" max="1283" width="13.5703125" customWidth="1"/>
    <col min="1284" max="1284" width="11.28515625" customWidth="1"/>
    <col min="1285" max="1298" width="10.7109375" bestFit="1" customWidth="1"/>
    <col min="1537" max="1537" width="54.28515625" customWidth="1"/>
    <col min="1538" max="1538" width="23" customWidth="1"/>
    <col min="1539" max="1539" width="13.5703125" customWidth="1"/>
    <col min="1540" max="1540" width="11.28515625" customWidth="1"/>
    <col min="1541" max="1554" width="10.7109375" bestFit="1" customWidth="1"/>
    <col min="1793" max="1793" width="54.28515625" customWidth="1"/>
    <col min="1794" max="1794" width="23" customWidth="1"/>
    <col min="1795" max="1795" width="13.5703125" customWidth="1"/>
    <col min="1796" max="1796" width="11.28515625" customWidth="1"/>
    <col min="1797" max="1810" width="10.7109375" bestFit="1" customWidth="1"/>
    <col min="2049" max="2049" width="54.28515625" customWidth="1"/>
    <col min="2050" max="2050" width="23" customWidth="1"/>
    <col min="2051" max="2051" width="13.5703125" customWidth="1"/>
    <col min="2052" max="2052" width="11.28515625" customWidth="1"/>
    <col min="2053" max="2066" width="10.7109375" bestFit="1" customWidth="1"/>
    <col min="2305" max="2305" width="54.28515625" customWidth="1"/>
    <col min="2306" max="2306" width="23" customWidth="1"/>
    <col min="2307" max="2307" width="13.5703125" customWidth="1"/>
    <col min="2308" max="2308" width="11.28515625" customWidth="1"/>
    <col min="2309" max="2322" width="10.7109375" bestFit="1" customWidth="1"/>
    <col min="2561" max="2561" width="54.28515625" customWidth="1"/>
    <col min="2562" max="2562" width="23" customWidth="1"/>
    <col min="2563" max="2563" width="13.5703125" customWidth="1"/>
    <col min="2564" max="2564" width="11.28515625" customWidth="1"/>
    <col min="2565" max="2578" width="10.7109375" bestFit="1" customWidth="1"/>
    <col min="2817" max="2817" width="54.28515625" customWidth="1"/>
    <col min="2818" max="2818" width="23" customWidth="1"/>
    <col min="2819" max="2819" width="13.5703125" customWidth="1"/>
    <col min="2820" max="2820" width="11.28515625" customWidth="1"/>
    <col min="2821" max="2834" width="10.7109375" bestFit="1" customWidth="1"/>
    <col min="3073" max="3073" width="54.28515625" customWidth="1"/>
    <col min="3074" max="3074" width="23" customWidth="1"/>
    <col min="3075" max="3075" width="13.5703125" customWidth="1"/>
    <col min="3076" max="3076" width="11.28515625" customWidth="1"/>
    <col min="3077" max="3090" width="10.7109375" bestFit="1" customWidth="1"/>
    <col min="3329" max="3329" width="54.28515625" customWidth="1"/>
    <col min="3330" max="3330" width="23" customWidth="1"/>
    <col min="3331" max="3331" width="13.5703125" customWidth="1"/>
    <col min="3332" max="3332" width="11.28515625" customWidth="1"/>
    <col min="3333" max="3346" width="10.7109375" bestFit="1" customWidth="1"/>
    <col min="3585" max="3585" width="54.28515625" customWidth="1"/>
    <col min="3586" max="3586" width="23" customWidth="1"/>
    <col min="3587" max="3587" width="13.5703125" customWidth="1"/>
    <col min="3588" max="3588" width="11.28515625" customWidth="1"/>
    <col min="3589" max="3602" width="10.7109375" bestFit="1" customWidth="1"/>
    <col min="3841" max="3841" width="54.28515625" customWidth="1"/>
    <col min="3842" max="3842" width="23" customWidth="1"/>
    <col min="3843" max="3843" width="13.5703125" customWidth="1"/>
    <col min="3844" max="3844" width="11.28515625" customWidth="1"/>
    <col min="3845" max="3858" width="10.7109375" bestFit="1" customWidth="1"/>
    <col min="4097" max="4097" width="54.28515625" customWidth="1"/>
    <col min="4098" max="4098" width="23" customWidth="1"/>
    <col min="4099" max="4099" width="13.5703125" customWidth="1"/>
    <col min="4100" max="4100" width="11.28515625" customWidth="1"/>
    <col min="4101" max="4114" width="10.7109375" bestFit="1" customWidth="1"/>
    <col min="4353" max="4353" width="54.28515625" customWidth="1"/>
    <col min="4354" max="4354" width="23" customWidth="1"/>
    <col min="4355" max="4355" width="13.5703125" customWidth="1"/>
    <col min="4356" max="4356" width="11.28515625" customWidth="1"/>
    <col min="4357" max="4370" width="10.7109375" bestFit="1" customWidth="1"/>
    <col min="4609" max="4609" width="54.28515625" customWidth="1"/>
    <col min="4610" max="4610" width="23" customWidth="1"/>
    <col min="4611" max="4611" width="13.5703125" customWidth="1"/>
    <col min="4612" max="4612" width="11.28515625" customWidth="1"/>
    <col min="4613" max="4626" width="10.7109375" bestFit="1" customWidth="1"/>
    <col min="4865" max="4865" width="54.28515625" customWidth="1"/>
    <col min="4866" max="4866" width="23" customWidth="1"/>
    <col min="4867" max="4867" width="13.5703125" customWidth="1"/>
    <col min="4868" max="4868" width="11.28515625" customWidth="1"/>
    <col min="4869" max="4882" width="10.7109375" bestFit="1" customWidth="1"/>
    <col min="5121" max="5121" width="54.28515625" customWidth="1"/>
    <col min="5122" max="5122" width="23" customWidth="1"/>
    <col min="5123" max="5123" width="13.5703125" customWidth="1"/>
    <col min="5124" max="5124" width="11.28515625" customWidth="1"/>
    <col min="5125" max="5138" width="10.7109375" bestFit="1" customWidth="1"/>
    <col min="5377" max="5377" width="54.28515625" customWidth="1"/>
    <col min="5378" max="5378" width="23" customWidth="1"/>
    <col min="5379" max="5379" width="13.5703125" customWidth="1"/>
    <col min="5380" max="5380" width="11.28515625" customWidth="1"/>
    <col min="5381" max="5394" width="10.7109375" bestFit="1" customWidth="1"/>
    <col min="5633" max="5633" width="54.28515625" customWidth="1"/>
    <col min="5634" max="5634" width="23" customWidth="1"/>
    <col min="5635" max="5635" width="13.5703125" customWidth="1"/>
    <col min="5636" max="5636" width="11.28515625" customWidth="1"/>
    <col min="5637" max="5650" width="10.7109375" bestFit="1" customWidth="1"/>
    <col min="5889" max="5889" width="54.28515625" customWidth="1"/>
    <col min="5890" max="5890" width="23" customWidth="1"/>
    <col min="5891" max="5891" width="13.5703125" customWidth="1"/>
    <col min="5892" max="5892" width="11.28515625" customWidth="1"/>
    <col min="5893" max="5906" width="10.7109375" bestFit="1" customWidth="1"/>
    <col min="6145" max="6145" width="54.28515625" customWidth="1"/>
    <col min="6146" max="6146" width="23" customWidth="1"/>
    <col min="6147" max="6147" width="13.5703125" customWidth="1"/>
    <col min="6148" max="6148" width="11.28515625" customWidth="1"/>
    <col min="6149" max="6162" width="10.7109375" bestFit="1" customWidth="1"/>
    <col min="6401" max="6401" width="54.28515625" customWidth="1"/>
    <col min="6402" max="6402" width="23" customWidth="1"/>
    <col min="6403" max="6403" width="13.5703125" customWidth="1"/>
    <col min="6404" max="6404" width="11.28515625" customWidth="1"/>
    <col min="6405" max="6418" width="10.7109375" bestFit="1" customWidth="1"/>
    <col min="6657" max="6657" width="54.28515625" customWidth="1"/>
    <col min="6658" max="6658" width="23" customWidth="1"/>
    <col min="6659" max="6659" width="13.5703125" customWidth="1"/>
    <col min="6660" max="6660" width="11.28515625" customWidth="1"/>
    <col min="6661" max="6674" width="10.7109375" bestFit="1" customWidth="1"/>
    <col min="6913" max="6913" width="54.28515625" customWidth="1"/>
    <col min="6914" max="6914" width="23" customWidth="1"/>
    <col min="6915" max="6915" width="13.5703125" customWidth="1"/>
    <col min="6916" max="6916" width="11.28515625" customWidth="1"/>
    <col min="6917" max="6930" width="10.7109375" bestFit="1" customWidth="1"/>
    <col min="7169" max="7169" width="54.28515625" customWidth="1"/>
    <col min="7170" max="7170" width="23" customWidth="1"/>
    <col min="7171" max="7171" width="13.5703125" customWidth="1"/>
    <col min="7172" max="7172" width="11.28515625" customWidth="1"/>
    <col min="7173" max="7186" width="10.7109375" bestFit="1" customWidth="1"/>
    <col min="7425" max="7425" width="54.28515625" customWidth="1"/>
    <col min="7426" max="7426" width="23" customWidth="1"/>
    <col min="7427" max="7427" width="13.5703125" customWidth="1"/>
    <col min="7428" max="7428" width="11.28515625" customWidth="1"/>
    <col min="7429" max="7442" width="10.7109375" bestFit="1" customWidth="1"/>
    <col min="7681" max="7681" width="54.28515625" customWidth="1"/>
    <col min="7682" max="7682" width="23" customWidth="1"/>
    <col min="7683" max="7683" width="13.5703125" customWidth="1"/>
    <col min="7684" max="7684" width="11.28515625" customWidth="1"/>
    <col min="7685" max="7698" width="10.7109375" bestFit="1" customWidth="1"/>
    <col min="7937" max="7937" width="54.28515625" customWidth="1"/>
    <col min="7938" max="7938" width="23" customWidth="1"/>
    <col min="7939" max="7939" width="13.5703125" customWidth="1"/>
    <col min="7940" max="7940" width="11.28515625" customWidth="1"/>
    <col min="7941" max="7954" width="10.7109375" bestFit="1" customWidth="1"/>
    <col min="8193" max="8193" width="54.28515625" customWidth="1"/>
    <col min="8194" max="8194" width="23" customWidth="1"/>
    <col min="8195" max="8195" width="13.5703125" customWidth="1"/>
    <col min="8196" max="8196" width="11.28515625" customWidth="1"/>
    <col min="8197" max="8210" width="10.7109375" bestFit="1" customWidth="1"/>
    <col min="8449" max="8449" width="54.28515625" customWidth="1"/>
    <col min="8450" max="8450" width="23" customWidth="1"/>
    <col min="8451" max="8451" width="13.5703125" customWidth="1"/>
    <col min="8452" max="8452" width="11.28515625" customWidth="1"/>
    <col min="8453" max="8466" width="10.7109375" bestFit="1" customWidth="1"/>
    <col min="8705" max="8705" width="54.28515625" customWidth="1"/>
    <col min="8706" max="8706" width="23" customWidth="1"/>
    <col min="8707" max="8707" width="13.5703125" customWidth="1"/>
    <col min="8708" max="8708" width="11.28515625" customWidth="1"/>
    <col min="8709" max="8722" width="10.7109375" bestFit="1" customWidth="1"/>
    <col min="8961" max="8961" width="54.28515625" customWidth="1"/>
    <col min="8962" max="8962" width="23" customWidth="1"/>
    <col min="8963" max="8963" width="13.5703125" customWidth="1"/>
    <col min="8964" max="8964" width="11.28515625" customWidth="1"/>
    <col min="8965" max="8978" width="10.7109375" bestFit="1" customWidth="1"/>
    <col min="9217" max="9217" width="54.28515625" customWidth="1"/>
    <col min="9218" max="9218" width="23" customWidth="1"/>
    <col min="9219" max="9219" width="13.5703125" customWidth="1"/>
    <col min="9220" max="9220" width="11.28515625" customWidth="1"/>
    <col min="9221" max="9234" width="10.7109375" bestFit="1" customWidth="1"/>
    <col min="9473" max="9473" width="54.28515625" customWidth="1"/>
    <col min="9474" max="9474" width="23" customWidth="1"/>
    <col min="9475" max="9475" width="13.5703125" customWidth="1"/>
    <col min="9476" max="9476" width="11.28515625" customWidth="1"/>
    <col min="9477" max="9490" width="10.7109375" bestFit="1" customWidth="1"/>
    <col min="9729" max="9729" width="54.28515625" customWidth="1"/>
    <col min="9730" max="9730" width="23" customWidth="1"/>
    <col min="9731" max="9731" width="13.5703125" customWidth="1"/>
    <col min="9732" max="9732" width="11.28515625" customWidth="1"/>
    <col min="9733" max="9746" width="10.7109375" bestFit="1" customWidth="1"/>
    <col min="9985" max="9985" width="54.28515625" customWidth="1"/>
    <col min="9986" max="9986" width="23" customWidth="1"/>
    <col min="9987" max="9987" width="13.5703125" customWidth="1"/>
    <col min="9988" max="9988" width="11.28515625" customWidth="1"/>
    <col min="9989" max="10002" width="10.7109375" bestFit="1" customWidth="1"/>
    <col min="10241" max="10241" width="54.28515625" customWidth="1"/>
    <col min="10242" max="10242" width="23" customWidth="1"/>
    <col min="10243" max="10243" width="13.5703125" customWidth="1"/>
    <col min="10244" max="10244" width="11.28515625" customWidth="1"/>
    <col min="10245" max="10258" width="10.7109375" bestFit="1" customWidth="1"/>
    <col min="10497" max="10497" width="54.28515625" customWidth="1"/>
    <col min="10498" max="10498" width="23" customWidth="1"/>
    <col min="10499" max="10499" width="13.5703125" customWidth="1"/>
    <col min="10500" max="10500" width="11.28515625" customWidth="1"/>
    <col min="10501" max="10514" width="10.7109375" bestFit="1" customWidth="1"/>
    <col min="10753" max="10753" width="54.28515625" customWidth="1"/>
    <col min="10754" max="10754" width="23" customWidth="1"/>
    <col min="10755" max="10755" width="13.5703125" customWidth="1"/>
    <col min="10756" max="10756" width="11.28515625" customWidth="1"/>
    <col min="10757" max="10770" width="10.7109375" bestFit="1" customWidth="1"/>
    <col min="11009" max="11009" width="54.28515625" customWidth="1"/>
    <col min="11010" max="11010" width="23" customWidth="1"/>
    <col min="11011" max="11011" width="13.5703125" customWidth="1"/>
    <col min="11012" max="11012" width="11.28515625" customWidth="1"/>
    <col min="11013" max="11026" width="10.7109375" bestFit="1" customWidth="1"/>
    <col min="11265" max="11265" width="54.28515625" customWidth="1"/>
    <col min="11266" max="11266" width="23" customWidth="1"/>
    <col min="11267" max="11267" width="13.5703125" customWidth="1"/>
    <col min="11268" max="11268" width="11.28515625" customWidth="1"/>
    <col min="11269" max="11282" width="10.7109375" bestFit="1" customWidth="1"/>
    <col min="11521" max="11521" width="54.28515625" customWidth="1"/>
    <col min="11522" max="11522" width="23" customWidth="1"/>
    <col min="11523" max="11523" width="13.5703125" customWidth="1"/>
    <col min="11524" max="11524" width="11.28515625" customWidth="1"/>
    <col min="11525" max="11538" width="10.7109375" bestFit="1" customWidth="1"/>
    <col min="11777" max="11777" width="54.28515625" customWidth="1"/>
    <col min="11778" max="11778" width="23" customWidth="1"/>
    <col min="11779" max="11779" width="13.5703125" customWidth="1"/>
    <col min="11780" max="11780" width="11.28515625" customWidth="1"/>
    <col min="11781" max="11794" width="10.7109375" bestFit="1" customWidth="1"/>
    <col min="12033" max="12033" width="54.28515625" customWidth="1"/>
    <col min="12034" max="12034" width="23" customWidth="1"/>
    <col min="12035" max="12035" width="13.5703125" customWidth="1"/>
    <col min="12036" max="12036" width="11.28515625" customWidth="1"/>
    <col min="12037" max="12050" width="10.7109375" bestFit="1" customWidth="1"/>
    <col min="12289" max="12289" width="54.28515625" customWidth="1"/>
    <col min="12290" max="12290" width="23" customWidth="1"/>
    <col min="12291" max="12291" width="13.5703125" customWidth="1"/>
    <col min="12292" max="12292" width="11.28515625" customWidth="1"/>
    <col min="12293" max="12306" width="10.7109375" bestFit="1" customWidth="1"/>
    <col min="12545" max="12545" width="54.28515625" customWidth="1"/>
    <col min="12546" max="12546" width="23" customWidth="1"/>
    <col min="12547" max="12547" width="13.5703125" customWidth="1"/>
    <col min="12548" max="12548" width="11.28515625" customWidth="1"/>
    <col min="12549" max="12562" width="10.7109375" bestFit="1" customWidth="1"/>
    <col min="12801" max="12801" width="54.28515625" customWidth="1"/>
    <col min="12802" max="12802" width="23" customWidth="1"/>
    <col min="12803" max="12803" width="13.5703125" customWidth="1"/>
    <col min="12804" max="12804" width="11.28515625" customWidth="1"/>
    <col min="12805" max="12818" width="10.7109375" bestFit="1" customWidth="1"/>
    <col min="13057" max="13057" width="54.28515625" customWidth="1"/>
    <col min="13058" max="13058" width="23" customWidth="1"/>
    <col min="13059" max="13059" width="13.5703125" customWidth="1"/>
    <col min="13060" max="13060" width="11.28515625" customWidth="1"/>
    <col min="13061" max="13074" width="10.7109375" bestFit="1" customWidth="1"/>
    <col min="13313" max="13313" width="54.28515625" customWidth="1"/>
    <col min="13314" max="13314" width="23" customWidth="1"/>
    <col min="13315" max="13315" width="13.5703125" customWidth="1"/>
    <col min="13316" max="13316" width="11.28515625" customWidth="1"/>
    <col min="13317" max="13330" width="10.7109375" bestFit="1" customWidth="1"/>
    <col min="13569" max="13569" width="54.28515625" customWidth="1"/>
    <col min="13570" max="13570" width="23" customWidth="1"/>
    <col min="13571" max="13571" width="13.5703125" customWidth="1"/>
    <col min="13572" max="13572" width="11.28515625" customWidth="1"/>
    <col min="13573" max="13586" width="10.7109375" bestFit="1" customWidth="1"/>
    <col min="13825" max="13825" width="54.28515625" customWidth="1"/>
    <col min="13826" max="13826" width="23" customWidth="1"/>
    <col min="13827" max="13827" width="13.5703125" customWidth="1"/>
    <col min="13828" max="13828" width="11.28515625" customWidth="1"/>
    <col min="13829" max="13842" width="10.7109375" bestFit="1" customWidth="1"/>
    <col min="14081" max="14081" width="54.28515625" customWidth="1"/>
    <col min="14082" max="14082" width="23" customWidth="1"/>
    <col min="14083" max="14083" width="13.5703125" customWidth="1"/>
    <col min="14084" max="14084" width="11.28515625" customWidth="1"/>
    <col min="14085" max="14098" width="10.7109375" bestFit="1" customWidth="1"/>
    <col min="14337" max="14337" width="54.28515625" customWidth="1"/>
    <col min="14338" max="14338" width="23" customWidth="1"/>
    <col min="14339" max="14339" width="13.5703125" customWidth="1"/>
    <col min="14340" max="14340" width="11.28515625" customWidth="1"/>
    <col min="14341" max="14354" width="10.7109375" bestFit="1" customWidth="1"/>
    <col min="14593" max="14593" width="54.28515625" customWidth="1"/>
    <col min="14594" max="14594" width="23" customWidth="1"/>
    <col min="14595" max="14595" width="13.5703125" customWidth="1"/>
    <col min="14596" max="14596" width="11.28515625" customWidth="1"/>
    <col min="14597" max="14610" width="10.7109375" bestFit="1" customWidth="1"/>
    <col min="14849" max="14849" width="54.28515625" customWidth="1"/>
    <col min="14850" max="14850" width="23" customWidth="1"/>
    <col min="14851" max="14851" width="13.5703125" customWidth="1"/>
    <col min="14852" max="14852" width="11.28515625" customWidth="1"/>
    <col min="14853" max="14866" width="10.7109375" bestFit="1" customWidth="1"/>
    <col min="15105" max="15105" width="54.28515625" customWidth="1"/>
    <col min="15106" max="15106" width="23" customWidth="1"/>
    <col min="15107" max="15107" width="13.5703125" customWidth="1"/>
    <col min="15108" max="15108" width="11.28515625" customWidth="1"/>
    <col min="15109" max="15122" width="10.7109375" bestFit="1" customWidth="1"/>
    <col min="15361" max="15361" width="54.28515625" customWidth="1"/>
    <col min="15362" max="15362" width="23" customWidth="1"/>
    <col min="15363" max="15363" width="13.5703125" customWidth="1"/>
    <col min="15364" max="15364" width="11.28515625" customWidth="1"/>
    <col min="15365" max="15378" width="10.7109375" bestFit="1" customWidth="1"/>
    <col min="15617" max="15617" width="54.28515625" customWidth="1"/>
    <col min="15618" max="15618" width="23" customWidth="1"/>
    <col min="15619" max="15619" width="13.5703125" customWidth="1"/>
    <col min="15620" max="15620" width="11.28515625" customWidth="1"/>
    <col min="15621" max="15634" width="10.7109375" bestFit="1" customWidth="1"/>
    <col min="15873" max="15873" width="54.28515625" customWidth="1"/>
    <col min="15874" max="15874" width="23" customWidth="1"/>
    <col min="15875" max="15875" width="13.5703125" customWidth="1"/>
    <col min="15876" max="15876" width="11.28515625" customWidth="1"/>
    <col min="15877" max="15890" width="10.7109375" bestFit="1" customWidth="1"/>
    <col min="16129" max="16129" width="54.28515625" customWidth="1"/>
    <col min="16130" max="16130" width="23" customWidth="1"/>
    <col min="16131" max="16131" width="13.5703125" customWidth="1"/>
    <col min="16132" max="16132" width="11.28515625" customWidth="1"/>
    <col min="16133" max="16146" width="10.7109375" bestFit="1" customWidth="1"/>
  </cols>
  <sheetData>
    <row r="1" spans="1:18">
      <c r="D1" s="3">
        <f t="shared" ref="D1:P1" si="0">DATE(YEAR(E1),MONTH(E1)-1,DAY(E1))</f>
        <v>43922</v>
      </c>
      <c r="E1" s="3">
        <f t="shared" si="0"/>
        <v>43952</v>
      </c>
      <c r="F1" s="3">
        <f t="shared" si="0"/>
        <v>43983</v>
      </c>
      <c r="G1" s="3">
        <f t="shared" si="0"/>
        <v>44013</v>
      </c>
      <c r="H1" s="3">
        <f t="shared" si="0"/>
        <v>44044</v>
      </c>
      <c r="I1" s="3">
        <f t="shared" si="0"/>
        <v>44075</v>
      </c>
      <c r="J1" s="3">
        <f t="shared" si="0"/>
        <v>44105</v>
      </c>
      <c r="K1" s="3">
        <f t="shared" si="0"/>
        <v>44136</v>
      </c>
      <c r="L1" s="3">
        <f t="shared" si="0"/>
        <v>44166</v>
      </c>
      <c r="M1" s="3">
        <f t="shared" si="0"/>
        <v>44197</v>
      </c>
      <c r="N1" s="3">
        <f t="shared" si="0"/>
        <v>44228</v>
      </c>
      <c r="O1" s="3">
        <f t="shared" si="0"/>
        <v>44256</v>
      </c>
      <c r="P1" s="3">
        <f t="shared" si="0"/>
        <v>44287</v>
      </c>
      <c r="Q1" s="3">
        <f>DATE(YEAR(R1),MONTH(R1)-1,DAY(R1))</f>
        <v>44317</v>
      </c>
      <c r="R1" s="3">
        <v>44348</v>
      </c>
    </row>
    <row r="2" spans="1:18">
      <c r="A2" t="s">
        <v>482</v>
      </c>
      <c r="B2" t="s">
        <v>173</v>
      </c>
      <c r="C2" t="s">
        <v>32</v>
      </c>
      <c r="D2">
        <v>193</v>
      </c>
      <c r="E2">
        <v>202</v>
      </c>
      <c r="F2">
        <v>242</v>
      </c>
      <c r="G2">
        <v>294</v>
      </c>
      <c r="H2">
        <v>286</v>
      </c>
      <c r="I2">
        <v>274</v>
      </c>
      <c r="J2">
        <v>291</v>
      </c>
      <c r="K2">
        <v>332</v>
      </c>
      <c r="L2">
        <v>259</v>
      </c>
      <c r="M2">
        <v>263</v>
      </c>
      <c r="N2">
        <v>291</v>
      </c>
      <c r="O2">
        <v>278</v>
      </c>
      <c r="P2">
        <v>245</v>
      </c>
      <c r="Q2">
        <v>270</v>
      </c>
      <c r="R2">
        <v>301</v>
      </c>
    </row>
    <row r="3" spans="1:18">
      <c r="A3" t="s">
        <v>483</v>
      </c>
      <c r="B3" t="s">
        <v>173</v>
      </c>
      <c r="C3" s="4" t="s">
        <v>34</v>
      </c>
      <c r="D3">
        <v>122</v>
      </c>
      <c r="E3">
        <v>156</v>
      </c>
      <c r="F3">
        <v>184</v>
      </c>
      <c r="G3">
        <v>232</v>
      </c>
      <c r="H3">
        <v>221</v>
      </c>
      <c r="I3">
        <v>226</v>
      </c>
      <c r="J3">
        <v>253</v>
      </c>
      <c r="K3">
        <v>282</v>
      </c>
      <c r="L3">
        <v>227</v>
      </c>
      <c r="M3">
        <v>219</v>
      </c>
      <c r="N3">
        <v>263</v>
      </c>
      <c r="O3">
        <v>254</v>
      </c>
      <c r="P3">
        <v>216</v>
      </c>
      <c r="Q3">
        <v>236</v>
      </c>
      <c r="R3">
        <v>270</v>
      </c>
    </row>
    <row r="4" spans="1:18">
      <c r="A4" t="s">
        <v>484</v>
      </c>
      <c r="B4" t="s">
        <v>173</v>
      </c>
      <c r="C4" t="s">
        <v>169</v>
      </c>
      <c r="D4">
        <v>71</v>
      </c>
      <c r="E4">
        <v>46</v>
      </c>
      <c r="F4">
        <v>58</v>
      </c>
      <c r="G4">
        <v>62</v>
      </c>
      <c r="H4">
        <v>65</v>
      </c>
      <c r="I4">
        <v>48</v>
      </c>
      <c r="J4">
        <v>38</v>
      </c>
      <c r="K4">
        <v>50</v>
      </c>
      <c r="L4">
        <v>32</v>
      </c>
      <c r="M4">
        <v>44</v>
      </c>
      <c r="N4">
        <v>28</v>
      </c>
      <c r="O4">
        <v>24</v>
      </c>
      <c r="P4">
        <v>29</v>
      </c>
      <c r="Q4">
        <v>34</v>
      </c>
      <c r="R4">
        <v>31</v>
      </c>
    </row>
    <row r="5" spans="1:18">
      <c r="A5" t="s">
        <v>485</v>
      </c>
      <c r="B5" t="s">
        <v>173</v>
      </c>
      <c r="C5" t="s">
        <v>486</v>
      </c>
      <c r="D5">
        <v>6</v>
      </c>
      <c r="E5">
        <v>3</v>
      </c>
      <c r="F5">
        <v>3</v>
      </c>
      <c r="G5">
        <v>2</v>
      </c>
      <c r="H5">
        <v>2</v>
      </c>
      <c r="I5">
        <v>2</v>
      </c>
      <c r="J5">
        <v>2</v>
      </c>
      <c r="K5">
        <v>2</v>
      </c>
      <c r="L5">
        <v>2</v>
      </c>
      <c r="M5">
        <v>2</v>
      </c>
      <c r="N5">
        <v>2</v>
      </c>
      <c r="O5">
        <v>2</v>
      </c>
      <c r="P5">
        <v>2</v>
      </c>
      <c r="Q5">
        <v>2</v>
      </c>
      <c r="R5">
        <v>2</v>
      </c>
    </row>
    <row r="6" spans="1:18">
      <c r="A6" t="s">
        <v>487</v>
      </c>
      <c r="B6" t="s">
        <v>173</v>
      </c>
      <c r="C6" t="s">
        <v>488</v>
      </c>
      <c r="D6">
        <v>37</v>
      </c>
      <c r="E6">
        <v>38</v>
      </c>
      <c r="F6">
        <v>36</v>
      </c>
      <c r="G6">
        <v>36</v>
      </c>
      <c r="H6">
        <v>31</v>
      </c>
      <c r="I6">
        <v>32</v>
      </c>
      <c r="J6">
        <v>27</v>
      </c>
      <c r="K6">
        <v>30</v>
      </c>
      <c r="L6">
        <v>25</v>
      </c>
      <c r="M6">
        <v>22</v>
      </c>
      <c r="N6">
        <v>18</v>
      </c>
      <c r="O6">
        <v>19</v>
      </c>
      <c r="P6">
        <v>20</v>
      </c>
      <c r="Q6">
        <v>21</v>
      </c>
      <c r="R6">
        <v>19</v>
      </c>
    </row>
    <row r="7" spans="1:18">
      <c r="A7" t="s">
        <v>489</v>
      </c>
      <c r="B7" t="s">
        <v>173</v>
      </c>
      <c r="C7" t="s">
        <v>148</v>
      </c>
      <c r="D7">
        <v>10</v>
      </c>
      <c r="E7">
        <v>3</v>
      </c>
      <c r="F7">
        <v>4</v>
      </c>
      <c r="G7">
        <v>2</v>
      </c>
      <c r="H7">
        <v>3</v>
      </c>
      <c r="I7">
        <v>2</v>
      </c>
      <c r="J7">
        <v>2</v>
      </c>
      <c r="K7">
        <v>2</v>
      </c>
      <c r="L7">
        <v>2</v>
      </c>
      <c r="M7">
        <v>3</v>
      </c>
      <c r="N7">
        <v>2</v>
      </c>
      <c r="O7">
        <v>2</v>
      </c>
      <c r="P7">
        <v>3</v>
      </c>
      <c r="Q7">
        <v>2</v>
      </c>
      <c r="R7">
        <v>2</v>
      </c>
    </row>
    <row r="8" spans="1:18">
      <c r="A8" t="s">
        <v>490</v>
      </c>
      <c r="B8" t="s">
        <v>173</v>
      </c>
      <c r="C8" t="s">
        <v>184</v>
      </c>
      <c r="D8">
        <v>34</v>
      </c>
      <c r="E8">
        <v>42</v>
      </c>
      <c r="F8">
        <v>37</v>
      </c>
      <c r="G8">
        <v>39</v>
      </c>
      <c r="H8">
        <v>32</v>
      </c>
      <c r="I8">
        <v>36</v>
      </c>
      <c r="J8">
        <v>22</v>
      </c>
      <c r="K8">
        <v>37</v>
      </c>
      <c r="L8">
        <v>26</v>
      </c>
      <c r="M8">
        <v>30</v>
      </c>
      <c r="N8">
        <v>18</v>
      </c>
      <c r="O8">
        <v>17</v>
      </c>
      <c r="P8">
        <v>20</v>
      </c>
      <c r="Q8">
        <v>23</v>
      </c>
      <c r="R8">
        <v>19</v>
      </c>
    </row>
    <row r="9" spans="1:18">
      <c r="A9" t="s">
        <v>491</v>
      </c>
      <c r="B9" t="s">
        <v>173</v>
      </c>
      <c r="C9" s="4" t="s">
        <v>188</v>
      </c>
      <c r="D9">
        <v>52</v>
      </c>
      <c r="E9">
        <v>23</v>
      </c>
      <c r="F9">
        <v>31</v>
      </c>
      <c r="G9">
        <v>28</v>
      </c>
      <c r="H9">
        <v>41</v>
      </c>
      <c r="I9">
        <v>19</v>
      </c>
      <c r="J9">
        <v>20</v>
      </c>
      <c r="K9">
        <v>14</v>
      </c>
      <c r="L9">
        <v>13</v>
      </c>
      <c r="M9">
        <v>23</v>
      </c>
      <c r="N9">
        <v>18</v>
      </c>
      <c r="O9">
        <v>12</v>
      </c>
      <c r="P9">
        <v>21</v>
      </c>
      <c r="Q9">
        <v>20</v>
      </c>
      <c r="R9">
        <v>18</v>
      </c>
    </row>
    <row r="10" spans="1:18">
      <c r="A10" t="s">
        <v>492</v>
      </c>
      <c r="B10" t="s">
        <v>173</v>
      </c>
      <c r="C10" s="35" t="s">
        <v>189</v>
      </c>
      <c r="D10">
        <v>19</v>
      </c>
      <c r="E10">
        <v>23</v>
      </c>
      <c r="F10">
        <v>27</v>
      </c>
      <c r="G10">
        <v>34</v>
      </c>
      <c r="H10">
        <v>24</v>
      </c>
      <c r="I10">
        <v>29</v>
      </c>
      <c r="J10">
        <v>18</v>
      </c>
      <c r="K10">
        <v>36</v>
      </c>
      <c r="L10">
        <v>19</v>
      </c>
      <c r="M10">
        <v>21</v>
      </c>
      <c r="N10">
        <v>10</v>
      </c>
      <c r="O10">
        <v>12</v>
      </c>
      <c r="P10">
        <v>8</v>
      </c>
      <c r="Q10">
        <v>14</v>
      </c>
      <c r="R10">
        <v>13</v>
      </c>
    </row>
    <row r="11" spans="1:18">
      <c r="A11" t="s">
        <v>493</v>
      </c>
      <c r="B11" t="s">
        <v>173</v>
      </c>
      <c r="C11" t="s">
        <v>172</v>
      </c>
      <c r="D11">
        <v>10</v>
      </c>
      <c r="E11">
        <v>16</v>
      </c>
      <c r="F11">
        <v>20</v>
      </c>
      <c r="G11">
        <v>19</v>
      </c>
      <c r="H11">
        <v>18</v>
      </c>
      <c r="I11">
        <v>15</v>
      </c>
      <c r="J11">
        <v>7</v>
      </c>
      <c r="K11">
        <v>11</v>
      </c>
      <c r="L11">
        <v>9</v>
      </c>
      <c r="M11">
        <v>8</v>
      </c>
      <c r="N11">
        <v>5</v>
      </c>
      <c r="O11">
        <v>6</v>
      </c>
      <c r="P11">
        <v>3</v>
      </c>
      <c r="Q11">
        <v>6</v>
      </c>
      <c r="R11">
        <v>4</v>
      </c>
    </row>
    <row r="12" spans="1:18">
      <c r="A12" t="s">
        <v>494</v>
      </c>
      <c r="B12" t="s">
        <v>173</v>
      </c>
      <c r="C12" t="s">
        <v>30</v>
      </c>
      <c r="D12">
        <v>9</v>
      </c>
      <c r="E12">
        <v>7</v>
      </c>
      <c r="F12">
        <v>7</v>
      </c>
      <c r="G12">
        <v>15</v>
      </c>
      <c r="H12">
        <v>6</v>
      </c>
      <c r="I12">
        <v>14</v>
      </c>
      <c r="J12">
        <v>11</v>
      </c>
      <c r="K12">
        <v>25</v>
      </c>
      <c r="L12">
        <v>10</v>
      </c>
      <c r="M12">
        <v>13</v>
      </c>
      <c r="N12">
        <v>5</v>
      </c>
      <c r="O12">
        <v>6</v>
      </c>
      <c r="P12">
        <v>5</v>
      </c>
      <c r="Q12">
        <v>8</v>
      </c>
      <c r="R12">
        <v>9</v>
      </c>
    </row>
    <row r="13" spans="1:18">
      <c r="A13" t="s">
        <v>495</v>
      </c>
      <c r="B13" t="s">
        <v>174</v>
      </c>
      <c r="C13" t="s">
        <v>32</v>
      </c>
      <c r="D13">
        <v>13</v>
      </c>
      <c r="E13">
        <v>13</v>
      </c>
      <c r="F13">
        <v>17</v>
      </c>
      <c r="G13">
        <v>19</v>
      </c>
      <c r="H13">
        <v>8</v>
      </c>
      <c r="I13">
        <v>15</v>
      </c>
      <c r="J13">
        <v>18</v>
      </c>
      <c r="K13">
        <v>26</v>
      </c>
      <c r="L13">
        <v>10</v>
      </c>
      <c r="M13">
        <v>7</v>
      </c>
      <c r="N13">
        <v>9</v>
      </c>
      <c r="O13">
        <v>8</v>
      </c>
      <c r="P13">
        <v>25</v>
      </c>
      <c r="Q13">
        <v>15</v>
      </c>
      <c r="R13">
        <v>32</v>
      </c>
    </row>
    <row r="14" spans="1:18">
      <c r="A14" t="s">
        <v>496</v>
      </c>
      <c r="B14" t="s">
        <v>174</v>
      </c>
      <c r="C14" s="4" t="s">
        <v>34</v>
      </c>
      <c r="D14">
        <v>9</v>
      </c>
      <c r="E14">
        <v>10</v>
      </c>
      <c r="F14">
        <v>16</v>
      </c>
      <c r="G14">
        <v>18</v>
      </c>
      <c r="H14">
        <v>6</v>
      </c>
      <c r="I14">
        <v>13</v>
      </c>
      <c r="J14">
        <v>18</v>
      </c>
      <c r="K14">
        <v>26</v>
      </c>
      <c r="L14">
        <v>10</v>
      </c>
      <c r="M14">
        <v>7</v>
      </c>
      <c r="N14">
        <v>9</v>
      </c>
      <c r="O14">
        <v>8</v>
      </c>
      <c r="P14">
        <v>25</v>
      </c>
      <c r="Q14">
        <v>15</v>
      </c>
      <c r="R14">
        <v>32</v>
      </c>
    </row>
    <row r="15" spans="1:18">
      <c r="A15" t="s">
        <v>497</v>
      </c>
      <c r="B15" t="s">
        <v>174</v>
      </c>
      <c r="C15" t="s">
        <v>169</v>
      </c>
      <c r="D15">
        <v>4</v>
      </c>
      <c r="E15">
        <v>3</v>
      </c>
      <c r="F15">
        <v>1</v>
      </c>
      <c r="G15">
        <v>1</v>
      </c>
      <c r="H15">
        <v>2</v>
      </c>
      <c r="I15">
        <v>2</v>
      </c>
      <c r="J15">
        <v>0</v>
      </c>
      <c r="K15">
        <v>0</v>
      </c>
      <c r="L15">
        <v>0</v>
      </c>
      <c r="M15">
        <v>0</v>
      </c>
      <c r="N15">
        <v>0</v>
      </c>
      <c r="O15">
        <v>0</v>
      </c>
      <c r="P15">
        <v>0</v>
      </c>
      <c r="Q15">
        <v>0</v>
      </c>
      <c r="R15">
        <v>0</v>
      </c>
    </row>
    <row r="16" spans="1:18">
      <c r="A16" t="s">
        <v>498</v>
      </c>
      <c r="B16" t="s">
        <v>174</v>
      </c>
      <c r="C16" t="s">
        <v>486</v>
      </c>
      <c r="D16">
        <v>7</v>
      </c>
      <c r="E16">
        <v>5</v>
      </c>
      <c r="F16">
        <v>3</v>
      </c>
      <c r="G16">
        <v>3</v>
      </c>
      <c r="H16">
        <v>5</v>
      </c>
      <c r="I16">
        <v>6</v>
      </c>
      <c r="J16">
        <v>7</v>
      </c>
      <c r="K16">
        <v>7</v>
      </c>
      <c r="L16">
        <v>6</v>
      </c>
      <c r="M16">
        <v>6</v>
      </c>
      <c r="N16">
        <v>7</v>
      </c>
      <c r="O16">
        <v>6</v>
      </c>
      <c r="P16">
        <v>5</v>
      </c>
      <c r="Q16">
        <v>5</v>
      </c>
      <c r="R16">
        <v>5</v>
      </c>
    </row>
    <row r="17" spans="1:18">
      <c r="A17" t="s">
        <v>499</v>
      </c>
      <c r="B17" t="s">
        <v>174</v>
      </c>
      <c r="C17" t="s">
        <v>488</v>
      </c>
      <c r="D17">
        <v>25</v>
      </c>
      <c r="E17">
        <v>19</v>
      </c>
      <c r="F17">
        <v>17</v>
      </c>
      <c r="G17">
        <v>20</v>
      </c>
      <c r="H17">
        <v>15</v>
      </c>
      <c r="I17">
        <v>11</v>
      </c>
      <c r="J17">
        <v>11</v>
      </c>
      <c r="K17">
        <v>10</v>
      </c>
      <c r="L17">
        <v>11</v>
      </c>
      <c r="M17">
        <v>11</v>
      </c>
      <c r="N17">
        <v>12</v>
      </c>
      <c r="O17">
        <v>12</v>
      </c>
      <c r="P17">
        <v>12</v>
      </c>
      <c r="Q17">
        <v>12</v>
      </c>
      <c r="R17">
        <v>12</v>
      </c>
    </row>
    <row r="18" spans="1:18">
      <c r="A18" t="s">
        <v>500</v>
      </c>
      <c r="B18" t="s">
        <v>174</v>
      </c>
      <c r="C18" t="s">
        <v>148</v>
      </c>
      <c r="D18">
        <v>6</v>
      </c>
      <c r="E18">
        <v>11</v>
      </c>
      <c r="F18">
        <v>7</v>
      </c>
      <c r="G18">
        <v>3</v>
      </c>
      <c r="H18">
        <v>2</v>
      </c>
      <c r="I18">
        <v>4</v>
      </c>
      <c r="J18">
        <v>6</v>
      </c>
      <c r="K18">
        <v>7</v>
      </c>
      <c r="L18">
        <v>4</v>
      </c>
      <c r="M18">
        <v>6</v>
      </c>
      <c r="N18">
        <v>8</v>
      </c>
      <c r="O18">
        <v>6</v>
      </c>
      <c r="P18">
        <v>7</v>
      </c>
      <c r="Q18">
        <v>4</v>
      </c>
      <c r="R18">
        <v>5</v>
      </c>
    </row>
    <row r="19" spans="1:18">
      <c r="A19" t="s">
        <v>501</v>
      </c>
      <c r="B19" t="s">
        <v>174</v>
      </c>
      <c r="C19" t="s">
        <v>184</v>
      </c>
      <c r="D19">
        <v>25</v>
      </c>
      <c r="E19">
        <v>50</v>
      </c>
      <c r="F19">
        <v>17</v>
      </c>
      <c r="G19">
        <v>16</v>
      </c>
      <c r="H19">
        <v>39</v>
      </c>
      <c r="I19">
        <v>25</v>
      </c>
      <c r="J19">
        <v>11</v>
      </c>
      <c r="K19">
        <v>10</v>
      </c>
      <c r="L19">
        <v>11</v>
      </c>
      <c r="M19">
        <v>11</v>
      </c>
      <c r="N19">
        <v>16</v>
      </c>
      <c r="O19">
        <v>17</v>
      </c>
      <c r="P19">
        <v>12</v>
      </c>
      <c r="Q19">
        <v>11</v>
      </c>
      <c r="R19">
        <v>12</v>
      </c>
    </row>
    <row r="20" spans="1:18">
      <c r="A20" t="s">
        <v>502</v>
      </c>
      <c r="B20" t="s">
        <v>174</v>
      </c>
      <c r="C20" s="4" t="s">
        <v>188</v>
      </c>
      <c r="D20">
        <v>4</v>
      </c>
      <c r="E20">
        <v>1</v>
      </c>
      <c r="F20">
        <v>1</v>
      </c>
      <c r="G20">
        <v>1</v>
      </c>
      <c r="H20">
        <v>1</v>
      </c>
      <c r="I20">
        <v>2</v>
      </c>
      <c r="J20">
        <v>0</v>
      </c>
      <c r="K20">
        <v>0</v>
      </c>
      <c r="L20">
        <v>0</v>
      </c>
      <c r="M20">
        <v>0</v>
      </c>
      <c r="N20">
        <v>0</v>
      </c>
      <c r="O20">
        <v>0</v>
      </c>
      <c r="P20">
        <v>0</v>
      </c>
      <c r="Q20">
        <v>0</v>
      </c>
      <c r="R20">
        <v>0</v>
      </c>
    </row>
    <row r="21" spans="1:18">
      <c r="A21" t="s">
        <v>503</v>
      </c>
      <c r="B21" t="s">
        <v>174</v>
      </c>
      <c r="C21" s="35" t="s">
        <v>189</v>
      </c>
      <c r="D21">
        <v>0</v>
      </c>
      <c r="E21">
        <v>2</v>
      </c>
      <c r="F21">
        <v>0</v>
      </c>
      <c r="G21">
        <v>0</v>
      </c>
      <c r="H21">
        <v>1</v>
      </c>
      <c r="I21">
        <v>0</v>
      </c>
      <c r="J21">
        <v>0</v>
      </c>
      <c r="K21">
        <v>0</v>
      </c>
      <c r="L21">
        <v>0</v>
      </c>
      <c r="M21">
        <v>0</v>
      </c>
      <c r="N21">
        <v>0</v>
      </c>
      <c r="O21">
        <v>0</v>
      </c>
      <c r="P21">
        <v>0</v>
      </c>
      <c r="Q21">
        <v>0</v>
      </c>
      <c r="R21">
        <v>0</v>
      </c>
    </row>
    <row r="22" spans="1:18">
      <c r="A22" t="s">
        <v>504</v>
      </c>
      <c r="B22" t="s">
        <v>174</v>
      </c>
      <c r="C22" t="s">
        <v>172</v>
      </c>
      <c r="D22">
        <v>0</v>
      </c>
      <c r="E22">
        <v>1</v>
      </c>
      <c r="F22">
        <v>0</v>
      </c>
      <c r="G22">
        <v>0</v>
      </c>
      <c r="H22">
        <v>1</v>
      </c>
      <c r="I22">
        <v>0</v>
      </c>
      <c r="J22">
        <v>0</v>
      </c>
      <c r="K22">
        <v>0</v>
      </c>
      <c r="L22">
        <v>0</v>
      </c>
      <c r="M22">
        <v>0</v>
      </c>
      <c r="N22">
        <v>0</v>
      </c>
      <c r="O22">
        <v>0</v>
      </c>
      <c r="P22">
        <v>0</v>
      </c>
      <c r="Q22">
        <v>0</v>
      </c>
      <c r="R22">
        <v>0</v>
      </c>
    </row>
    <row r="23" spans="1:18">
      <c r="A23" t="s">
        <v>505</v>
      </c>
      <c r="B23" t="s">
        <v>174</v>
      </c>
      <c r="C23" t="s">
        <v>30</v>
      </c>
      <c r="D23">
        <v>0</v>
      </c>
      <c r="E23">
        <v>1</v>
      </c>
      <c r="F23">
        <v>0</v>
      </c>
      <c r="G23">
        <v>0</v>
      </c>
      <c r="H23">
        <v>0</v>
      </c>
      <c r="I23">
        <v>0</v>
      </c>
      <c r="J23">
        <v>0</v>
      </c>
      <c r="K23">
        <v>0</v>
      </c>
      <c r="L23">
        <v>0</v>
      </c>
      <c r="M23">
        <v>0</v>
      </c>
      <c r="N23">
        <v>0</v>
      </c>
      <c r="O23">
        <v>0</v>
      </c>
      <c r="P23">
        <v>0</v>
      </c>
      <c r="Q23">
        <v>0</v>
      </c>
      <c r="R23">
        <v>0</v>
      </c>
    </row>
    <row r="24" spans="1:18">
      <c r="A24" t="s">
        <v>506</v>
      </c>
      <c r="B24" t="s">
        <v>175</v>
      </c>
      <c r="C24" t="s">
        <v>32</v>
      </c>
      <c r="D24">
        <v>193</v>
      </c>
      <c r="E24">
        <v>202</v>
      </c>
      <c r="F24">
        <v>242</v>
      </c>
      <c r="G24">
        <v>294</v>
      </c>
      <c r="H24">
        <v>286</v>
      </c>
      <c r="I24">
        <v>274</v>
      </c>
      <c r="J24">
        <v>291</v>
      </c>
      <c r="K24">
        <v>332</v>
      </c>
      <c r="L24">
        <v>259</v>
      </c>
      <c r="M24">
        <v>263</v>
      </c>
      <c r="N24">
        <v>291</v>
      </c>
      <c r="O24">
        <v>278</v>
      </c>
      <c r="P24">
        <v>245</v>
      </c>
      <c r="Q24">
        <v>270</v>
      </c>
      <c r="R24">
        <v>301</v>
      </c>
    </row>
    <row r="25" spans="1:18">
      <c r="A25" t="s">
        <v>507</v>
      </c>
      <c r="B25" t="s">
        <v>175</v>
      </c>
      <c r="C25" s="4" t="s">
        <v>34</v>
      </c>
      <c r="D25">
        <v>117</v>
      </c>
      <c r="E25">
        <v>151</v>
      </c>
      <c r="F25">
        <v>172</v>
      </c>
      <c r="G25">
        <v>224</v>
      </c>
      <c r="H25">
        <v>215</v>
      </c>
      <c r="I25">
        <v>218</v>
      </c>
      <c r="J25">
        <v>248</v>
      </c>
      <c r="K25">
        <v>279</v>
      </c>
      <c r="L25">
        <v>223</v>
      </c>
      <c r="M25">
        <v>216</v>
      </c>
      <c r="N25">
        <v>261</v>
      </c>
      <c r="O25">
        <v>251</v>
      </c>
      <c r="P25">
        <v>212</v>
      </c>
      <c r="Q25">
        <v>231</v>
      </c>
      <c r="R25">
        <v>267</v>
      </c>
    </row>
    <row r="26" spans="1:18">
      <c r="A26" t="s">
        <v>508</v>
      </c>
      <c r="B26" t="s">
        <v>175</v>
      </c>
      <c r="C26" t="s">
        <v>169</v>
      </c>
      <c r="D26">
        <v>76</v>
      </c>
      <c r="E26">
        <v>51</v>
      </c>
      <c r="F26">
        <v>70</v>
      </c>
      <c r="G26">
        <v>70</v>
      </c>
      <c r="H26">
        <v>71</v>
      </c>
      <c r="I26">
        <v>56</v>
      </c>
      <c r="J26">
        <v>43</v>
      </c>
      <c r="K26">
        <v>53</v>
      </c>
      <c r="L26">
        <v>36</v>
      </c>
      <c r="M26">
        <v>47</v>
      </c>
      <c r="N26">
        <v>30</v>
      </c>
      <c r="O26">
        <v>27</v>
      </c>
      <c r="P26">
        <v>33</v>
      </c>
      <c r="Q26">
        <v>39</v>
      </c>
      <c r="R26">
        <v>34</v>
      </c>
    </row>
    <row r="27" spans="1:18">
      <c r="A27" t="s">
        <v>509</v>
      </c>
      <c r="B27" t="s">
        <v>175</v>
      </c>
      <c r="C27" t="s">
        <v>486</v>
      </c>
      <c r="D27">
        <v>9</v>
      </c>
      <c r="E27">
        <v>4</v>
      </c>
      <c r="F27">
        <v>3</v>
      </c>
      <c r="G27">
        <v>2</v>
      </c>
      <c r="H27">
        <v>2</v>
      </c>
      <c r="I27">
        <v>2</v>
      </c>
      <c r="J27">
        <v>2</v>
      </c>
      <c r="K27">
        <v>2</v>
      </c>
      <c r="L27">
        <v>2</v>
      </c>
      <c r="M27">
        <v>2</v>
      </c>
      <c r="N27">
        <v>2</v>
      </c>
      <c r="O27">
        <v>2</v>
      </c>
      <c r="P27">
        <v>3</v>
      </c>
      <c r="Q27">
        <v>2</v>
      </c>
      <c r="R27">
        <v>2</v>
      </c>
    </row>
    <row r="28" spans="1:18">
      <c r="A28" t="s">
        <v>510</v>
      </c>
      <c r="B28" t="s">
        <v>175</v>
      </c>
      <c r="C28" t="s">
        <v>488</v>
      </c>
      <c r="D28">
        <v>40</v>
      </c>
      <c r="E28">
        <v>41</v>
      </c>
      <c r="F28">
        <v>40</v>
      </c>
      <c r="G28">
        <v>40</v>
      </c>
      <c r="H28">
        <v>36</v>
      </c>
      <c r="I28">
        <v>38</v>
      </c>
      <c r="J28">
        <v>34</v>
      </c>
      <c r="K28">
        <v>36</v>
      </c>
      <c r="L28">
        <v>26</v>
      </c>
      <c r="M28">
        <v>23</v>
      </c>
      <c r="N28">
        <v>20</v>
      </c>
      <c r="O28">
        <v>22</v>
      </c>
      <c r="P28">
        <v>23</v>
      </c>
      <c r="Q28">
        <v>23</v>
      </c>
      <c r="R28">
        <v>20</v>
      </c>
    </row>
    <row r="29" spans="1:18">
      <c r="A29" t="s">
        <v>511</v>
      </c>
      <c r="B29" t="s">
        <v>175</v>
      </c>
      <c r="C29" t="s">
        <v>148</v>
      </c>
      <c r="D29">
        <v>13</v>
      </c>
      <c r="E29">
        <v>6</v>
      </c>
      <c r="F29">
        <v>7</v>
      </c>
      <c r="G29">
        <v>2</v>
      </c>
      <c r="H29">
        <v>3</v>
      </c>
      <c r="I29">
        <v>2</v>
      </c>
      <c r="J29">
        <v>2</v>
      </c>
      <c r="K29">
        <v>2</v>
      </c>
      <c r="L29">
        <v>2</v>
      </c>
      <c r="M29">
        <v>3</v>
      </c>
      <c r="N29">
        <v>2</v>
      </c>
      <c r="O29">
        <v>2</v>
      </c>
      <c r="P29">
        <v>4</v>
      </c>
      <c r="Q29">
        <v>2</v>
      </c>
      <c r="R29">
        <v>2</v>
      </c>
    </row>
    <row r="30" spans="1:18">
      <c r="A30" t="s">
        <v>512</v>
      </c>
      <c r="B30" t="s">
        <v>175</v>
      </c>
      <c r="C30" t="s">
        <v>184</v>
      </c>
      <c r="D30">
        <v>36</v>
      </c>
      <c r="E30">
        <v>42</v>
      </c>
      <c r="F30">
        <v>40</v>
      </c>
      <c r="G30">
        <v>43</v>
      </c>
      <c r="H30">
        <v>38</v>
      </c>
      <c r="I30">
        <v>40</v>
      </c>
      <c r="J30">
        <v>30</v>
      </c>
      <c r="K30">
        <v>41</v>
      </c>
      <c r="L30">
        <v>27</v>
      </c>
      <c r="M30">
        <v>33</v>
      </c>
      <c r="N30">
        <v>19</v>
      </c>
      <c r="O30">
        <v>18</v>
      </c>
      <c r="P30">
        <v>21</v>
      </c>
      <c r="Q30">
        <v>24</v>
      </c>
      <c r="R30">
        <v>20</v>
      </c>
    </row>
    <row r="31" spans="1:18">
      <c r="A31" t="s">
        <v>513</v>
      </c>
      <c r="B31" t="s">
        <v>175</v>
      </c>
      <c r="C31" s="4" t="s">
        <v>188</v>
      </c>
      <c r="D31">
        <v>55</v>
      </c>
      <c r="E31">
        <v>26</v>
      </c>
      <c r="F31">
        <v>35</v>
      </c>
      <c r="G31">
        <v>27</v>
      </c>
      <c r="H31">
        <v>40</v>
      </c>
      <c r="I31">
        <v>23</v>
      </c>
      <c r="J31">
        <v>20</v>
      </c>
      <c r="K31">
        <v>12</v>
      </c>
      <c r="L31">
        <v>13</v>
      </c>
      <c r="M31">
        <v>23</v>
      </c>
      <c r="N31">
        <v>19</v>
      </c>
      <c r="O31">
        <v>12</v>
      </c>
      <c r="P31">
        <v>22</v>
      </c>
      <c r="Q31">
        <v>25</v>
      </c>
      <c r="R31">
        <v>19</v>
      </c>
    </row>
    <row r="32" spans="1:18">
      <c r="A32" t="s">
        <v>514</v>
      </c>
      <c r="B32" t="s">
        <v>175</v>
      </c>
      <c r="C32" s="35" t="s">
        <v>189</v>
      </c>
      <c r="D32">
        <v>21</v>
      </c>
      <c r="E32">
        <v>25</v>
      </c>
      <c r="F32">
        <v>35</v>
      </c>
      <c r="G32">
        <v>43</v>
      </c>
      <c r="H32">
        <v>31</v>
      </c>
      <c r="I32">
        <v>33</v>
      </c>
      <c r="J32">
        <v>23</v>
      </c>
      <c r="K32">
        <v>41</v>
      </c>
      <c r="L32">
        <v>23</v>
      </c>
      <c r="M32">
        <v>24</v>
      </c>
      <c r="N32">
        <v>11</v>
      </c>
      <c r="O32">
        <v>15</v>
      </c>
      <c r="P32">
        <v>11</v>
      </c>
      <c r="Q32">
        <v>14</v>
      </c>
      <c r="R32">
        <v>15</v>
      </c>
    </row>
    <row r="33" spans="1:18">
      <c r="A33" t="s">
        <v>515</v>
      </c>
      <c r="B33" t="s">
        <v>175</v>
      </c>
      <c r="C33" t="s">
        <v>172</v>
      </c>
      <c r="D33">
        <v>11</v>
      </c>
      <c r="E33">
        <v>18</v>
      </c>
      <c r="F33">
        <v>25</v>
      </c>
      <c r="G33">
        <v>28</v>
      </c>
      <c r="H33">
        <v>20</v>
      </c>
      <c r="I33">
        <v>16</v>
      </c>
      <c r="J33">
        <v>8</v>
      </c>
      <c r="K33">
        <v>15</v>
      </c>
      <c r="L33">
        <v>10</v>
      </c>
      <c r="M33">
        <v>9</v>
      </c>
      <c r="N33">
        <v>6</v>
      </c>
      <c r="O33">
        <v>5</v>
      </c>
      <c r="P33">
        <v>4</v>
      </c>
      <c r="Q33">
        <v>6</v>
      </c>
      <c r="R33">
        <v>5</v>
      </c>
    </row>
    <row r="34" spans="1:18">
      <c r="A34" t="s">
        <v>516</v>
      </c>
      <c r="B34" t="s">
        <v>175</v>
      </c>
      <c r="C34" t="s">
        <v>30</v>
      </c>
      <c r="D34">
        <v>10</v>
      </c>
      <c r="E34">
        <v>7</v>
      </c>
      <c r="F34">
        <v>10</v>
      </c>
      <c r="G34">
        <v>15</v>
      </c>
      <c r="H34">
        <v>11</v>
      </c>
      <c r="I34">
        <v>17</v>
      </c>
      <c r="J34">
        <v>15</v>
      </c>
      <c r="K34">
        <v>26</v>
      </c>
      <c r="L34">
        <v>13</v>
      </c>
      <c r="M34">
        <v>15</v>
      </c>
      <c r="N34">
        <v>5</v>
      </c>
      <c r="O34">
        <v>10</v>
      </c>
      <c r="P34">
        <v>7</v>
      </c>
      <c r="Q34">
        <v>8</v>
      </c>
      <c r="R34">
        <v>10</v>
      </c>
    </row>
    <row r="35" spans="1:18">
      <c r="A35" t="s">
        <v>517</v>
      </c>
      <c r="B35" t="s">
        <v>175</v>
      </c>
      <c r="C35" t="s">
        <v>177</v>
      </c>
      <c r="D35">
        <v>111</v>
      </c>
      <c r="E35">
        <v>217</v>
      </c>
      <c r="F35">
        <v>267</v>
      </c>
      <c r="G35">
        <v>312</v>
      </c>
      <c r="H35">
        <v>376</v>
      </c>
      <c r="I35">
        <v>413</v>
      </c>
      <c r="J35">
        <v>370</v>
      </c>
      <c r="K35">
        <v>402</v>
      </c>
      <c r="L35">
        <v>399</v>
      </c>
      <c r="M35">
        <v>390</v>
      </c>
      <c r="N35">
        <v>434</v>
      </c>
      <c r="O35">
        <v>486</v>
      </c>
      <c r="P35">
        <v>355</v>
      </c>
      <c r="Q35">
        <v>425</v>
      </c>
      <c r="R35">
        <v>469</v>
      </c>
    </row>
    <row r="36" spans="1:18">
      <c r="A36" t="s">
        <v>518</v>
      </c>
      <c r="B36" t="s">
        <v>175</v>
      </c>
      <c r="C36" t="s">
        <v>178</v>
      </c>
      <c r="D36">
        <v>104</v>
      </c>
      <c r="E36">
        <v>204</v>
      </c>
      <c r="F36">
        <v>250</v>
      </c>
      <c r="G36">
        <v>307</v>
      </c>
      <c r="H36">
        <v>364</v>
      </c>
      <c r="I36">
        <v>401</v>
      </c>
      <c r="J36">
        <v>357</v>
      </c>
      <c r="K36">
        <v>382</v>
      </c>
      <c r="L36">
        <v>382</v>
      </c>
      <c r="M36">
        <v>365</v>
      </c>
      <c r="N36">
        <v>407</v>
      </c>
      <c r="O36">
        <v>452</v>
      </c>
      <c r="P36">
        <v>347</v>
      </c>
      <c r="Q36">
        <v>403</v>
      </c>
      <c r="R36">
        <v>455</v>
      </c>
    </row>
    <row r="37" spans="1:18">
      <c r="A37" t="s">
        <v>519</v>
      </c>
      <c r="B37" t="s">
        <v>176</v>
      </c>
      <c r="C37" t="s">
        <v>32</v>
      </c>
      <c r="D37">
        <v>13</v>
      </c>
      <c r="E37">
        <v>13</v>
      </c>
      <c r="F37">
        <v>17</v>
      </c>
      <c r="G37">
        <v>19</v>
      </c>
      <c r="H37">
        <v>8</v>
      </c>
      <c r="I37">
        <v>15</v>
      </c>
      <c r="J37">
        <v>18</v>
      </c>
      <c r="K37">
        <v>26</v>
      </c>
      <c r="L37">
        <v>10</v>
      </c>
      <c r="M37">
        <v>7</v>
      </c>
      <c r="N37">
        <v>9</v>
      </c>
      <c r="O37">
        <v>8</v>
      </c>
      <c r="P37">
        <v>25</v>
      </c>
      <c r="Q37">
        <v>15</v>
      </c>
      <c r="R37">
        <v>32</v>
      </c>
    </row>
    <row r="38" spans="1:18">
      <c r="A38" t="s">
        <v>520</v>
      </c>
      <c r="B38" t="s">
        <v>176</v>
      </c>
      <c r="C38" s="4" t="s">
        <v>34</v>
      </c>
      <c r="D38">
        <v>9</v>
      </c>
      <c r="E38">
        <v>10</v>
      </c>
      <c r="F38">
        <v>16</v>
      </c>
      <c r="G38">
        <v>18</v>
      </c>
      <c r="H38">
        <v>6</v>
      </c>
      <c r="I38">
        <v>13</v>
      </c>
      <c r="J38">
        <v>18</v>
      </c>
      <c r="K38">
        <v>26</v>
      </c>
      <c r="L38">
        <v>10</v>
      </c>
      <c r="M38">
        <v>7</v>
      </c>
      <c r="N38">
        <v>9</v>
      </c>
      <c r="O38">
        <v>8</v>
      </c>
      <c r="P38">
        <v>25</v>
      </c>
      <c r="Q38">
        <v>15</v>
      </c>
      <c r="R38">
        <v>32</v>
      </c>
    </row>
    <row r="39" spans="1:18">
      <c r="A39" t="s">
        <v>521</v>
      </c>
      <c r="B39" t="s">
        <v>176</v>
      </c>
      <c r="C39" t="s">
        <v>169</v>
      </c>
      <c r="D39">
        <v>4</v>
      </c>
      <c r="E39">
        <v>3</v>
      </c>
      <c r="F39">
        <v>1</v>
      </c>
      <c r="G39">
        <v>1</v>
      </c>
      <c r="H39">
        <v>2</v>
      </c>
      <c r="I39">
        <v>2</v>
      </c>
      <c r="J39">
        <v>0</v>
      </c>
      <c r="K39">
        <v>0</v>
      </c>
      <c r="L39">
        <v>0</v>
      </c>
      <c r="M39">
        <v>0</v>
      </c>
      <c r="N39">
        <v>0</v>
      </c>
      <c r="O39">
        <v>0</v>
      </c>
      <c r="P39">
        <v>0</v>
      </c>
      <c r="Q39">
        <v>0</v>
      </c>
      <c r="R39">
        <v>0</v>
      </c>
    </row>
    <row r="40" spans="1:18">
      <c r="A40" t="s">
        <v>522</v>
      </c>
      <c r="B40" t="s">
        <v>176</v>
      </c>
      <c r="C40" t="s">
        <v>170</v>
      </c>
      <c r="D40">
        <v>104</v>
      </c>
      <c r="E40">
        <v>204</v>
      </c>
      <c r="F40">
        <v>250</v>
      </c>
      <c r="G40">
        <v>307</v>
      </c>
      <c r="H40">
        <v>364</v>
      </c>
      <c r="I40">
        <v>401</v>
      </c>
      <c r="J40">
        <v>357</v>
      </c>
      <c r="K40">
        <v>382</v>
      </c>
      <c r="L40">
        <v>382</v>
      </c>
      <c r="M40">
        <v>365</v>
      </c>
      <c r="N40">
        <v>407</v>
      </c>
      <c r="O40">
        <v>452</v>
      </c>
      <c r="P40">
        <v>347</v>
      </c>
      <c r="Q40">
        <v>403</v>
      </c>
      <c r="R40">
        <v>455</v>
      </c>
    </row>
    <row r="41" spans="1:18">
      <c r="A41" t="s">
        <v>523</v>
      </c>
      <c r="B41" t="s">
        <v>176</v>
      </c>
      <c r="C41" t="s">
        <v>171</v>
      </c>
      <c r="D41">
        <v>111</v>
      </c>
      <c r="E41">
        <v>217</v>
      </c>
      <c r="F41">
        <v>267</v>
      </c>
      <c r="G41">
        <v>312</v>
      </c>
      <c r="H41">
        <v>376</v>
      </c>
      <c r="I41">
        <v>413</v>
      </c>
      <c r="J41">
        <v>370</v>
      </c>
      <c r="K41">
        <v>402</v>
      </c>
      <c r="L41">
        <v>399</v>
      </c>
      <c r="M41">
        <v>390</v>
      </c>
      <c r="N41">
        <v>434</v>
      </c>
      <c r="O41">
        <v>486</v>
      </c>
      <c r="P41">
        <v>355</v>
      </c>
      <c r="Q41">
        <v>425</v>
      </c>
      <c r="R41">
        <v>469</v>
      </c>
    </row>
    <row r="42" spans="1:18">
      <c r="A42" t="s">
        <v>524</v>
      </c>
      <c r="B42" t="s">
        <v>176</v>
      </c>
      <c r="C42" t="s">
        <v>148</v>
      </c>
      <c r="D42">
        <v>6</v>
      </c>
      <c r="E42">
        <v>11</v>
      </c>
      <c r="F42">
        <v>7</v>
      </c>
      <c r="G42">
        <v>3</v>
      </c>
      <c r="H42">
        <v>2</v>
      </c>
      <c r="I42">
        <v>4</v>
      </c>
      <c r="J42">
        <v>6</v>
      </c>
      <c r="K42">
        <v>7</v>
      </c>
      <c r="L42">
        <v>4</v>
      </c>
      <c r="M42">
        <v>6</v>
      </c>
      <c r="N42">
        <v>8</v>
      </c>
      <c r="O42">
        <v>6</v>
      </c>
      <c r="P42">
        <v>7</v>
      </c>
      <c r="Q42">
        <v>4</v>
      </c>
      <c r="R42">
        <v>5</v>
      </c>
    </row>
    <row r="43" spans="1:18">
      <c r="A43" t="s">
        <v>525</v>
      </c>
      <c r="B43" t="s">
        <v>176</v>
      </c>
      <c r="C43" t="s">
        <v>184</v>
      </c>
      <c r="D43">
        <v>25</v>
      </c>
      <c r="E43">
        <v>50</v>
      </c>
      <c r="F43">
        <v>17</v>
      </c>
      <c r="G43">
        <v>16</v>
      </c>
      <c r="H43">
        <v>39</v>
      </c>
      <c r="I43">
        <v>25</v>
      </c>
      <c r="J43">
        <v>11</v>
      </c>
      <c r="K43">
        <v>10</v>
      </c>
      <c r="L43">
        <v>11</v>
      </c>
      <c r="M43">
        <v>11</v>
      </c>
      <c r="N43">
        <v>16</v>
      </c>
      <c r="O43">
        <v>17</v>
      </c>
      <c r="P43">
        <v>12</v>
      </c>
      <c r="Q43">
        <v>11</v>
      </c>
      <c r="R43">
        <v>12</v>
      </c>
    </row>
    <row r="44" spans="1:18">
      <c r="A44" t="s">
        <v>526</v>
      </c>
      <c r="B44" t="s">
        <v>176</v>
      </c>
      <c r="C44" s="4" t="s">
        <v>188</v>
      </c>
      <c r="D44">
        <v>4</v>
      </c>
      <c r="E44">
        <v>1</v>
      </c>
      <c r="F44">
        <v>1</v>
      </c>
      <c r="G44">
        <v>1</v>
      </c>
      <c r="H44">
        <v>1</v>
      </c>
      <c r="I44">
        <v>2</v>
      </c>
      <c r="J44">
        <v>0</v>
      </c>
      <c r="K44">
        <v>0</v>
      </c>
      <c r="L44">
        <v>0</v>
      </c>
      <c r="M44">
        <v>0</v>
      </c>
      <c r="N44">
        <v>0</v>
      </c>
      <c r="O44">
        <v>0</v>
      </c>
      <c r="P44">
        <v>0</v>
      </c>
      <c r="Q44">
        <v>0</v>
      </c>
      <c r="R44">
        <v>0</v>
      </c>
    </row>
    <row r="45" spans="1:18">
      <c r="A45" t="s">
        <v>527</v>
      </c>
      <c r="B45" t="s">
        <v>176</v>
      </c>
      <c r="C45" s="35" t="s">
        <v>189</v>
      </c>
      <c r="D45">
        <v>0</v>
      </c>
      <c r="E45">
        <v>2</v>
      </c>
      <c r="F45">
        <v>0</v>
      </c>
      <c r="G45">
        <v>0</v>
      </c>
      <c r="H45">
        <v>1</v>
      </c>
      <c r="I45">
        <v>0</v>
      </c>
      <c r="J45">
        <v>0</v>
      </c>
      <c r="K45">
        <v>0</v>
      </c>
      <c r="L45">
        <v>0</v>
      </c>
      <c r="M45">
        <v>0</v>
      </c>
      <c r="N45">
        <v>0</v>
      </c>
      <c r="O45">
        <v>0</v>
      </c>
      <c r="P45">
        <v>0</v>
      </c>
      <c r="Q45">
        <v>0</v>
      </c>
      <c r="R45">
        <v>0</v>
      </c>
    </row>
    <row r="46" spans="1:18">
      <c r="A46" t="s">
        <v>528</v>
      </c>
      <c r="B46" t="s">
        <v>176</v>
      </c>
      <c r="C46" t="s">
        <v>172</v>
      </c>
      <c r="D46">
        <v>0</v>
      </c>
      <c r="E46">
        <v>1</v>
      </c>
      <c r="F46">
        <v>0</v>
      </c>
      <c r="G46">
        <v>0</v>
      </c>
      <c r="H46">
        <v>1</v>
      </c>
      <c r="I46">
        <v>0</v>
      </c>
      <c r="J46">
        <v>0</v>
      </c>
      <c r="K46">
        <v>0</v>
      </c>
      <c r="L46">
        <v>0</v>
      </c>
      <c r="M46">
        <v>0</v>
      </c>
      <c r="N46">
        <v>0</v>
      </c>
      <c r="O46">
        <v>0</v>
      </c>
      <c r="P46">
        <v>0</v>
      </c>
      <c r="Q46">
        <v>0</v>
      </c>
      <c r="R46">
        <v>0</v>
      </c>
    </row>
    <row r="47" spans="1:18">
      <c r="A47" t="s">
        <v>529</v>
      </c>
      <c r="B47" t="s">
        <v>176</v>
      </c>
      <c r="C47" t="s">
        <v>30</v>
      </c>
      <c r="D47">
        <v>0</v>
      </c>
      <c r="E47">
        <v>1</v>
      </c>
      <c r="F47">
        <v>0</v>
      </c>
      <c r="G47">
        <v>0</v>
      </c>
      <c r="H47">
        <v>0</v>
      </c>
      <c r="I47">
        <v>0</v>
      </c>
      <c r="J47">
        <v>0</v>
      </c>
      <c r="K47">
        <v>0</v>
      </c>
      <c r="L47">
        <v>0</v>
      </c>
      <c r="M47">
        <v>0</v>
      </c>
      <c r="N47">
        <v>0</v>
      </c>
      <c r="O47">
        <v>0</v>
      </c>
      <c r="P47">
        <v>0</v>
      </c>
      <c r="Q47">
        <v>0</v>
      </c>
      <c r="R47">
        <v>0</v>
      </c>
    </row>
    <row r="48" spans="1:18">
      <c r="A48" t="s">
        <v>530</v>
      </c>
      <c r="B48" t="s">
        <v>176</v>
      </c>
      <c r="C48" t="s">
        <v>177</v>
      </c>
      <c r="D48">
        <v>1</v>
      </c>
      <c r="E48">
        <v>10</v>
      </c>
      <c r="F48">
        <v>13</v>
      </c>
      <c r="G48">
        <v>17</v>
      </c>
      <c r="H48">
        <v>25</v>
      </c>
      <c r="I48">
        <v>21</v>
      </c>
      <c r="J48">
        <v>20</v>
      </c>
      <c r="K48">
        <v>25</v>
      </c>
      <c r="L48">
        <v>11</v>
      </c>
      <c r="M48">
        <v>12</v>
      </c>
      <c r="N48">
        <v>11</v>
      </c>
      <c r="O48">
        <v>22</v>
      </c>
      <c r="P48">
        <v>21</v>
      </c>
      <c r="Q48">
        <v>19</v>
      </c>
      <c r="R48">
        <v>42</v>
      </c>
    </row>
    <row r="49" spans="1:18">
      <c r="A49" t="s">
        <v>531</v>
      </c>
      <c r="B49" t="s">
        <v>176</v>
      </c>
      <c r="C49" t="s">
        <v>178</v>
      </c>
      <c r="D49">
        <v>1</v>
      </c>
      <c r="E49">
        <v>5</v>
      </c>
      <c r="F49">
        <v>11</v>
      </c>
      <c r="G49">
        <v>0</v>
      </c>
      <c r="H49">
        <v>23</v>
      </c>
      <c r="I49">
        <v>20</v>
      </c>
      <c r="J49">
        <v>20</v>
      </c>
      <c r="K49">
        <v>17</v>
      </c>
      <c r="L49">
        <v>9</v>
      </c>
      <c r="M49">
        <v>9</v>
      </c>
      <c r="N49">
        <v>9</v>
      </c>
      <c r="O49">
        <v>4</v>
      </c>
      <c r="P49">
        <v>18</v>
      </c>
      <c r="Q49">
        <v>15</v>
      </c>
      <c r="R49">
        <v>38</v>
      </c>
    </row>
    <row r="50" spans="1:18">
      <c r="A50" t="s">
        <v>532</v>
      </c>
      <c r="B50" t="s">
        <v>173</v>
      </c>
      <c r="C50" t="s">
        <v>32</v>
      </c>
      <c r="D50">
        <v>34</v>
      </c>
      <c r="E50">
        <v>52</v>
      </c>
      <c r="F50">
        <v>54</v>
      </c>
      <c r="G50">
        <v>94</v>
      </c>
      <c r="H50">
        <v>60</v>
      </c>
      <c r="I50">
        <v>59</v>
      </c>
      <c r="J50">
        <v>69</v>
      </c>
      <c r="K50">
        <v>92</v>
      </c>
      <c r="L50">
        <v>120</v>
      </c>
      <c r="M50">
        <v>185</v>
      </c>
      <c r="N50">
        <v>137</v>
      </c>
      <c r="O50">
        <v>170</v>
      </c>
      <c r="P50">
        <v>197</v>
      </c>
      <c r="Q50">
        <v>204</v>
      </c>
      <c r="R50">
        <v>181</v>
      </c>
    </row>
    <row r="51" spans="1:18">
      <c r="A51" t="s">
        <v>533</v>
      </c>
      <c r="B51" t="s">
        <v>173</v>
      </c>
      <c r="C51" s="4" t="s">
        <v>34</v>
      </c>
      <c r="D51">
        <v>30</v>
      </c>
      <c r="E51">
        <v>41</v>
      </c>
      <c r="F51">
        <v>16</v>
      </c>
      <c r="G51">
        <v>61</v>
      </c>
      <c r="H51">
        <v>24</v>
      </c>
      <c r="I51">
        <v>45</v>
      </c>
      <c r="J51">
        <v>39</v>
      </c>
      <c r="K51">
        <v>70</v>
      </c>
      <c r="L51">
        <v>98</v>
      </c>
      <c r="M51">
        <v>160</v>
      </c>
      <c r="N51">
        <v>121</v>
      </c>
      <c r="O51">
        <v>144</v>
      </c>
      <c r="P51">
        <v>183</v>
      </c>
      <c r="Q51">
        <v>180</v>
      </c>
      <c r="R51">
        <v>166</v>
      </c>
    </row>
    <row r="52" spans="1:18">
      <c r="A52" t="s">
        <v>534</v>
      </c>
      <c r="B52" t="s">
        <v>173</v>
      </c>
      <c r="C52" t="s">
        <v>169</v>
      </c>
      <c r="D52">
        <v>4</v>
      </c>
      <c r="E52">
        <v>11</v>
      </c>
      <c r="F52">
        <v>38</v>
      </c>
      <c r="G52">
        <v>33</v>
      </c>
      <c r="H52">
        <v>36</v>
      </c>
      <c r="I52">
        <v>14</v>
      </c>
      <c r="J52">
        <v>30</v>
      </c>
      <c r="K52">
        <v>22</v>
      </c>
      <c r="L52">
        <v>22</v>
      </c>
      <c r="M52">
        <v>25</v>
      </c>
      <c r="N52">
        <v>16</v>
      </c>
      <c r="O52">
        <v>26</v>
      </c>
      <c r="P52">
        <v>14</v>
      </c>
      <c r="Q52">
        <v>24</v>
      </c>
      <c r="R52">
        <v>15</v>
      </c>
    </row>
    <row r="53" spans="1:18">
      <c r="A53" t="s">
        <v>535</v>
      </c>
      <c r="B53" t="s">
        <v>173</v>
      </c>
      <c r="C53" t="s">
        <v>486</v>
      </c>
      <c r="D53">
        <v>1</v>
      </c>
      <c r="E53">
        <v>6</v>
      </c>
      <c r="F53">
        <v>19</v>
      </c>
      <c r="G53">
        <v>7</v>
      </c>
      <c r="H53">
        <v>9</v>
      </c>
      <c r="I53">
        <v>3</v>
      </c>
      <c r="J53">
        <v>4</v>
      </c>
      <c r="K53">
        <v>5</v>
      </c>
      <c r="L53">
        <v>6</v>
      </c>
      <c r="M53">
        <v>6</v>
      </c>
      <c r="N53">
        <v>5</v>
      </c>
      <c r="O53">
        <v>5</v>
      </c>
      <c r="P53">
        <v>5</v>
      </c>
      <c r="Q53">
        <v>5</v>
      </c>
      <c r="R53">
        <v>4</v>
      </c>
    </row>
    <row r="54" spans="1:18">
      <c r="A54" t="s">
        <v>536</v>
      </c>
      <c r="B54" t="s">
        <v>173</v>
      </c>
      <c r="C54" t="s">
        <v>488</v>
      </c>
      <c r="D54">
        <v>44</v>
      </c>
      <c r="E54">
        <v>51</v>
      </c>
      <c r="F54">
        <v>53</v>
      </c>
      <c r="G54">
        <v>46</v>
      </c>
      <c r="H54">
        <v>45</v>
      </c>
      <c r="I54">
        <v>45</v>
      </c>
      <c r="J54">
        <v>42</v>
      </c>
      <c r="K54">
        <v>38</v>
      </c>
      <c r="L54">
        <v>28</v>
      </c>
      <c r="M54">
        <v>29</v>
      </c>
      <c r="N54">
        <v>20</v>
      </c>
      <c r="O54">
        <v>21</v>
      </c>
      <c r="P54">
        <v>17</v>
      </c>
      <c r="Q54">
        <v>19</v>
      </c>
      <c r="R54">
        <v>17</v>
      </c>
    </row>
    <row r="55" spans="1:18">
      <c r="A55" t="s">
        <v>537</v>
      </c>
      <c r="B55" t="s">
        <v>173</v>
      </c>
      <c r="C55" t="s">
        <v>148</v>
      </c>
      <c r="D55">
        <v>1</v>
      </c>
      <c r="E55">
        <v>1</v>
      </c>
      <c r="F55">
        <v>30</v>
      </c>
      <c r="G55">
        <v>6</v>
      </c>
      <c r="H55">
        <v>21</v>
      </c>
      <c r="I55">
        <v>1</v>
      </c>
      <c r="J55">
        <v>11</v>
      </c>
      <c r="K55">
        <v>3</v>
      </c>
      <c r="L55">
        <v>5</v>
      </c>
      <c r="M55">
        <v>7</v>
      </c>
      <c r="N55">
        <v>6</v>
      </c>
      <c r="O55">
        <v>5</v>
      </c>
      <c r="P55">
        <v>5</v>
      </c>
      <c r="Q55">
        <v>5</v>
      </c>
      <c r="R55">
        <v>4</v>
      </c>
    </row>
    <row r="56" spans="1:18">
      <c r="A56" t="s">
        <v>538</v>
      </c>
      <c r="B56" t="s">
        <v>173</v>
      </c>
      <c r="C56" t="s">
        <v>184</v>
      </c>
      <c r="D56">
        <v>28</v>
      </c>
      <c r="E56">
        <v>34</v>
      </c>
      <c r="F56">
        <v>54</v>
      </c>
      <c r="G56">
        <v>51</v>
      </c>
      <c r="H56">
        <v>43</v>
      </c>
      <c r="I56">
        <v>34</v>
      </c>
      <c r="J56">
        <v>48</v>
      </c>
      <c r="K56">
        <v>45</v>
      </c>
      <c r="L56">
        <v>38</v>
      </c>
      <c r="M56">
        <v>29</v>
      </c>
      <c r="N56">
        <v>23</v>
      </c>
      <c r="O56">
        <v>35</v>
      </c>
      <c r="P56">
        <v>15</v>
      </c>
      <c r="Q56">
        <v>23</v>
      </c>
      <c r="R56">
        <v>17</v>
      </c>
    </row>
    <row r="57" spans="1:18">
      <c r="A57" t="s">
        <v>539</v>
      </c>
      <c r="B57" t="s">
        <v>173</v>
      </c>
      <c r="C57" s="4" t="s">
        <v>188</v>
      </c>
      <c r="D57">
        <v>1</v>
      </c>
      <c r="E57">
        <v>6</v>
      </c>
      <c r="F57">
        <v>17</v>
      </c>
      <c r="G57">
        <v>16</v>
      </c>
      <c r="H57">
        <v>27</v>
      </c>
      <c r="I57">
        <v>10</v>
      </c>
      <c r="J57">
        <v>17</v>
      </c>
      <c r="K57">
        <v>8</v>
      </c>
      <c r="L57">
        <v>9</v>
      </c>
      <c r="M57">
        <v>10</v>
      </c>
      <c r="N57">
        <v>6</v>
      </c>
      <c r="O57">
        <v>9</v>
      </c>
      <c r="P57">
        <v>8</v>
      </c>
      <c r="Q57">
        <v>17</v>
      </c>
      <c r="R57">
        <v>7</v>
      </c>
    </row>
    <row r="58" spans="1:18">
      <c r="A58" t="s">
        <v>540</v>
      </c>
      <c r="B58" t="s">
        <v>173</v>
      </c>
      <c r="C58" s="35" t="s">
        <v>189</v>
      </c>
      <c r="D58">
        <v>3</v>
      </c>
      <c r="E58">
        <v>5</v>
      </c>
      <c r="F58">
        <v>21</v>
      </c>
      <c r="G58">
        <v>17</v>
      </c>
      <c r="H58">
        <v>9</v>
      </c>
      <c r="I58">
        <v>4</v>
      </c>
      <c r="J58">
        <v>13</v>
      </c>
      <c r="K58">
        <v>14</v>
      </c>
      <c r="L58">
        <v>13</v>
      </c>
      <c r="M58">
        <v>15</v>
      </c>
      <c r="N58">
        <v>10</v>
      </c>
      <c r="O58">
        <v>17</v>
      </c>
      <c r="P58">
        <v>6</v>
      </c>
      <c r="Q58">
        <v>7</v>
      </c>
      <c r="R58">
        <v>8</v>
      </c>
    </row>
    <row r="59" spans="1:18">
      <c r="A59" t="s">
        <v>541</v>
      </c>
      <c r="B59" t="s">
        <v>173</v>
      </c>
      <c r="C59" t="s">
        <v>172</v>
      </c>
      <c r="D59">
        <v>2</v>
      </c>
      <c r="E59">
        <v>3</v>
      </c>
      <c r="F59">
        <v>13</v>
      </c>
      <c r="G59">
        <v>8</v>
      </c>
      <c r="H59">
        <v>4</v>
      </c>
      <c r="I59">
        <v>2</v>
      </c>
      <c r="J59">
        <v>11</v>
      </c>
      <c r="K59">
        <v>10</v>
      </c>
      <c r="L59">
        <v>11</v>
      </c>
      <c r="M59">
        <v>6</v>
      </c>
      <c r="N59">
        <v>6</v>
      </c>
      <c r="O59">
        <v>12</v>
      </c>
      <c r="P59">
        <v>6</v>
      </c>
      <c r="Q59">
        <v>4</v>
      </c>
      <c r="R59">
        <v>8</v>
      </c>
    </row>
    <row r="60" spans="1:18">
      <c r="A60" t="s">
        <v>542</v>
      </c>
      <c r="B60" t="s">
        <v>173</v>
      </c>
      <c r="C60" t="s">
        <v>30</v>
      </c>
      <c r="D60">
        <v>1</v>
      </c>
      <c r="E60">
        <v>2</v>
      </c>
      <c r="F60">
        <v>8</v>
      </c>
      <c r="G60">
        <v>9</v>
      </c>
      <c r="H60">
        <v>5</v>
      </c>
      <c r="I60">
        <v>2</v>
      </c>
      <c r="J60">
        <v>2</v>
      </c>
      <c r="K60">
        <v>4</v>
      </c>
      <c r="L60">
        <v>2</v>
      </c>
      <c r="M60">
        <v>9</v>
      </c>
      <c r="N60">
        <v>4</v>
      </c>
      <c r="O60">
        <v>5</v>
      </c>
      <c r="P60">
        <v>0</v>
      </c>
      <c r="Q60">
        <v>3</v>
      </c>
      <c r="R60">
        <v>0</v>
      </c>
    </row>
    <row r="61" spans="1:18">
      <c r="A61" t="s">
        <v>543</v>
      </c>
      <c r="B61" t="s">
        <v>174</v>
      </c>
      <c r="C61" t="s">
        <v>32</v>
      </c>
      <c r="D61">
        <v>0</v>
      </c>
      <c r="E61">
        <v>3</v>
      </c>
      <c r="F61">
        <v>5</v>
      </c>
      <c r="G61">
        <v>6</v>
      </c>
      <c r="H61">
        <v>26</v>
      </c>
      <c r="I61">
        <v>6</v>
      </c>
      <c r="J61">
        <v>3</v>
      </c>
      <c r="K61">
        <v>8</v>
      </c>
      <c r="L61">
        <v>11</v>
      </c>
      <c r="M61">
        <v>24</v>
      </c>
      <c r="N61">
        <v>5</v>
      </c>
      <c r="O61">
        <v>10</v>
      </c>
      <c r="P61">
        <v>10</v>
      </c>
      <c r="Q61">
        <v>16</v>
      </c>
      <c r="R61">
        <v>11</v>
      </c>
    </row>
    <row r="62" spans="1:18">
      <c r="A62" t="s">
        <v>544</v>
      </c>
      <c r="B62" t="s">
        <v>174</v>
      </c>
      <c r="C62" s="4" t="s">
        <v>34</v>
      </c>
      <c r="D62">
        <v>0</v>
      </c>
      <c r="E62">
        <v>1</v>
      </c>
      <c r="F62">
        <v>1</v>
      </c>
      <c r="G62">
        <v>5</v>
      </c>
      <c r="H62">
        <v>6</v>
      </c>
      <c r="I62">
        <v>4</v>
      </c>
      <c r="J62">
        <v>2</v>
      </c>
      <c r="K62">
        <v>4</v>
      </c>
      <c r="L62">
        <v>6</v>
      </c>
      <c r="M62">
        <v>21</v>
      </c>
      <c r="N62">
        <v>5</v>
      </c>
      <c r="O62">
        <v>7</v>
      </c>
      <c r="P62">
        <v>10</v>
      </c>
      <c r="Q62">
        <v>13</v>
      </c>
      <c r="R62">
        <v>11</v>
      </c>
    </row>
    <row r="63" spans="1:18">
      <c r="A63" t="s">
        <v>545</v>
      </c>
      <c r="B63" t="s">
        <v>174</v>
      </c>
      <c r="C63" t="s">
        <v>169</v>
      </c>
      <c r="D63">
        <v>0</v>
      </c>
      <c r="E63">
        <v>2</v>
      </c>
      <c r="F63">
        <v>4</v>
      </c>
      <c r="G63">
        <v>1</v>
      </c>
      <c r="H63">
        <v>20</v>
      </c>
      <c r="I63">
        <v>2</v>
      </c>
      <c r="J63">
        <v>1</v>
      </c>
      <c r="K63">
        <v>4</v>
      </c>
      <c r="L63">
        <v>5</v>
      </c>
      <c r="M63">
        <v>3</v>
      </c>
      <c r="N63">
        <v>0</v>
      </c>
      <c r="O63">
        <v>3</v>
      </c>
      <c r="P63">
        <v>0</v>
      </c>
      <c r="Q63">
        <v>3</v>
      </c>
      <c r="R63">
        <v>0</v>
      </c>
    </row>
    <row r="64" spans="1:18">
      <c r="A64" t="s">
        <v>546</v>
      </c>
      <c r="B64" t="s">
        <v>174</v>
      </c>
      <c r="C64" t="s">
        <v>486</v>
      </c>
      <c r="D64">
        <v>30</v>
      </c>
      <c r="E64">
        <v>11</v>
      </c>
      <c r="F64">
        <v>22</v>
      </c>
      <c r="G64">
        <v>21</v>
      </c>
      <c r="H64">
        <v>22</v>
      </c>
      <c r="I64">
        <v>11</v>
      </c>
      <c r="J64">
        <v>11</v>
      </c>
      <c r="K64">
        <v>7</v>
      </c>
      <c r="L64">
        <v>7</v>
      </c>
      <c r="M64">
        <v>7</v>
      </c>
      <c r="N64">
        <v>4</v>
      </c>
      <c r="O64">
        <v>3</v>
      </c>
      <c r="P64">
        <v>3</v>
      </c>
      <c r="Q64">
        <v>4</v>
      </c>
      <c r="R64">
        <v>4</v>
      </c>
    </row>
    <row r="65" spans="1:18">
      <c r="A65" t="s">
        <v>547</v>
      </c>
      <c r="B65" t="s">
        <v>174</v>
      </c>
      <c r="C65" t="s">
        <v>488</v>
      </c>
      <c r="D65">
        <v>53</v>
      </c>
      <c r="E65">
        <v>47</v>
      </c>
      <c r="F65">
        <v>31</v>
      </c>
      <c r="G65">
        <v>34</v>
      </c>
      <c r="H65">
        <v>36</v>
      </c>
      <c r="I65">
        <v>51</v>
      </c>
      <c r="J65">
        <v>48</v>
      </c>
      <c r="K65">
        <v>41</v>
      </c>
      <c r="L65">
        <v>28</v>
      </c>
      <c r="M65">
        <v>28</v>
      </c>
      <c r="N65">
        <v>21</v>
      </c>
      <c r="O65">
        <v>31</v>
      </c>
      <c r="P65">
        <v>12</v>
      </c>
      <c r="Q65">
        <v>26</v>
      </c>
      <c r="R65">
        <v>11</v>
      </c>
    </row>
    <row r="66" spans="1:18">
      <c r="A66" t="s">
        <v>548</v>
      </c>
      <c r="B66" t="s">
        <v>174</v>
      </c>
      <c r="C66" t="s">
        <v>148</v>
      </c>
      <c r="D66">
        <v>0</v>
      </c>
      <c r="E66">
        <v>31</v>
      </c>
      <c r="F66">
        <v>30</v>
      </c>
      <c r="G66">
        <v>4</v>
      </c>
      <c r="H66">
        <v>23</v>
      </c>
      <c r="I66">
        <v>2</v>
      </c>
      <c r="J66">
        <v>11</v>
      </c>
      <c r="K66">
        <v>7</v>
      </c>
      <c r="L66">
        <v>14</v>
      </c>
      <c r="M66">
        <v>7</v>
      </c>
      <c r="N66">
        <v>3</v>
      </c>
      <c r="O66">
        <v>5</v>
      </c>
      <c r="P66">
        <v>3</v>
      </c>
      <c r="Q66">
        <v>3</v>
      </c>
      <c r="R66">
        <v>4</v>
      </c>
    </row>
    <row r="67" spans="1:18">
      <c r="A67" t="s">
        <v>549</v>
      </c>
      <c r="B67" t="s">
        <v>174</v>
      </c>
      <c r="C67" t="s">
        <v>184</v>
      </c>
      <c r="D67">
        <v>0</v>
      </c>
      <c r="E67">
        <v>47</v>
      </c>
      <c r="F67">
        <v>53</v>
      </c>
      <c r="G67">
        <v>22</v>
      </c>
      <c r="H67">
        <v>30</v>
      </c>
      <c r="I67">
        <v>56</v>
      </c>
      <c r="J67">
        <v>51</v>
      </c>
      <c r="K67">
        <v>48</v>
      </c>
      <c r="L67">
        <v>40</v>
      </c>
      <c r="M67">
        <v>27</v>
      </c>
      <c r="N67">
        <v>18</v>
      </c>
      <c r="O67">
        <v>53</v>
      </c>
      <c r="P67">
        <v>8</v>
      </c>
      <c r="Q67">
        <v>31</v>
      </c>
      <c r="R67">
        <v>11</v>
      </c>
    </row>
    <row r="68" spans="1:18">
      <c r="A68" t="s">
        <v>550</v>
      </c>
      <c r="B68" t="s">
        <v>174</v>
      </c>
      <c r="C68" s="4" t="s">
        <v>188</v>
      </c>
      <c r="D68">
        <v>0</v>
      </c>
      <c r="E68">
        <v>1</v>
      </c>
      <c r="F68">
        <v>3</v>
      </c>
      <c r="G68">
        <v>1</v>
      </c>
      <c r="H68">
        <v>18</v>
      </c>
      <c r="I68">
        <v>1</v>
      </c>
      <c r="J68">
        <v>0</v>
      </c>
      <c r="K68">
        <v>0</v>
      </c>
      <c r="L68">
        <v>2</v>
      </c>
      <c r="M68">
        <v>2</v>
      </c>
      <c r="N68">
        <v>0</v>
      </c>
      <c r="O68">
        <v>1</v>
      </c>
      <c r="P68">
        <v>0</v>
      </c>
      <c r="Q68">
        <v>2</v>
      </c>
      <c r="R68">
        <v>0</v>
      </c>
    </row>
    <row r="69" spans="1:18">
      <c r="A69" t="s">
        <v>551</v>
      </c>
      <c r="B69" t="s">
        <v>174</v>
      </c>
      <c r="C69" s="35" t="s">
        <v>189</v>
      </c>
      <c r="D69">
        <v>0</v>
      </c>
      <c r="E69">
        <v>1</v>
      </c>
      <c r="F69">
        <v>1</v>
      </c>
      <c r="G69">
        <v>0</v>
      </c>
      <c r="H69">
        <v>2</v>
      </c>
      <c r="I69">
        <v>1</v>
      </c>
      <c r="J69">
        <v>1</v>
      </c>
      <c r="K69">
        <v>4</v>
      </c>
      <c r="L69">
        <v>3</v>
      </c>
      <c r="M69">
        <v>1</v>
      </c>
      <c r="N69">
        <v>0</v>
      </c>
      <c r="O69">
        <v>2</v>
      </c>
      <c r="P69">
        <v>0</v>
      </c>
      <c r="Q69">
        <v>1</v>
      </c>
      <c r="R69">
        <v>0</v>
      </c>
    </row>
    <row r="70" spans="1:18">
      <c r="A70" t="s">
        <v>552</v>
      </c>
      <c r="B70" t="s">
        <v>174</v>
      </c>
      <c r="C70" t="s">
        <v>172</v>
      </c>
      <c r="D70">
        <v>0</v>
      </c>
      <c r="E70">
        <v>1</v>
      </c>
      <c r="F70">
        <v>0</v>
      </c>
      <c r="G70">
        <v>0</v>
      </c>
      <c r="H70">
        <v>2</v>
      </c>
      <c r="I70">
        <v>0</v>
      </c>
      <c r="J70">
        <v>1</v>
      </c>
      <c r="K70">
        <v>4</v>
      </c>
      <c r="L70">
        <v>3</v>
      </c>
      <c r="M70">
        <v>0</v>
      </c>
      <c r="N70">
        <v>0</v>
      </c>
      <c r="O70">
        <v>0</v>
      </c>
      <c r="P70">
        <v>0</v>
      </c>
      <c r="Q70">
        <v>0</v>
      </c>
      <c r="R70">
        <v>0</v>
      </c>
    </row>
    <row r="71" spans="1:18">
      <c r="A71" t="s">
        <v>553</v>
      </c>
      <c r="B71" t="s">
        <v>174</v>
      </c>
      <c r="C71" t="s">
        <v>30</v>
      </c>
      <c r="D71">
        <v>0</v>
      </c>
      <c r="E71">
        <v>0</v>
      </c>
      <c r="F71">
        <v>1</v>
      </c>
      <c r="G71">
        <v>0</v>
      </c>
      <c r="H71">
        <v>0</v>
      </c>
      <c r="I71">
        <v>1</v>
      </c>
      <c r="J71">
        <v>0</v>
      </c>
      <c r="K71">
        <v>0</v>
      </c>
      <c r="L71">
        <v>0</v>
      </c>
      <c r="M71">
        <v>1</v>
      </c>
      <c r="N71">
        <v>0</v>
      </c>
      <c r="O71">
        <v>2</v>
      </c>
      <c r="P71">
        <v>0</v>
      </c>
      <c r="Q71">
        <v>1</v>
      </c>
      <c r="R71">
        <v>0</v>
      </c>
    </row>
    <row r="72" spans="1:18">
      <c r="A72" t="s">
        <v>554</v>
      </c>
      <c r="B72" t="s">
        <v>175</v>
      </c>
      <c r="C72" t="s">
        <v>32</v>
      </c>
      <c r="D72">
        <v>34</v>
      </c>
      <c r="E72">
        <v>52</v>
      </c>
      <c r="F72">
        <v>54</v>
      </c>
      <c r="G72">
        <v>94</v>
      </c>
      <c r="H72">
        <v>60</v>
      </c>
      <c r="I72">
        <v>59</v>
      </c>
      <c r="J72">
        <v>69</v>
      </c>
      <c r="K72">
        <v>92</v>
      </c>
      <c r="L72">
        <v>120</v>
      </c>
      <c r="M72">
        <v>185</v>
      </c>
      <c r="N72">
        <v>137</v>
      </c>
      <c r="O72">
        <v>170</v>
      </c>
      <c r="P72">
        <v>197</v>
      </c>
      <c r="Q72">
        <v>204</v>
      </c>
      <c r="R72">
        <v>181</v>
      </c>
    </row>
    <row r="73" spans="1:18">
      <c r="A73" t="s">
        <v>555</v>
      </c>
      <c r="B73" t="s">
        <v>175</v>
      </c>
      <c r="C73" s="4" t="s">
        <v>34</v>
      </c>
      <c r="D73">
        <v>29</v>
      </c>
      <c r="E73">
        <v>41</v>
      </c>
      <c r="F73">
        <v>12</v>
      </c>
      <c r="G73">
        <v>59</v>
      </c>
      <c r="H73">
        <v>19</v>
      </c>
      <c r="I73">
        <v>43</v>
      </c>
      <c r="J73">
        <v>38</v>
      </c>
      <c r="K73">
        <v>67</v>
      </c>
      <c r="L73">
        <v>98</v>
      </c>
      <c r="M73">
        <v>156</v>
      </c>
      <c r="N73">
        <v>120</v>
      </c>
      <c r="O73">
        <v>143</v>
      </c>
      <c r="P73">
        <v>182</v>
      </c>
      <c r="Q73">
        <v>180</v>
      </c>
      <c r="R73">
        <v>166</v>
      </c>
    </row>
    <row r="74" spans="1:18">
      <c r="A74" t="s">
        <v>556</v>
      </c>
      <c r="B74" t="s">
        <v>175</v>
      </c>
      <c r="C74" t="s">
        <v>169</v>
      </c>
      <c r="D74">
        <v>5</v>
      </c>
      <c r="E74">
        <v>11</v>
      </c>
      <c r="F74">
        <v>42</v>
      </c>
      <c r="G74">
        <v>35</v>
      </c>
      <c r="H74">
        <v>41</v>
      </c>
      <c r="I74">
        <v>16</v>
      </c>
      <c r="J74">
        <v>31</v>
      </c>
      <c r="K74">
        <v>25</v>
      </c>
      <c r="L74">
        <v>22</v>
      </c>
      <c r="M74">
        <v>29</v>
      </c>
      <c r="N74">
        <v>17</v>
      </c>
      <c r="O74">
        <v>27</v>
      </c>
      <c r="P74">
        <v>15</v>
      </c>
      <c r="Q74">
        <v>24</v>
      </c>
      <c r="R74">
        <v>15</v>
      </c>
    </row>
    <row r="75" spans="1:18">
      <c r="A75" t="s">
        <v>557</v>
      </c>
      <c r="B75" t="s">
        <v>175</v>
      </c>
      <c r="C75" t="s">
        <v>486</v>
      </c>
      <c r="D75">
        <v>2</v>
      </c>
      <c r="E75">
        <v>7</v>
      </c>
      <c r="F75">
        <v>23</v>
      </c>
      <c r="G75">
        <v>9</v>
      </c>
      <c r="H75">
        <v>15</v>
      </c>
      <c r="I75">
        <v>3</v>
      </c>
      <c r="J75">
        <v>4</v>
      </c>
      <c r="K75">
        <v>5</v>
      </c>
      <c r="L75">
        <v>6</v>
      </c>
      <c r="M75">
        <v>6</v>
      </c>
      <c r="N75">
        <v>5</v>
      </c>
      <c r="O75">
        <v>5</v>
      </c>
      <c r="P75">
        <v>5</v>
      </c>
      <c r="Q75">
        <v>5</v>
      </c>
      <c r="R75">
        <v>5</v>
      </c>
    </row>
    <row r="76" spans="1:18">
      <c r="A76" t="s">
        <v>558</v>
      </c>
      <c r="B76" t="s">
        <v>175</v>
      </c>
      <c r="C76" t="s">
        <v>488</v>
      </c>
      <c r="D76">
        <v>53</v>
      </c>
      <c r="E76">
        <v>54</v>
      </c>
      <c r="F76">
        <v>54</v>
      </c>
      <c r="G76">
        <v>46</v>
      </c>
      <c r="H76">
        <v>49</v>
      </c>
      <c r="I76">
        <v>47</v>
      </c>
      <c r="J76">
        <v>46</v>
      </c>
      <c r="K76">
        <v>39</v>
      </c>
      <c r="L76">
        <v>31</v>
      </c>
      <c r="M76">
        <v>31</v>
      </c>
      <c r="N76">
        <v>21</v>
      </c>
      <c r="O76">
        <v>22</v>
      </c>
      <c r="P76">
        <v>17</v>
      </c>
      <c r="Q76">
        <v>19</v>
      </c>
      <c r="R76">
        <v>17</v>
      </c>
    </row>
    <row r="77" spans="1:18">
      <c r="A77" t="s">
        <v>559</v>
      </c>
      <c r="B77" t="s">
        <v>175</v>
      </c>
      <c r="C77" t="s">
        <v>148</v>
      </c>
      <c r="D77">
        <v>1</v>
      </c>
      <c r="E77">
        <v>1</v>
      </c>
      <c r="F77">
        <v>32</v>
      </c>
      <c r="G77">
        <v>6</v>
      </c>
      <c r="H77">
        <v>23</v>
      </c>
      <c r="I77">
        <v>1</v>
      </c>
      <c r="J77">
        <v>14</v>
      </c>
      <c r="K77">
        <v>3</v>
      </c>
      <c r="L77">
        <v>5</v>
      </c>
      <c r="M77">
        <v>7</v>
      </c>
      <c r="N77">
        <v>7</v>
      </c>
      <c r="O77">
        <v>5</v>
      </c>
      <c r="P77">
        <v>5</v>
      </c>
      <c r="Q77">
        <v>5</v>
      </c>
      <c r="R77">
        <v>5</v>
      </c>
    </row>
    <row r="78" spans="1:18">
      <c r="A78" t="s">
        <v>560</v>
      </c>
      <c r="B78" t="s">
        <v>175</v>
      </c>
      <c r="C78" t="s">
        <v>184</v>
      </c>
      <c r="D78">
        <v>43</v>
      </c>
      <c r="E78">
        <v>41</v>
      </c>
      <c r="F78">
        <v>55</v>
      </c>
      <c r="G78">
        <v>51</v>
      </c>
      <c r="H78">
        <v>46</v>
      </c>
      <c r="I78">
        <v>41</v>
      </c>
      <c r="J78">
        <v>51</v>
      </c>
      <c r="K78">
        <v>46</v>
      </c>
      <c r="L78">
        <v>38</v>
      </c>
      <c r="M78">
        <v>32</v>
      </c>
      <c r="N78">
        <v>24</v>
      </c>
      <c r="O78">
        <v>35</v>
      </c>
      <c r="P78">
        <v>15</v>
      </c>
      <c r="Q78">
        <v>23</v>
      </c>
      <c r="R78">
        <v>17</v>
      </c>
    </row>
    <row r="79" spans="1:18">
      <c r="A79" t="s">
        <v>561</v>
      </c>
      <c r="B79" t="s">
        <v>175</v>
      </c>
      <c r="C79" s="4" t="s">
        <v>188</v>
      </c>
      <c r="D79">
        <v>1</v>
      </c>
      <c r="E79">
        <v>5</v>
      </c>
      <c r="F79">
        <v>16</v>
      </c>
      <c r="G79">
        <v>17</v>
      </c>
      <c r="H79">
        <v>30</v>
      </c>
      <c r="I79">
        <v>9</v>
      </c>
      <c r="J79">
        <v>17</v>
      </c>
      <c r="K79">
        <v>8</v>
      </c>
      <c r="L79">
        <v>9</v>
      </c>
      <c r="M79">
        <v>12</v>
      </c>
      <c r="N79">
        <v>7</v>
      </c>
      <c r="O79">
        <v>10</v>
      </c>
      <c r="P79">
        <v>8</v>
      </c>
      <c r="Q79">
        <v>17</v>
      </c>
      <c r="R79">
        <v>7</v>
      </c>
    </row>
    <row r="80" spans="1:18">
      <c r="A80" t="s">
        <v>562</v>
      </c>
      <c r="B80" t="s">
        <v>175</v>
      </c>
      <c r="C80" s="35" t="s">
        <v>189</v>
      </c>
      <c r="D80">
        <v>4</v>
      </c>
      <c r="E80">
        <v>6</v>
      </c>
      <c r="F80">
        <v>26</v>
      </c>
      <c r="G80">
        <v>18</v>
      </c>
      <c r="H80">
        <v>11</v>
      </c>
      <c r="I80">
        <v>7</v>
      </c>
      <c r="J80">
        <v>14</v>
      </c>
      <c r="K80">
        <v>17</v>
      </c>
      <c r="L80">
        <v>13</v>
      </c>
      <c r="M80">
        <v>17</v>
      </c>
      <c r="N80">
        <v>10</v>
      </c>
      <c r="O80">
        <v>17</v>
      </c>
      <c r="P80">
        <v>7</v>
      </c>
      <c r="Q80">
        <v>7</v>
      </c>
      <c r="R80">
        <v>8</v>
      </c>
    </row>
    <row r="81" spans="1:18">
      <c r="A81" t="s">
        <v>563</v>
      </c>
      <c r="B81" t="s">
        <v>175</v>
      </c>
      <c r="C81" t="s">
        <v>172</v>
      </c>
      <c r="D81">
        <v>2</v>
      </c>
      <c r="E81">
        <v>2</v>
      </c>
      <c r="F81">
        <v>15</v>
      </c>
      <c r="G81">
        <v>9</v>
      </c>
      <c r="H81">
        <v>5</v>
      </c>
      <c r="I81">
        <v>4</v>
      </c>
      <c r="J81">
        <v>9</v>
      </c>
      <c r="K81">
        <v>12</v>
      </c>
      <c r="L81">
        <v>8</v>
      </c>
      <c r="M81">
        <v>7</v>
      </c>
      <c r="N81">
        <v>6</v>
      </c>
      <c r="O81">
        <v>12</v>
      </c>
      <c r="P81">
        <v>7</v>
      </c>
      <c r="Q81">
        <v>4</v>
      </c>
      <c r="R81">
        <v>8</v>
      </c>
    </row>
    <row r="82" spans="1:18">
      <c r="A82" t="s">
        <v>564</v>
      </c>
      <c r="B82" t="s">
        <v>175</v>
      </c>
      <c r="C82" t="s">
        <v>30</v>
      </c>
      <c r="D82">
        <v>2</v>
      </c>
      <c r="E82">
        <v>4</v>
      </c>
      <c r="F82">
        <v>11</v>
      </c>
      <c r="G82">
        <v>9</v>
      </c>
      <c r="H82">
        <v>6</v>
      </c>
      <c r="I82">
        <v>3</v>
      </c>
      <c r="J82">
        <v>5</v>
      </c>
      <c r="K82">
        <v>5</v>
      </c>
      <c r="L82">
        <v>5</v>
      </c>
      <c r="M82">
        <v>10</v>
      </c>
      <c r="N82">
        <v>4</v>
      </c>
      <c r="O82">
        <v>5</v>
      </c>
      <c r="P82">
        <v>0</v>
      </c>
      <c r="Q82">
        <v>3</v>
      </c>
      <c r="R82">
        <v>0</v>
      </c>
    </row>
    <row r="83" spans="1:18">
      <c r="A83" t="s">
        <v>565</v>
      </c>
      <c r="B83" t="s">
        <v>175</v>
      </c>
      <c r="C83" t="s">
        <v>177</v>
      </c>
      <c r="D83">
        <v>58</v>
      </c>
      <c r="E83">
        <v>39</v>
      </c>
      <c r="F83">
        <v>43</v>
      </c>
      <c r="G83">
        <v>65</v>
      </c>
      <c r="H83">
        <v>57</v>
      </c>
      <c r="I83">
        <v>84</v>
      </c>
      <c r="J83">
        <v>77</v>
      </c>
      <c r="K83">
        <v>248</v>
      </c>
      <c r="L83">
        <v>240</v>
      </c>
      <c r="M83">
        <v>163</v>
      </c>
      <c r="N83">
        <v>211</v>
      </c>
      <c r="O83">
        <v>239</v>
      </c>
      <c r="P83">
        <v>463</v>
      </c>
      <c r="Q83">
        <v>463</v>
      </c>
      <c r="R83">
        <v>466</v>
      </c>
    </row>
    <row r="84" spans="1:18">
      <c r="A84" t="s">
        <v>566</v>
      </c>
      <c r="B84" t="s">
        <v>175</v>
      </c>
      <c r="C84" t="s">
        <v>178</v>
      </c>
      <c r="D84">
        <v>58</v>
      </c>
      <c r="E84">
        <v>39</v>
      </c>
      <c r="F84">
        <v>43</v>
      </c>
      <c r="G84">
        <v>62</v>
      </c>
      <c r="H84">
        <v>49</v>
      </c>
      <c r="I84">
        <v>83</v>
      </c>
      <c r="J84">
        <v>74</v>
      </c>
      <c r="K84">
        <v>229</v>
      </c>
      <c r="L84">
        <v>236</v>
      </c>
      <c r="M84">
        <v>162</v>
      </c>
      <c r="N84">
        <v>211</v>
      </c>
      <c r="O84">
        <v>236</v>
      </c>
      <c r="P84">
        <v>453</v>
      </c>
      <c r="Q84">
        <v>453</v>
      </c>
      <c r="R84">
        <v>451</v>
      </c>
    </row>
    <row r="85" spans="1:18">
      <c r="A85" t="s">
        <v>567</v>
      </c>
      <c r="B85" t="s">
        <v>176</v>
      </c>
      <c r="C85" t="s">
        <v>32</v>
      </c>
      <c r="D85">
        <v>0</v>
      </c>
      <c r="E85">
        <v>3</v>
      </c>
      <c r="F85">
        <v>5</v>
      </c>
      <c r="G85">
        <v>6</v>
      </c>
      <c r="H85">
        <v>26</v>
      </c>
      <c r="I85">
        <v>6</v>
      </c>
      <c r="J85">
        <v>3</v>
      </c>
      <c r="K85">
        <v>8</v>
      </c>
      <c r="L85">
        <v>11</v>
      </c>
      <c r="M85">
        <v>24</v>
      </c>
      <c r="N85">
        <v>5</v>
      </c>
      <c r="O85">
        <v>10</v>
      </c>
      <c r="P85">
        <v>10</v>
      </c>
      <c r="Q85">
        <v>16</v>
      </c>
      <c r="R85">
        <v>11</v>
      </c>
    </row>
    <row r="86" spans="1:18">
      <c r="A86" t="s">
        <v>568</v>
      </c>
      <c r="B86" t="s">
        <v>176</v>
      </c>
      <c r="C86" s="4" t="s">
        <v>34</v>
      </c>
      <c r="D86">
        <v>0</v>
      </c>
      <c r="E86">
        <v>1</v>
      </c>
      <c r="F86">
        <v>1</v>
      </c>
      <c r="G86">
        <v>5</v>
      </c>
      <c r="H86">
        <v>6</v>
      </c>
      <c r="I86">
        <v>4</v>
      </c>
      <c r="J86">
        <v>2</v>
      </c>
      <c r="K86">
        <v>4</v>
      </c>
      <c r="L86">
        <v>6</v>
      </c>
      <c r="M86">
        <v>21</v>
      </c>
      <c r="N86">
        <v>5</v>
      </c>
      <c r="O86">
        <v>7</v>
      </c>
      <c r="P86">
        <v>10</v>
      </c>
      <c r="Q86">
        <v>13</v>
      </c>
      <c r="R86">
        <v>11</v>
      </c>
    </row>
    <row r="87" spans="1:18">
      <c r="A87" t="s">
        <v>569</v>
      </c>
      <c r="B87" t="s">
        <v>176</v>
      </c>
      <c r="C87" t="s">
        <v>169</v>
      </c>
      <c r="D87">
        <v>0</v>
      </c>
      <c r="E87">
        <v>2</v>
      </c>
      <c r="F87">
        <v>4</v>
      </c>
      <c r="G87">
        <v>1</v>
      </c>
      <c r="H87">
        <v>20</v>
      </c>
      <c r="I87">
        <v>2</v>
      </c>
      <c r="J87">
        <v>1</v>
      </c>
      <c r="K87">
        <v>4</v>
      </c>
      <c r="L87">
        <v>5</v>
      </c>
      <c r="M87">
        <v>3</v>
      </c>
      <c r="N87">
        <v>0</v>
      </c>
      <c r="O87">
        <v>3</v>
      </c>
      <c r="P87">
        <v>0</v>
      </c>
      <c r="Q87">
        <v>3</v>
      </c>
      <c r="R87">
        <v>0</v>
      </c>
    </row>
    <row r="88" spans="1:18">
      <c r="A88" t="s">
        <v>570</v>
      </c>
      <c r="B88" t="s">
        <v>176</v>
      </c>
      <c r="C88" t="s">
        <v>170</v>
      </c>
      <c r="D88">
        <v>58</v>
      </c>
      <c r="E88">
        <v>39</v>
      </c>
      <c r="F88">
        <v>43</v>
      </c>
      <c r="G88">
        <v>62</v>
      </c>
      <c r="H88">
        <v>49</v>
      </c>
      <c r="I88">
        <v>83</v>
      </c>
      <c r="J88">
        <v>74</v>
      </c>
      <c r="K88">
        <v>229</v>
      </c>
      <c r="L88">
        <v>236</v>
      </c>
      <c r="M88">
        <v>162</v>
      </c>
      <c r="N88">
        <v>211</v>
      </c>
      <c r="O88">
        <v>236</v>
      </c>
      <c r="P88">
        <v>453</v>
      </c>
      <c r="Q88">
        <v>453</v>
      </c>
      <c r="R88">
        <v>451</v>
      </c>
    </row>
    <row r="89" spans="1:18">
      <c r="A89" t="s">
        <v>571</v>
      </c>
      <c r="B89" t="s">
        <v>176</v>
      </c>
      <c r="C89" t="s">
        <v>171</v>
      </c>
      <c r="D89">
        <v>58</v>
      </c>
      <c r="E89">
        <v>39</v>
      </c>
      <c r="F89">
        <v>43</v>
      </c>
      <c r="G89">
        <v>65</v>
      </c>
      <c r="H89">
        <v>57</v>
      </c>
      <c r="I89">
        <v>84</v>
      </c>
      <c r="J89">
        <v>77</v>
      </c>
      <c r="K89">
        <v>248</v>
      </c>
      <c r="L89">
        <v>240</v>
      </c>
      <c r="M89">
        <v>163</v>
      </c>
      <c r="N89">
        <v>211</v>
      </c>
      <c r="O89">
        <v>239</v>
      </c>
      <c r="P89">
        <v>463</v>
      </c>
      <c r="Q89">
        <v>463</v>
      </c>
      <c r="R89">
        <v>466</v>
      </c>
    </row>
    <row r="90" spans="1:18">
      <c r="A90" t="s">
        <v>572</v>
      </c>
      <c r="B90" t="s">
        <v>176</v>
      </c>
      <c r="C90" t="s">
        <v>148</v>
      </c>
      <c r="D90">
        <v>0</v>
      </c>
      <c r="E90">
        <v>31</v>
      </c>
      <c r="F90">
        <v>30</v>
      </c>
      <c r="G90">
        <v>4</v>
      </c>
      <c r="H90">
        <v>23</v>
      </c>
      <c r="I90">
        <v>2</v>
      </c>
      <c r="J90">
        <v>11</v>
      </c>
      <c r="K90">
        <v>7</v>
      </c>
      <c r="L90">
        <v>14</v>
      </c>
      <c r="M90">
        <v>7</v>
      </c>
      <c r="N90">
        <v>3</v>
      </c>
      <c r="O90">
        <v>5</v>
      </c>
      <c r="P90">
        <v>3</v>
      </c>
      <c r="Q90">
        <v>3</v>
      </c>
      <c r="R90">
        <v>4</v>
      </c>
    </row>
    <row r="91" spans="1:18">
      <c r="A91" t="s">
        <v>573</v>
      </c>
      <c r="B91" t="s">
        <v>176</v>
      </c>
      <c r="C91" t="s">
        <v>184</v>
      </c>
      <c r="D91">
        <v>0</v>
      </c>
      <c r="E91">
        <v>47</v>
      </c>
      <c r="F91">
        <v>53</v>
      </c>
      <c r="G91">
        <v>22</v>
      </c>
      <c r="H91">
        <v>30</v>
      </c>
      <c r="I91">
        <v>56</v>
      </c>
      <c r="J91">
        <v>51</v>
      </c>
      <c r="K91">
        <v>48</v>
      </c>
      <c r="L91">
        <v>40</v>
      </c>
      <c r="M91">
        <v>27</v>
      </c>
      <c r="N91">
        <v>18</v>
      </c>
      <c r="O91">
        <v>53</v>
      </c>
      <c r="P91">
        <v>8</v>
      </c>
      <c r="Q91">
        <v>31</v>
      </c>
      <c r="R91">
        <v>11</v>
      </c>
    </row>
    <row r="92" spans="1:18">
      <c r="A92" t="s">
        <v>574</v>
      </c>
      <c r="B92" t="s">
        <v>176</v>
      </c>
      <c r="C92" s="4" t="s">
        <v>188</v>
      </c>
      <c r="D92">
        <v>0</v>
      </c>
      <c r="E92">
        <v>1</v>
      </c>
      <c r="F92">
        <v>3</v>
      </c>
      <c r="G92">
        <v>1</v>
      </c>
      <c r="H92">
        <v>18</v>
      </c>
      <c r="I92">
        <v>1</v>
      </c>
      <c r="J92">
        <v>0</v>
      </c>
      <c r="K92">
        <v>0</v>
      </c>
      <c r="L92">
        <v>2</v>
      </c>
      <c r="M92">
        <v>2</v>
      </c>
      <c r="N92">
        <v>0</v>
      </c>
      <c r="O92">
        <v>1</v>
      </c>
      <c r="P92">
        <v>0</v>
      </c>
      <c r="Q92">
        <v>2</v>
      </c>
      <c r="R92">
        <v>0</v>
      </c>
    </row>
    <row r="93" spans="1:18">
      <c r="A93" t="s">
        <v>575</v>
      </c>
      <c r="B93" t="s">
        <v>179</v>
      </c>
      <c r="C93" s="35" t="s">
        <v>189</v>
      </c>
      <c r="D93">
        <v>0</v>
      </c>
      <c r="E93">
        <v>1</v>
      </c>
      <c r="F93">
        <v>1</v>
      </c>
      <c r="G93">
        <v>0</v>
      </c>
      <c r="H93">
        <v>2</v>
      </c>
      <c r="I93">
        <v>1</v>
      </c>
      <c r="J93">
        <v>1</v>
      </c>
      <c r="K93">
        <v>4</v>
      </c>
      <c r="L93">
        <v>3</v>
      </c>
      <c r="M93">
        <v>1</v>
      </c>
      <c r="N93">
        <v>0</v>
      </c>
      <c r="O93">
        <v>2</v>
      </c>
      <c r="P93">
        <v>0</v>
      </c>
      <c r="Q93">
        <v>1</v>
      </c>
      <c r="R93">
        <v>0</v>
      </c>
    </row>
    <row r="94" spans="1:18">
      <c r="A94" t="s">
        <v>576</v>
      </c>
      <c r="B94" t="s">
        <v>176</v>
      </c>
      <c r="C94" t="s">
        <v>172</v>
      </c>
      <c r="D94">
        <v>0</v>
      </c>
      <c r="E94">
        <v>1</v>
      </c>
      <c r="F94">
        <v>0</v>
      </c>
      <c r="G94">
        <v>0</v>
      </c>
      <c r="H94">
        <v>2</v>
      </c>
      <c r="I94">
        <v>0</v>
      </c>
      <c r="J94">
        <v>1</v>
      </c>
      <c r="K94">
        <v>4</v>
      </c>
      <c r="L94">
        <v>3</v>
      </c>
      <c r="M94">
        <v>0</v>
      </c>
      <c r="N94">
        <v>0</v>
      </c>
      <c r="O94">
        <v>0</v>
      </c>
      <c r="P94">
        <v>0</v>
      </c>
      <c r="Q94">
        <v>0</v>
      </c>
      <c r="R94">
        <v>0</v>
      </c>
    </row>
    <row r="95" spans="1:18">
      <c r="A95" t="s">
        <v>577</v>
      </c>
      <c r="B95" t="s">
        <v>176</v>
      </c>
      <c r="C95" t="s">
        <v>30</v>
      </c>
      <c r="D95">
        <v>0</v>
      </c>
      <c r="E95">
        <v>0</v>
      </c>
      <c r="F95">
        <v>1</v>
      </c>
      <c r="G95">
        <v>0</v>
      </c>
      <c r="H95">
        <v>0</v>
      </c>
      <c r="I95">
        <v>1</v>
      </c>
      <c r="J95">
        <v>0</v>
      </c>
      <c r="K95">
        <v>0</v>
      </c>
      <c r="L95">
        <v>0</v>
      </c>
      <c r="M95">
        <v>1</v>
      </c>
      <c r="N95">
        <v>0</v>
      </c>
      <c r="O95">
        <v>2</v>
      </c>
      <c r="P95">
        <v>0</v>
      </c>
      <c r="Q95">
        <v>1</v>
      </c>
      <c r="R95">
        <v>0</v>
      </c>
    </row>
    <row r="96" spans="1:18">
      <c r="A96" t="s">
        <v>578</v>
      </c>
      <c r="B96" t="s">
        <v>176</v>
      </c>
      <c r="C96" t="s">
        <v>177</v>
      </c>
      <c r="D96">
        <v>2</v>
      </c>
      <c r="E96">
        <v>0</v>
      </c>
      <c r="F96">
        <v>0</v>
      </c>
      <c r="G96">
        <v>14</v>
      </c>
      <c r="H96">
        <v>6</v>
      </c>
      <c r="I96">
        <v>1</v>
      </c>
      <c r="J96">
        <v>27</v>
      </c>
      <c r="K96">
        <v>5</v>
      </c>
      <c r="L96">
        <v>21</v>
      </c>
      <c r="M96">
        <v>10</v>
      </c>
      <c r="N96">
        <v>9</v>
      </c>
      <c r="O96">
        <v>19</v>
      </c>
      <c r="P96">
        <v>30</v>
      </c>
      <c r="Q96">
        <v>30</v>
      </c>
      <c r="R96">
        <v>43</v>
      </c>
    </row>
    <row r="97" spans="1:18">
      <c r="A97" t="s">
        <v>579</v>
      </c>
      <c r="B97" t="s">
        <v>176</v>
      </c>
      <c r="C97" t="s">
        <v>178</v>
      </c>
      <c r="D97">
        <v>2</v>
      </c>
      <c r="E97">
        <v>0</v>
      </c>
      <c r="F97">
        <v>0</v>
      </c>
      <c r="G97">
        <v>14</v>
      </c>
      <c r="H97">
        <v>2</v>
      </c>
      <c r="I97">
        <v>0</v>
      </c>
      <c r="J97">
        <v>26</v>
      </c>
      <c r="K97">
        <v>5</v>
      </c>
      <c r="L97">
        <v>21</v>
      </c>
      <c r="M97">
        <v>10</v>
      </c>
      <c r="N97">
        <v>9</v>
      </c>
      <c r="O97">
        <v>19</v>
      </c>
      <c r="P97">
        <v>29</v>
      </c>
      <c r="Q97">
        <v>29</v>
      </c>
      <c r="R97">
        <v>43</v>
      </c>
    </row>
    <row r="98" spans="1:18">
      <c r="A98" t="s">
        <v>580</v>
      </c>
      <c r="B98" t="s">
        <v>173</v>
      </c>
      <c r="C98" t="s">
        <v>32</v>
      </c>
      <c r="D98">
        <v>33</v>
      </c>
      <c r="E98">
        <v>57</v>
      </c>
      <c r="F98">
        <v>97</v>
      </c>
      <c r="G98">
        <v>185</v>
      </c>
      <c r="H98">
        <v>171</v>
      </c>
      <c r="I98">
        <v>214</v>
      </c>
      <c r="J98">
        <v>166</v>
      </c>
      <c r="K98">
        <v>229</v>
      </c>
      <c r="L98">
        <v>205</v>
      </c>
      <c r="M98">
        <v>246</v>
      </c>
      <c r="N98">
        <v>196</v>
      </c>
      <c r="O98">
        <v>173</v>
      </c>
      <c r="P98">
        <v>184</v>
      </c>
      <c r="Q98">
        <v>202</v>
      </c>
      <c r="R98">
        <v>213</v>
      </c>
    </row>
    <row r="99" spans="1:18">
      <c r="A99" t="s">
        <v>581</v>
      </c>
      <c r="B99" t="s">
        <v>173</v>
      </c>
      <c r="C99" s="4" t="s">
        <v>34</v>
      </c>
      <c r="D99">
        <v>30</v>
      </c>
      <c r="E99">
        <v>41</v>
      </c>
      <c r="F99">
        <v>56</v>
      </c>
      <c r="G99">
        <v>90</v>
      </c>
      <c r="H99">
        <v>82</v>
      </c>
      <c r="I99">
        <v>134</v>
      </c>
      <c r="J99">
        <v>95</v>
      </c>
      <c r="K99">
        <v>144</v>
      </c>
      <c r="L99">
        <v>168</v>
      </c>
      <c r="M99">
        <v>200</v>
      </c>
      <c r="N99">
        <v>128</v>
      </c>
      <c r="O99">
        <v>129</v>
      </c>
      <c r="P99">
        <v>132</v>
      </c>
      <c r="Q99">
        <v>163</v>
      </c>
      <c r="R99">
        <v>185</v>
      </c>
    </row>
    <row r="100" spans="1:18">
      <c r="A100" t="s">
        <v>582</v>
      </c>
      <c r="B100" t="s">
        <v>173</v>
      </c>
      <c r="C100" t="s">
        <v>169</v>
      </c>
      <c r="D100">
        <v>3</v>
      </c>
      <c r="E100">
        <v>16</v>
      </c>
      <c r="F100">
        <v>41</v>
      </c>
      <c r="G100">
        <v>95</v>
      </c>
      <c r="H100">
        <v>89</v>
      </c>
      <c r="I100">
        <v>80</v>
      </c>
      <c r="J100">
        <v>71</v>
      </c>
      <c r="K100">
        <v>85</v>
      </c>
      <c r="L100">
        <v>37</v>
      </c>
      <c r="M100">
        <v>46</v>
      </c>
      <c r="N100">
        <v>68</v>
      </c>
      <c r="O100">
        <v>44</v>
      </c>
      <c r="P100">
        <v>52</v>
      </c>
      <c r="Q100">
        <v>39</v>
      </c>
      <c r="R100">
        <v>28</v>
      </c>
    </row>
    <row r="101" spans="1:18">
      <c r="A101" t="s">
        <v>583</v>
      </c>
      <c r="B101" t="s">
        <v>173</v>
      </c>
      <c r="C101" t="s">
        <v>486</v>
      </c>
      <c r="D101">
        <v>12</v>
      </c>
      <c r="E101">
        <v>16</v>
      </c>
      <c r="F101">
        <v>18</v>
      </c>
      <c r="G101">
        <v>5</v>
      </c>
      <c r="H101">
        <v>4</v>
      </c>
      <c r="I101">
        <v>5</v>
      </c>
      <c r="J101">
        <v>4</v>
      </c>
      <c r="K101">
        <v>4</v>
      </c>
      <c r="L101">
        <v>4</v>
      </c>
      <c r="M101">
        <v>4</v>
      </c>
      <c r="N101">
        <v>5</v>
      </c>
      <c r="O101">
        <v>7</v>
      </c>
      <c r="P101">
        <v>7</v>
      </c>
      <c r="Q101">
        <v>7</v>
      </c>
      <c r="R101">
        <v>5</v>
      </c>
    </row>
    <row r="102" spans="1:18">
      <c r="A102" t="s">
        <v>584</v>
      </c>
      <c r="B102" t="s">
        <v>173</v>
      </c>
      <c r="C102" t="s">
        <v>488</v>
      </c>
      <c r="D102">
        <v>56</v>
      </c>
      <c r="E102">
        <v>63</v>
      </c>
      <c r="F102">
        <v>62</v>
      </c>
      <c r="G102">
        <v>60</v>
      </c>
      <c r="H102">
        <v>56</v>
      </c>
      <c r="I102">
        <v>53</v>
      </c>
      <c r="J102">
        <v>52</v>
      </c>
      <c r="K102">
        <v>50</v>
      </c>
      <c r="L102">
        <v>50</v>
      </c>
      <c r="M102">
        <v>51</v>
      </c>
      <c r="N102">
        <v>53</v>
      </c>
      <c r="O102">
        <v>31</v>
      </c>
      <c r="P102">
        <v>27</v>
      </c>
      <c r="Q102">
        <v>25</v>
      </c>
      <c r="R102">
        <v>21</v>
      </c>
    </row>
    <row r="103" spans="1:18">
      <c r="A103" t="s">
        <v>585</v>
      </c>
      <c r="B103" t="s">
        <v>173</v>
      </c>
      <c r="C103" t="s">
        <v>148</v>
      </c>
      <c r="D103">
        <v>1</v>
      </c>
      <c r="E103">
        <v>11</v>
      </c>
      <c r="F103">
        <v>17</v>
      </c>
      <c r="G103">
        <v>24</v>
      </c>
      <c r="H103">
        <v>22</v>
      </c>
      <c r="I103">
        <v>3</v>
      </c>
      <c r="J103">
        <v>4</v>
      </c>
      <c r="K103">
        <v>6</v>
      </c>
      <c r="L103">
        <v>2</v>
      </c>
      <c r="M103">
        <v>4</v>
      </c>
      <c r="N103">
        <v>8</v>
      </c>
      <c r="O103">
        <v>3</v>
      </c>
      <c r="P103">
        <v>6</v>
      </c>
      <c r="Q103">
        <v>9</v>
      </c>
      <c r="R103">
        <v>5</v>
      </c>
    </row>
    <row r="104" spans="1:18">
      <c r="A104" t="s">
        <v>586</v>
      </c>
      <c r="B104" t="s">
        <v>173</v>
      </c>
      <c r="C104" t="s">
        <v>184</v>
      </c>
      <c r="D104">
        <v>15</v>
      </c>
      <c r="E104">
        <v>47</v>
      </c>
      <c r="F104">
        <v>65</v>
      </c>
      <c r="G104">
        <v>64</v>
      </c>
      <c r="H104">
        <v>58</v>
      </c>
      <c r="I104">
        <v>55</v>
      </c>
      <c r="J104">
        <v>53</v>
      </c>
      <c r="K104">
        <v>52</v>
      </c>
      <c r="L104">
        <v>47</v>
      </c>
      <c r="M104">
        <v>50</v>
      </c>
      <c r="N104">
        <v>54</v>
      </c>
      <c r="O104">
        <v>52</v>
      </c>
      <c r="P104">
        <v>31</v>
      </c>
      <c r="Q104">
        <v>30</v>
      </c>
      <c r="R104">
        <v>21</v>
      </c>
    </row>
    <row r="105" spans="1:18">
      <c r="A105" t="s">
        <v>587</v>
      </c>
      <c r="B105" t="s">
        <v>173</v>
      </c>
      <c r="C105" s="4" t="s">
        <v>188</v>
      </c>
      <c r="D105">
        <v>1</v>
      </c>
      <c r="E105">
        <v>5</v>
      </c>
      <c r="F105">
        <v>15</v>
      </c>
      <c r="G105">
        <v>17</v>
      </c>
      <c r="H105">
        <v>34</v>
      </c>
      <c r="I105">
        <v>24</v>
      </c>
      <c r="J105">
        <v>20</v>
      </c>
      <c r="K105">
        <v>15</v>
      </c>
      <c r="L105">
        <v>0</v>
      </c>
      <c r="M105">
        <v>4</v>
      </c>
      <c r="N105">
        <v>13</v>
      </c>
      <c r="O105">
        <v>25</v>
      </c>
      <c r="P105">
        <v>36</v>
      </c>
      <c r="Q105">
        <v>34</v>
      </c>
      <c r="R105">
        <v>24</v>
      </c>
    </row>
    <row r="106" spans="1:18">
      <c r="A106" t="s">
        <v>588</v>
      </c>
      <c r="B106" t="s">
        <v>173</v>
      </c>
      <c r="C106" s="35" t="s">
        <v>189</v>
      </c>
      <c r="D106">
        <v>2</v>
      </c>
      <c r="E106">
        <v>11</v>
      </c>
      <c r="F106">
        <v>26</v>
      </c>
      <c r="G106">
        <v>78</v>
      </c>
      <c r="H106">
        <v>55</v>
      </c>
      <c r="I106">
        <v>56</v>
      </c>
      <c r="J106">
        <v>51</v>
      </c>
      <c r="K106">
        <v>70</v>
      </c>
      <c r="L106">
        <v>37</v>
      </c>
      <c r="M106">
        <v>42</v>
      </c>
      <c r="N106">
        <v>55</v>
      </c>
      <c r="O106">
        <v>19</v>
      </c>
      <c r="P106">
        <v>16</v>
      </c>
      <c r="Q106">
        <v>5</v>
      </c>
      <c r="R106">
        <v>4</v>
      </c>
    </row>
    <row r="107" spans="1:18">
      <c r="A107" t="s">
        <v>589</v>
      </c>
      <c r="B107" t="s">
        <v>173</v>
      </c>
      <c r="C107" t="s">
        <v>172</v>
      </c>
      <c r="D107">
        <v>0</v>
      </c>
      <c r="E107">
        <v>6</v>
      </c>
      <c r="F107">
        <v>9</v>
      </c>
      <c r="G107">
        <v>24</v>
      </c>
      <c r="H107">
        <v>17</v>
      </c>
      <c r="I107">
        <v>17</v>
      </c>
      <c r="J107">
        <v>28</v>
      </c>
      <c r="K107">
        <v>59</v>
      </c>
      <c r="L107">
        <v>27</v>
      </c>
      <c r="M107">
        <v>31</v>
      </c>
      <c r="N107">
        <v>32</v>
      </c>
      <c r="O107">
        <v>2</v>
      </c>
      <c r="P107">
        <v>0</v>
      </c>
      <c r="Q107">
        <v>1</v>
      </c>
      <c r="R107">
        <v>4</v>
      </c>
    </row>
    <row r="108" spans="1:18">
      <c r="A108" t="s">
        <v>590</v>
      </c>
      <c r="B108" t="s">
        <v>173</v>
      </c>
      <c r="C108" t="s">
        <v>30</v>
      </c>
      <c r="D108">
        <v>2</v>
      </c>
      <c r="E108">
        <v>5</v>
      </c>
      <c r="F108">
        <v>17</v>
      </c>
      <c r="G108">
        <v>54</v>
      </c>
      <c r="H108">
        <v>38</v>
      </c>
      <c r="I108">
        <v>39</v>
      </c>
      <c r="J108">
        <v>23</v>
      </c>
      <c r="K108">
        <v>11</v>
      </c>
      <c r="L108">
        <v>10</v>
      </c>
      <c r="M108">
        <v>11</v>
      </c>
      <c r="N108">
        <v>23</v>
      </c>
      <c r="O108">
        <v>17</v>
      </c>
      <c r="P108">
        <v>16</v>
      </c>
      <c r="Q108">
        <v>4</v>
      </c>
      <c r="R108">
        <v>0</v>
      </c>
    </row>
    <row r="109" spans="1:18">
      <c r="A109" t="s">
        <v>591</v>
      </c>
      <c r="B109" t="s">
        <v>174</v>
      </c>
      <c r="C109" t="s">
        <v>32</v>
      </c>
      <c r="D109">
        <v>2</v>
      </c>
      <c r="E109">
        <v>4</v>
      </c>
      <c r="F109">
        <v>17</v>
      </c>
      <c r="G109">
        <v>11</v>
      </c>
      <c r="H109">
        <v>14</v>
      </c>
      <c r="I109">
        <v>17</v>
      </c>
      <c r="J109">
        <v>12</v>
      </c>
      <c r="K109">
        <v>30</v>
      </c>
      <c r="L109">
        <v>24</v>
      </c>
      <c r="M109">
        <v>18</v>
      </c>
      <c r="N109">
        <v>13</v>
      </c>
      <c r="O109">
        <v>24</v>
      </c>
      <c r="P109">
        <v>15</v>
      </c>
      <c r="Q109">
        <v>27</v>
      </c>
      <c r="R109">
        <v>25</v>
      </c>
    </row>
    <row r="110" spans="1:18">
      <c r="A110" t="s">
        <v>592</v>
      </c>
      <c r="B110" t="s">
        <v>174</v>
      </c>
      <c r="C110" s="4" t="s">
        <v>34</v>
      </c>
      <c r="D110">
        <v>2</v>
      </c>
      <c r="E110">
        <v>3</v>
      </c>
      <c r="F110">
        <v>7</v>
      </c>
      <c r="G110">
        <v>5</v>
      </c>
      <c r="H110">
        <v>3</v>
      </c>
      <c r="I110">
        <v>10</v>
      </c>
      <c r="J110">
        <v>5</v>
      </c>
      <c r="K110">
        <v>21</v>
      </c>
      <c r="L110">
        <v>22</v>
      </c>
      <c r="M110">
        <v>18</v>
      </c>
      <c r="N110">
        <v>13</v>
      </c>
      <c r="O110">
        <v>21</v>
      </c>
      <c r="P110">
        <v>14</v>
      </c>
      <c r="Q110">
        <v>20</v>
      </c>
      <c r="R110">
        <v>23</v>
      </c>
    </row>
    <row r="111" spans="1:18">
      <c r="A111" t="s">
        <v>593</v>
      </c>
      <c r="B111" t="s">
        <v>174</v>
      </c>
      <c r="C111" t="s">
        <v>169</v>
      </c>
      <c r="D111">
        <v>0</v>
      </c>
      <c r="E111">
        <v>1</v>
      </c>
      <c r="F111">
        <v>10</v>
      </c>
      <c r="G111">
        <v>6</v>
      </c>
      <c r="H111">
        <v>11</v>
      </c>
      <c r="I111">
        <v>7</v>
      </c>
      <c r="J111">
        <v>7</v>
      </c>
      <c r="K111">
        <v>9</v>
      </c>
      <c r="L111">
        <v>2</v>
      </c>
      <c r="M111">
        <v>0</v>
      </c>
      <c r="N111">
        <v>0</v>
      </c>
      <c r="O111">
        <v>3</v>
      </c>
      <c r="P111">
        <v>1</v>
      </c>
      <c r="Q111">
        <v>7</v>
      </c>
      <c r="R111">
        <v>2</v>
      </c>
    </row>
    <row r="112" spans="1:18">
      <c r="A112" t="s">
        <v>594</v>
      </c>
      <c r="B112" t="s">
        <v>174</v>
      </c>
      <c r="C112" t="s">
        <v>486</v>
      </c>
      <c r="D112">
        <v>18</v>
      </c>
      <c r="E112">
        <v>19</v>
      </c>
      <c r="F112">
        <v>24</v>
      </c>
      <c r="G112">
        <v>24</v>
      </c>
      <c r="H112">
        <v>26</v>
      </c>
      <c r="I112">
        <v>5</v>
      </c>
      <c r="J112">
        <v>5</v>
      </c>
      <c r="K112">
        <v>4</v>
      </c>
      <c r="L112">
        <v>4</v>
      </c>
      <c r="M112">
        <v>5</v>
      </c>
      <c r="N112">
        <v>6</v>
      </c>
      <c r="O112">
        <v>8</v>
      </c>
      <c r="P112">
        <v>10</v>
      </c>
      <c r="Q112">
        <v>10</v>
      </c>
      <c r="R112">
        <v>9</v>
      </c>
    </row>
    <row r="113" spans="1:18">
      <c r="A113" t="s">
        <v>595</v>
      </c>
      <c r="B113" t="s">
        <v>174</v>
      </c>
      <c r="C113" t="s">
        <v>488</v>
      </c>
      <c r="D113">
        <v>28</v>
      </c>
      <c r="E113">
        <v>28</v>
      </c>
      <c r="F113">
        <v>29</v>
      </c>
      <c r="G113">
        <v>31</v>
      </c>
      <c r="H113">
        <v>33</v>
      </c>
      <c r="I113">
        <v>37</v>
      </c>
      <c r="J113">
        <v>37</v>
      </c>
      <c r="K113">
        <v>36</v>
      </c>
      <c r="L113">
        <v>16</v>
      </c>
      <c r="M113">
        <v>16</v>
      </c>
      <c r="N113">
        <v>18</v>
      </c>
      <c r="O113">
        <v>21</v>
      </c>
      <c r="P113">
        <v>21</v>
      </c>
      <c r="Q113">
        <v>21</v>
      </c>
      <c r="R113">
        <v>18</v>
      </c>
    </row>
    <row r="114" spans="1:18">
      <c r="A114" t="s">
        <v>596</v>
      </c>
      <c r="B114" t="s">
        <v>174</v>
      </c>
      <c r="C114" t="s">
        <v>148</v>
      </c>
      <c r="D114">
        <v>5</v>
      </c>
      <c r="E114">
        <v>11</v>
      </c>
      <c r="F114">
        <v>23</v>
      </c>
      <c r="G114">
        <v>20</v>
      </c>
      <c r="H114">
        <v>26</v>
      </c>
      <c r="I114">
        <v>3</v>
      </c>
      <c r="J114">
        <v>30</v>
      </c>
      <c r="K114">
        <v>5</v>
      </c>
      <c r="L114">
        <v>3</v>
      </c>
      <c r="M114">
        <v>4</v>
      </c>
      <c r="N114">
        <v>7</v>
      </c>
      <c r="O114">
        <v>5</v>
      </c>
      <c r="P114">
        <v>7</v>
      </c>
      <c r="Q114">
        <v>13</v>
      </c>
      <c r="R114">
        <v>9</v>
      </c>
    </row>
    <row r="115" spans="1:18">
      <c r="A115" t="s">
        <v>597</v>
      </c>
      <c r="B115" t="s">
        <v>174</v>
      </c>
      <c r="C115" t="s">
        <v>184</v>
      </c>
      <c r="D115">
        <v>6</v>
      </c>
      <c r="E115">
        <v>19</v>
      </c>
      <c r="F115">
        <v>28</v>
      </c>
      <c r="G115">
        <v>28</v>
      </c>
      <c r="H115">
        <v>30</v>
      </c>
      <c r="I115">
        <v>32</v>
      </c>
      <c r="J115">
        <v>37</v>
      </c>
      <c r="K115">
        <v>38</v>
      </c>
      <c r="L115">
        <v>17</v>
      </c>
      <c r="M115">
        <v>16</v>
      </c>
      <c r="N115">
        <v>16</v>
      </c>
      <c r="O115">
        <v>19</v>
      </c>
      <c r="P115">
        <v>18</v>
      </c>
      <c r="Q115">
        <v>22</v>
      </c>
      <c r="R115">
        <v>18</v>
      </c>
    </row>
    <row r="116" spans="1:18">
      <c r="A116" t="s">
        <v>598</v>
      </c>
      <c r="B116" t="s">
        <v>174</v>
      </c>
      <c r="C116" s="4" t="s">
        <v>188</v>
      </c>
      <c r="D116">
        <v>0</v>
      </c>
      <c r="E116">
        <v>1</v>
      </c>
      <c r="F116">
        <v>10</v>
      </c>
      <c r="G116">
        <v>6</v>
      </c>
      <c r="H116">
        <v>11</v>
      </c>
      <c r="I116">
        <v>7</v>
      </c>
      <c r="J116">
        <v>5</v>
      </c>
      <c r="K116">
        <v>3</v>
      </c>
      <c r="L116">
        <v>0</v>
      </c>
      <c r="M116">
        <v>0</v>
      </c>
      <c r="N116">
        <v>0</v>
      </c>
      <c r="O116">
        <v>3</v>
      </c>
      <c r="P116">
        <v>1</v>
      </c>
      <c r="Q116">
        <v>7</v>
      </c>
      <c r="R116">
        <v>2</v>
      </c>
    </row>
    <row r="117" spans="1:18">
      <c r="A117" t="s">
        <v>599</v>
      </c>
      <c r="B117" t="s">
        <v>174</v>
      </c>
      <c r="C117" s="35" t="s">
        <v>189</v>
      </c>
      <c r="D117">
        <v>0</v>
      </c>
      <c r="E117">
        <v>0</v>
      </c>
      <c r="F117">
        <v>0</v>
      </c>
      <c r="G117">
        <v>0</v>
      </c>
      <c r="H117">
        <v>0</v>
      </c>
      <c r="I117">
        <v>0</v>
      </c>
      <c r="J117">
        <v>2</v>
      </c>
      <c r="K117">
        <v>6</v>
      </c>
      <c r="L117">
        <v>2</v>
      </c>
      <c r="M117">
        <v>0</v>
      </c>
      <c r="N117">
        <v>0</v>
      </c>
      <c r="O117">
        <v>0</v>
      </c>
      <c r="P117">
        <v>0</v>
      </c>
      <c r="Q117">
        <v>0</v>
      </c>
      <c r="R117">
        <v>0</v>
      </c>
    </row>
    <row r="118" spans="1:18">
      <c r="A118" t="s">
        <v>600</v>
      </c>
      <c r="B118" t="s">
        <v>174</v>
      </c>
      <c r="C118" t="s">
        <v>172</v>
      </c>
      <c r="D118">
        <v>0</v>
      </c>
      <c r="E118">
        <v>0</v>
      </c>
      <c r="F118">
        <v>0</v>
      </c>
      <c r="G118">
        <v>0</v>
      </c>
      <c r="H118">
        <v>0</v>
      </c>
      <c r="I118">
        <v>0</v>
      </c>
      <c r="J118">
        <v>2</v>
      </c>
      <c r="K118">
        <v>6</v>
      </c>
      <c r="L118">
        <v>2</v>
      </c>
      <c r="M118">
        <v>0</v>
      </c>
      <c r="N118">
        <v>0</v>
      </c>
      <c r="O118">
        <v>0</v>
      </c>
      <c r="P118">
        <v>0</v>
      </c>
      <c r="Q118">
        <v>0</v>
      </c>
      <c r="R118">
        <v>0</v>
      </c>
    </row>
    <row r="119" spans="1:18">
      <c r="A119" t="s">
        <v>601</v>
      </c>
      <c r="B119" t="s">
        <v>174</v>
      </c>
      <c r="C119" t="s">
        <v>30</v>
      </c>
      <c r="D119">
        <v>0</v>
      </c>
      <c r="E119">
        <v>0</v>
      </c>
      <c r="F119">
        <v>0</v>
      </c>
      <c r="G119">
        <v>0</v>
      </c>
      <c r="H119">
        <v>0</v>
      </c>
      <c r="I119">
        <v>0</v>
      </c>
      <c r="J119">
        <v>0</v>
      </c>
      <c r="K119">
        <v>0</v>
      </c>
      <c r="L119">
        <v>0</v>
      </c>
      <c r="M119">
        <v>0</v>
      </c>
      <c r="N119">
        <v>0</v>
      </c>
      <c r="O119">
        <v>0</v>
      </c>
      <c r="P119">
        <v>0</v>
      </c>
      <c r="Q119">
        <v>0</v>
      </c>
      <c r="R119">
        <v>0</v>
      </c>
    </row>
    <row r="120" spans="1:18">
      <c r="A120" t="s">
        <v>602</v>
      </c>
      <c r="B120" t="s">
        <v>175</v>
      </c>
      <c r="C120" t="s">
        <v>32</v>
      </c>
      <c r="D120">
        <v>33</v>
      </c>
      <c r="E120">
        <v>57</v>
      </c>
      <c r="F120">
        <v>97</v>
      </c>
      <c r="G120">
        <v>185</v>
      </c>
      <c r="H120">
        <v>171</v>
      </c>
      <c r="I120">
        <v>214</v>
      </c>
      <c r="J120">
        <v>166</v>
      </c>
      <c r="K120">
        <v>229</v>
      </c>
      <c r="L120">
        <v>205</v>
      </c>
      <c r="M120">
        <v>246</v>
      </c>
      <c r="N120">
        <v>196</v>
      </c>
      <c r="O120">
        <v>173</v>
      </c>
      <c r="P120">
        <v>184</v>
      </c>
      <c r="Q120">
        <v>202</v>
      </c>
      <c r="R120">
        <v>213</v>
      </c>
    </row>
    <row r="121" spans="1:18">
      <c r="A121" t="s">
        <v>603</v>
      </c>
      <c r="B121" t="s">
        <v>175</v>
      </c>
      <c r="C121" s="4" t="s">
        <v>34</v>
      </c>
      <c r="D121">
        <v>30</v>
      </c>
      <c r="E121">
        <v>41</v>
      </c>
      <c r="F121">
        <v>56</v>
      </c>
      <c r="G121">
        <v>90</v>
      </c>
      <c r="H121">
        <v>82</v>
      </c>
      <c r="I121">
        <v>134</v>
      </c>
      <c r="J121">
        <v>95</v>
      </c>
      <c r="K121">
        <v>144</v>
      </c>
      <c r="L121">
        <v>168</v>
      </c>
      <c r="M121">
        <v>200</v>
      </c>
      <c r="N121">
        <v>128</v>
      </c>
      <c r="O121">
        <v>129</v>
      </c>
      <c r="P121">
        <v>132</v>
      </c>
      <c r="Q121">
        <v>163</v>
      </c>
      <c r="R121">
        <v>185</v>
      </c>
    </row>
    <row r="122" spans="1:18">
      <c r="A122" t="s">
        <v>604</v>
      </c>
      <c r="B122" t="s">
        <v>175</v>
      </c>
      <c r="C122" t="s">
        <v>169</v>
      </c>
      <c r="D122">
        <v>3</v>
      </c>
      <c r="E122">
        <v>16</v>
      </c>
      <c r="F122">
        <v>41</v>
      </c>
      <c r="G122">
        <v>95</v>
      </c>
      <c r="H122">
        <v>89</v>
      </c>
      <c r="I122">
        <v>80</v>
      </c>
      <c r="J122">
        <v>71</v>
      </c>
      <c r="K122">
        <v>85</v>
      </c>
      <c r="L122">
        <v>37</v>
      </c>
      <c r="M122">
        <v>46</v>
      </c>
      <c r="N122">
        <v>68</v>
      </c>
      <c r="O122">
        <v>44</v>
      </c>
      <c r="P122">
        <v>52</v>
      </c>
      <c r="Q122">
        <v>39</v>
      </c>
      <c r="R122">
        <v>28</v>
      </c>
    </row>
    <row r="123" spans="1:18">
      <c r="A123" t="s">
        <v>605</v>
      </c>
      <c r="B123" t="s">
        <v>175</v>
      </c>
      <c r="C123" t="s">
        <v>486</v>
      </c>
      <c r="D123">
        <v>12</v>
      </c>
      <c r="E123">
        <v>16</v>
      </c>
      <c r="F123">
        <v>18</v>
      </c>
      <c r="G123">
        <v>5</v>
      </c>
      <c r="H123">
        <v>4</v>
      </c>
      <c r="I123">
        <v>5</v>
      </c>
      <c r="J123">
        <v>4</v>
      </c>
      <c r="K123">
        <v>4</v>
      </c>
      <c r="L123">
        <v>4</v>
      </c>
      <c r="M123">
        <v>4</v>
      </c>
      <c r="N123">
        <v>5</v>
      </c>
      <c r="O123">
        <v>7</v>
      </c>
      <c r="P123">
        <v>7</v>
      </c>
      <c r="Q123">
        <v>7</v>
      </c>
      <c r="R123">
        <v>5</v>
      </c>
    </row>
    <row r="124" spans="1:18">
      <c r="A124" t="s">
        <v>606</v>
      </c>
      <c r="B124" t="s">
        <v>175</v>
      </c>
      <c r="C124" t="s">
        <v>488</v>
      </c>
      <c r="D124">
        <v>56</v>
      </c>
      <c r="E124">
        <v>63</v>
      </c>
      <c r="F124">
        <v>62</v>
      </c>
      <c r="G124">
        <v>60</v>
      </c>
      <c r="H124">
        <v>56</v>
      </c>
      <c r="I124">
        <v>53</v>
      </c>
      <c r="J124">
        <v>52</v>
      </c>
      <c r="K124">
        <v>50</v>
      </c>
      <c r="L124">
        <v>50</v>
      </c>
      <c r="M124">
        <v>51</v>
      </c>
      <c r="N124">
        <v>53</v>
      </c>
      <c r="O124">
        <v>31</v>
      </c>
      <c r="P124">
        <v>27</v>
      </c>
      <c r="Q124">
        <v>25</v>
      </c>
      <c r="R124">
        <v>21</v>
      </c>
    </row>
    <row r="125" spans="1:18">
      <c r="A125" t="s">
        <v>607</v>
      </c>
      <c r="B125" t="s">
        <v>175</v>
      </c>
      <c r="C125" t="s">
        <v>148</v>
      </c>
      <c r="D125">
        <v>1</v>
      </c>
      <c r="E125">
        <v>11</v>
      </c>
      <c r="F125">
        <v>17</v>
      </c>
      <c r="G125">
        <v>24</v>
      </c>
      <c r="H125">
        <v>22</v>
      </c>
      <c r="I125">
        <v>3</v>
      </c>
      <c r="J125">
        <v>4</v>
      </c>
      <c r="K125">
        <v>6</v>
      </c>
      <c r="L125">
        <v>2</v>
      </c>
      <c r="M125">
        <v>4</v>
      </c>
      <c r="N125">
        <v>8</v>
      </c>
      <c r="O125">
        <v>3</v>
      </c>
      <c r="P125">
        <v>6</v>
      </c>
      <c r="Q125">
        <v>9</v>
      </c>
      <c r="R125">
        <v>5</v>
      </c>
    </row>
    <row r="126" spans="1:18">
      <c r="A126" t="s">
        <v>608</v>
      </c>
      <c r="B126" t="s">
        <v>175</v>
      </c>
      <c r="C126" t="s">
        <v>184</v>
      </c>
      <c r="D126">
        <v>15</v>
      </c>
      <c r="E126">
        <v>47</v>
      </c>
      <c r="F126">
        <v>65</v>
      </c>
      <c r="G126">
        <v>64</v>
      </c>
      <c r="H126">
        <v>58</v>
      </c>
      <c r="I126">
        <v>55</v>
      </c>
      <c r="J126">
        <v>53</v>
      </c>
      <c r="K126">
        <v>52</v>
      </c>
      <c r="L126">
        <v>47</v>
      </c>
      <c r="M126">
        <v>50</v>
      </c>
      <c r="N126">
        <v>54</v>
      </c>
      <c r="O126">
        <v>52</v>
      </c>
      <c r="P126">
        <v>31</v>
      </c>
      <c r="Q126">
        <v>30</v>
      </c>
      <c r="R126">
        <v>21</v>
      </c>
    </row>
    <row r="127" spans="1:18">
      <c r="A127" t="s">
        <v>609</v>
      </c>
      <c r="B127" t="s">
        <v>175</v>
      </c>
      <c r="C127" s="4" t="s">
        <v>188</v>
      </c>
      <c r="D127">
        <v>1</v>
      </c>
      <c r="E127">
        <v>5</v>
      </c>
      <c r="F127">
        <v>15</v>
      </c>
      <c r="G127">
        <v>17</v>
      </c>
      <c r="H127">
        <v>34</v>
      </c>
      <c r="I127">
        <v>24</v>
      </c>
      <c r="J127">
        <v>20</v>
      </c>
      <c r="K127">
        <v>15</v>
      </c>
      <c r="L127">
        <v>0</v>
      </c>
      <c r="M127">
        <v>4</v>
      </c>
      <c r="N127">
        <v>13</v>
      </c>
      <c r="O127">
        <v>25</v>
      </c>
      <c r="P127">
        <v>36</v>
      </c>
      <c r="Q127">
        <v>34</v>
      </c>
      <c r="R127">
        <v>24</v>
      </c>
    </row>
    <row r="128" spans="1:18">
      <c r="A128" t="s">
        <v>610</v>
      </c>
      <c r="B128" t="s">
        <v>175</v>
      </c>
      <c r="C128" s="35" t="s">
        <v>189</v>
      </c>
      <c r="D128">
        <v>2</v>
      </c>
      <c r="E128">
        <v>11</v>
      </c>
      <c r="F128">
        <v>26</v>
      </c>
      <c r="G128">
        <v>78</v>
      </c>
      <c r="H128">
        <v>55</v>
      </c>
      <c r="I128">
        <v>56</v>
      </c>
      <c r="J128">
        <v>51</v>
      </c>
      <c r="K128">
        <v>70</v>
      </c>
      <c r="L128">
        <v>37</v>
      </c>
      <c r="M128">
        <v>42</v>
      </c>
      <c r="N128">
        <v>55</v>
      </c>
      <c r="O128">
        <v>19</v>
      </c>
      <c r="P128">
        <v>16</v>
      </c>
      <c r="Q128">
        <v>5</v>
      </c>
      <c r="R128">
        <v>4</v>
      </c>
    </row>
    <row r="129" spans="1:18">
      <c r="A129" t="s">
        <v>611</v>
      </c>
      <c r="B129" t="s">
        <v>175</v>
      </c>
      <c r="C129" t="s">
        <v>172</v>
      </c>
      <c r="D129">
        <v>0</v>
      </c>
      <c r="E129">
        <v>6</v>
      </c>
      <c r="F129">
        <v>9</v>
      </c>
      <c r="G129">
        <v>24</v>
      </c>
      <c r="H129">
        <v>17</v>
      </c>
      <c r="I129">
        <v>17</v>
      </c>
      <c r="J129">
        <v>28</v>
      </c>
      <c r="K129">
        <v>59</v>
      </c>
      <c r="L129">
        <v>27</v>
      </c>
      <c r="M129">
        <v>31</v>
      </c>
      <c r="N129">
        <v>32</v>
      </c>
      <c r="O129">
        <v>2</v>
      </c>
      <c r="P129">
        <v>0</v>
      </c>
      <c r="Q129">
        <v>1</v>
      </c>
      <c r="R129">
        <v>4</v>
      </c>
    </row>
    <row r="130" spans="1:18">
      <c r="A130" t="s">
        <v>612</v>
      </c>
      <c r="B130" t="s">
        <v>175</v>
      </c>
      <c r="C130" t="s">
        <v>30</v>
      </c>
      <c r="D130">
        <v>2</v>
      </c>
      <c r="E130">
        <v>5</v>
      </c>
      <c r="F130">
        <v>17</v>
      </c>
      <c r="G130">
        <v>54</v>
      </c>
      <c r="H130">
        <v>38</v>
      </c>
      <c r="I130">
        <v>39</v>
      </c>
      <c r="J130">
        <v>23</v>
      </c>
      <c r="K130">
        <v>11</v>
      </c>
      <c r="L130">
        <v>10</v>
      </c>
      <c r="M130">
        <v>11</v>
      </c>
      <c r="N130">
        <v>23</v>
      </c>
      <c r="O130">
        <v>17</v>
      </c>
      <c r="P130">
        <v>16</v>
      </c>
      <c r="Q130">
        <v>4</v>
      </c>
      <c r="R130">
        <v>0</v>
      </c>
    </row>
    <row r="131" spans="1:18">
      <c r="A131" t="s">
        <v>613</v>
      </c>
      <c r="B131" t="s">
        <v>175</v>
      </c>
      <c r="C131" t="s">
        <v>177</v>
      </c>
      <c r="D131">
        <v>51</v>
      </c>
      <c r="E131">
        <v>25</v>
      </c>
      <c r="F131">
        <v>46</v>
      </c>
      <c r="G131">
        <v>104</v>
      </c>
      <c r="H131">
        <v>116</v>
      </c>
      <c r="I131">
        <v>248</v>
      </c>
      <c r="J131">
        <v>252</v>
      </c>
      <c r="K131">
        <v>278</v>
      </c>
      <c r="L131">
        <v>278</v>
      </c>
      <c r="M131">
        <v>253</v>
      </c>
      <c r="N131">
        <v>219</v>
      </c>
      <c r="O131">
        <v>281</v>
      </c>
      <c r="P131">
        <v>340</v>
      </c>
      <c r="Q131">
        <v>282</v>
      </c>
      <c r="R131">
        <v>370</v>
      </c>
    </row>
    <row r="132" spans="1:18">
      <c r="A132" t="s">
        <v>614</v>
      </c>
      <c r="B132" t="s">
        <v>175</v>
      </c>
      <c r="C132" t="s">
        <v>178</v>
      </c>
      <c r="D132">
        <v>44</v>
      </c>
      <c r="E132">
        <v>25</v>
      </c>
      <c r="F132">
        <v>43</v>
      </c>
      <c r="G132">
        <v>100</v>
      </c>
      <c r="H132">
        <v>113</v>
      </c>
      <c r="I132">
        <v>244</v>
      </c>
      <c r="J132">
        <v>249</v>
      </c>
      <c r="K132">
        <v>268</v>
      </c>
      <c r="L132">
        <v>272</v>
      </c>
      <c r="M132">
        <v>244</v>
      </c>
      <c r="N132">
        <v>215</v>
      </c>
      <c r="O132">
        <v>279</v>
      </c>
      <c r="P132">
        <v>332</v>
      </c>
      <c r="Q132">
        <v>274</v>
      </c>
      <c r="R132">
        <v>361</v>
      </c>
    </row>
    <row r="133" spans="1:18">
      <c r="A133" t="s">
        <v>615</v>
      </c>
      <c r="B133" t="s">
        <v>176</v>
      </c>
      <c r="C133" t="s">
        <v>32</v>
      </c>
      <c r="D133">
        <v>2</v>
      </c>
      <c r="E133">
        <v>4</v>
      </c>
      <c r="F133">
        <v>17</v>
      </c>
      <c r="G133">
        <v>11</v>
      </c>
      <c r="H133">
        <v>14</v>
      </c>
      <c r="I133">
        <v>17</v>
      </c>
      <c r="J133">
        <v>12</v>
      </c>
      <c r="K133">
        <v>30</v>
      </c>
      <c r="L133">
        <v>24</v>
      </c>
      <c r="M133">
        <v>18</v>
      </c>
      <c r="N133">
        <v>13</v>
      </c>
      <c r="O133">
        <v>24</v>
      </c>
      <c r="P133">
        <v>15</v>
      </c>
      <c r="Q133">
        <v>27</v>
      </c>
      <c r="R133">
        <v>25</v>
      </c>
    </row>
    <row r="134" spans="1:18">
      <c r="A134" t="s">
        <v>616</v>
      </c>
      <c r="B134" t="s">
        <v>176</v>
      </c>
      <c r="C134" s="4" t="s">
        <v>34</v>
      </c>
      <c r="D134">
        <v>2</v>
      </c>
      <c r="E134">
        <v>3</v>
      </c>
      <c r="F134">
        <v>7</v>
      </c>
      <c r="G134">
        <v>5</v>
      </c>
      <c r="H134">
        <v>3</v>
      </c>
      <c r="I134">
        <v>10</v>
      </c>
      <c r="J134">
        <v>5</v>
      </c>
      <c r="K134">
        <v>21</v>
      </c>
      <c r="L134">
        <v>22</v>
      </c>
      <c r="M134">
        <v>18</v>
      </c>
      <c r="N134">
        <v>13</v>
      </c>
      <c r="O134">
        <v>21</v>
      </c>
      <c r="P134">
        <v>14</v>
      </c>
      <c r="Q134">
        <v>20</v>
      </c>
      <c r="R134">
        <v>23</v>
      </c>
    </row>
    <row r="135" spans="1:18">
      <c r="A135" t="s">
        <v>617</v>
      </c>
      <c r="B135" t="s">
        <v>176</v>
      </c>
      <c r="C135" t="s">
        <v>169</v>
      </c>
      <c r="D135">
        <v>0</v>
      </c>
      <c r="E135">
        <v>1</v>
      </c>
      <c r="F135">
        <v>10</v>
      </c>
      <c r="G135">
        <v>6</v>
      </c>
      <c r="H135">
        <v>11</v>
      </c>
      <c r="I135">
        <v>7</v>
      </c>
      <c r="J135">
        <v>7</v>
      </c>
      <c r="K135">
        <v>9</v>
      </c>
      <c r="L135">
        <v>2</v>
      </c>
      <c r="M135">
        <v>0</v>
      </c>
      <c r="N135">
        <v>0</v>
      </c>
      <c r="O135">
        <v>3</v>
      </c>
      <c r="P135">
        <v>1</v>
      </c>
      <c r="Q135">
        <v>7</v>
      </c>
      <c r="R135">
        <v>2</v>
      </c>
    </row>
    <row r="136" spans="1:18">
      <c r="A136" t="s">
        <v>618</v>
      </c>
      <c r="B136" t="s">
        <v>176</v>
      </c>
      <c r="C136" t="s">
        <v>170</v>
      </c>
      <c r="D136">
        <v>44</v>
      </c>
      <c r="E136">
        <v>25</v>
      </c>
      <c r="F136">
        <v>43</v>
      </c>
      <c r="G136">
        <v>100</v>
      </c>
      <c r="H136">
        <v>113</v>
      </c>
      <c r="I136">
        <v>244</v>
      </c>
      <c r="J136">
        <v>249</v>
      </c>
      <c r="K136">
        <v>268</v>
      </c>
      <c r="L136">
        <v>272</v>
      </c>
      <c r="M136">
        <v>244</v>
      </c>
      <c r="N136">
        <v>215</v>
      </c>
      <c r="O136">
        <v>279</v>
      </c>
      <c r="P136">
        <v>332</v>
      </c>
      <c r="Q136">
        <v>274</v>
      </c>
      <c r="R136">
        <v>361</v>
      </c>
    </row>
    <row r="137" spans="1:18">
      <c r="A137" t="s">
        <v>619</v>
      </c>
      <c r="B137" t="s">
        <v>176</v>
      </c>
      <c r="C137" t="s">
        <v>171</v>
      </c>
      <c r="D137">
        <v>51</v>
      </c>
      <c r="E137">
        <v>25</v>
      </c>
      <c r="F137">
        <v>46</v>
      </c>
      <c r="G137">
        <v>104</v>
      </c>
      <c r="H137">
        <v>116</v>
      </c>
      <c r="I137">
        <v>248</v>
      </c>
      <c r="J137">
        <v>252</v>
      </c>
      <c r="K137">
        <v>278</v>
      </c>
      <c r="L137">
        <v>278</v>
      </c>
      <c r="M137">
        <v>253</v>
      </c>
      <c r="N137">
        <v>219</v>
      </c>
      <c r="O137">
        <v>281</v>
      </c>
      <c r="P137">
        <v>340</v>
      </c>
      <c r="Q137">
        <v>282</v>
      </c>
      <c r="R137">
        <v>370</v>
      </c>
    </row>
    <row r="138" spans="1:18">
      <c r="A138" t="s">
        <v>620</v>
      </c>
      <c r="B138" t="s">
        <v>176</v>
      </c>
      <c r="C138" t="s">
        <v>148</v>
      </c>
      <c r="D138">
        <v>5</v>
      </c>
      <c r="E138">
        <v>11</v>
      </c>
      <c r="F138">
        <v>23</v>
      </c>
      <c r="G138">
        <v>20</v>
      </c>
      <c r="H138">
        <v>26</v>
      </c>
      <c r="I138">
        <v>3</v>
      </c>
      <c r="J138">
        <v>30</v>
      </c>
      <c r="K138">
        <v>5</v>
      </c>
      <c r="L138">
        <v>3</v>
      </c>
      <c r="M138">
        <v>4</v>
      </c>
      <c r="N138">
        <v>7</v>
      </c>
      <c r="O138">
        <v>5</v>
      </c>
      <c r="P138">
        <v>7</v>
      </c>
      <c r="Q138">
        <v>13</v>
      </c>
      <c r="R138">
        <v>9</v>
      </c>
    </row>
    <row r="139" spans="1:18">
      <c r="A139" t="s">
        <v>621</v>
      </c>
      <c r="B139" t="s">
        <v>176</v>
      </c>
      <c r="C139" t="s">
        <v>184</v>
      </c>
      <c r="D139">
        <v>6</v>
      </c>
      <c r="E139">
        <v>19</v>
      </c>
      <c r="F139">
        <v>28</v>
      </c>
      <c r="G139">
        <v>28</v>
      </c>
      <c r="H139">
        <v>30</v>
      </c>
      <c r="I139">
        <v>32</v>
      </c>
      <c r="J139">
        <v>37</v>
      </c>
      <c r="K139">
        <v>38</v>
      </c>
      <c r="L139">
        <v>17</v>
      </c>
      <c r="M139">
        <v>16</v>
      </c>
      <c r="N139">
        <v>16</v>
      </c>
      <c r="O139">
        <v>19</v>
      </c>
      <c r="P139">
        <v>18</v>
      </c>
      <c r="Q139">
        <v>22</v>
      </c>
      <c r="R139">
        <v>18</v>
      </c>
    </row>
    <row r="140" spans="1:18">
      <c r="A140" t="s">
        <v>622</v>
      </c>
      <c r="B140" t="s">
        <v>176</v>
      </c>
      <c r="C140" s="4" t="s">
        <v>188</v>
      </c>
      <c r="D140">
        <v>0</v>
      </c>
      <c r="E140">
        <v>1</v>
      </c>
      <c r="F140">
        <v>10</v>
      </c>
      <c r="G140">
        <v>6</v>
      </c>
      <c r="H140">
        <v>11</v>
      </c>
      <c r="I140">
        <v>7</v>
      </c>
      <c r="J140">
        <v>5</v>
      </c>
      <c r="K140">
        <v>3</v>
      </c>
      <c r="L140">
        <v>0</v>
      </c>
      <c r="M140">
        <v>0</v>
      </c>
      <c r="N140">
        <v>0</v>
      </c>
      <c r="O140">
        <v>3</v>
      </c>
      <c r="P140">
        <v>1</v>
      </c>
      <c r="Q140">
        <v>7</v>
      </c>
      <c r="R140">
        <v>2</v>
      </c>
    </row>
    <row r="141" spans="1:18">
      <c r="A141" t="s">
        <v>623</v>
      </c>
      <c r="B141" t="s">
        <v>179</v>
      </c>
      <c r="C141" s="35" t="s">
        <v>189</v>
      </c>
      <c r="D141">
        <v>0</v>
      </c>
      <c r="E141">
        <v>0</v>
      </c>
      <c r="F141">
        <v>0</v>
      </c>
      <c r="G141">
        <v>0</v>
      </c>
      <c r="H141">
        <v>0</v>
      </c>
      <c r="I141">
        <v>0</v>
      </c>
      <c r="J141">
        <v>2</v>
      </c>
      <c r="K141">
        <v>6</v>
      </c>
      <c r="L141">
        <v>2</v>
      </c>
      <c r="M141">
        <v>0</v>
      </c>
      <c r="N141">
        <v>0</v>
      </c>
      <c r="O141">
        <v>0</v>
      </c>
      <c r="P141">
        <v>0</v>
      </c>
      <c r="Q141">
        <v>0</v>
      </c>
      <c r="R141">
        <v>0</v>
      </c>
    </row>
    <row r="142" spans="1:18">
      <c r="A142" t="s">
        <v>624</v>
      </c>
      <c r="B142" t="s">
        <v>176</v>
      </c>
      <c r="C142" t="s">
        <v>172</v>
      </c>
      <c r="D142">
        <v>0</v>
      </c>
      <c r="E142">
        <v>0</v>
      </c>
      <c r="F142">
        <v>0</v>
      </c>
      <c r="G142">
        <v>0</v>
      </c>
      <c r="H142">
        <v>0</v>
      </c>
      <c r="I142">
        <v>0</v>
      </c>
      <c r="J142">
        <v>2</v>
      </c>
      <c r="K142">
        <v>6</v>
      </c>
      <c r="L142">
        <v>2</v>
      </c>
      <c r="M142">
        <v>0</v>
      </c>
      <c r="N142">
        <v>0</v>
      </c>
      <c r="O142">
        <v>0</v>
      </c>
      <c r="P142">
        <v>0</v>
      </c>
      <c r="Q142">
        <v>0</v>
      </c>
      <c r="R142">
        <v>0</v>
      </c>
    </row>
    <row r="143" spans="1:18">
      <c r="A143" t="s">
        <v>625</v>
      </c>
      <c r="B143" t="s">
        <v>176</v>
      </c>
      <c r="C143" t="s">
        <v>30</v>
      </c>
      <c r="D143">
        <v>0</v>
      </c>
      <c r="E143">
        <v>0</v>
      </c>
      <c r="F143">
        <v>0</v>
      </c>
      <c r="G143">
        <v>0</v>
      </c>
      <c r="H143">
        <v>0</v>
      </c>
      <c r="I143">
        <v>0</v>
      </c>
      <c r="J143">
        <v>0</v>
      </c>
      <c r="K143">
        <v>0</v>
      </c>
      <c r="L143">
        <v>0</v>
      </c>
      <c r="M143">
        <v>0</v>
      </c>
      <c r="N143">
        <v>0</v>
      </c>
      <c r="O143">
        <v>0</v>
      </c>
      <c r="P143">
        <v>0</v>
      </c>
      <c r="Q143">
        <v>0</v>
      </c>
      <c r="R143">
        <v>0</v>
      </c>
    </row>
    <row r="144" spans="1:18">
      <c r="A144" t="s">
        <v>626</v>
      </c>
      <c r="B144" t="s">
        <v>176</v>
      </c>
      <c r="C144" t="s">
        <v>177</v>
      </c>
      <c r="D144">
        <v>6</v>
      </c>
      <c r="E144">
        <v>4</v>
      </c>
      <c r="F144">
        <v>3</v>
      </c>
      <c r="G144">
        <v>11</v>
      </c>
      <c r="H144">
        <v>7</v>
      </c>
      <c r="I144">
        <v>24</v>
      </c>
      <c r="J144">
        <v>25</v>
      </c>
      <c r="K144">
        <v>36</v>
      </c>
      <c r="L144">
        <v>38</v>
      </c>
      <c r="M144">
        <v>22</v>
      </c>
      <c r="N144">
        <v>25</v>
      </c>
      <c r="O144">
        <v>32</v>
      </c>
      <c r="P144">
        <v>28</v>
      </c>
      <c r="Q144">
        <v>18</v>
      </c>
      <c r="R144">
        <v>32</v>
      </c>
    </row>
    <row r="145" spans="1:18">
      <c r="A145" t="s">
        <v>627</v>
      </c>
      <c r="B145" t="s">
        <v>176</v>
      </c>
      <c r="C145" t="s">
        <v>178</v>
      </c>
      <c r="D145">
        <v>6</v>
      </c>
      <c r="E145">
        <v>4</v>
      </c>
      <c r="F145">
        <v>3</v>
      </c>
      <c r="G145">
        <v>10</v>
      </c>
      <c r="H145">
        <v>7</v>
      </c>
      <c r="I145">
        <v>24</v>
      </c>
      <c r="J145">
        <v>25</v>
      </c>
      <c r="K145">
        <v>36</v>
      </c>
      <c r="L145">
        <v>38</v>
      </c>
      <c r="M145">
        <v>22</v>
      </c>
      <c r="N145">
        <v>25</v>
      </c>
      <c r="O145">
        <v>32</v>
      </c>
      <c r="P145">
        <v>27</v>
      </c>
      <c r="Q145">
        <v>18</v>
      </c>
      <c r="R145">
        <v>31</v>
      </c>
    </row>
    <row r="146" spans="1:18">
      <c r="A146" t="s">
        <v>628</v>
      </c>
      <c r="B146" t="s">
        <v>173</v>
      </c>
      <c r="C146" t="s">
        <v>32</v>
      </c>
      <c r="D146">
        <v>178</v>
      </c>
      <c r="E146">
        <v>221</v>
      </c>
      <c r="F146">
        <v>250</v>
      </c>
      <c r="G146">
        <v>385</v>
      </c>
      <c r="H146">
        <v>430</v>
      </c>
      <c r="I146">
        <v>418</v>
      </c>
      <c r="J146">
        <v>499</v>
      </c>
      <c r="K146">
        <v>604</v>
      </c>
      <c r="L146">
        <v>395</v>
      </c>
      <c r="M146">
        <v>468</v>
      </c>
      <c r="N146">
        <v>437</v>
      </c>
      <c r="O146">
        <v>613</v>
      </c>
      <c r="P146">
        <v>578</v>
      </c>
      <c r="Q146">
        <v>555</v>
      </c>
      <c r="R146">
        <v>683</v>
      </c>
    </row>
    <row r="147" spans="1:18">
      <c r="A147" t="s">
        <v>629</v>
      </c>
      <c r="B147" t="s">
        <v>173</v>
      </c>
      <c r="C147" s="4" t="s">
        <v>34</v>
      </c>
      <c r="D147">
        <v>132</v>
      </c>
      <c r="E147">
        <v>175</v>
      </c>
      <c r="F147">
        <v>184</v>
      </c>
      <c r="G147">
        <v>287</v>
      </c>
      <c r="H147">
        <v>335</v>
      </c>
      <c r="I147">
        <v>322</v>
      </c>
      <c r="J147">
        <v>323</v>
      </c>
      <c r="K147">
        <v>461</v>
      </c>
      <c r="L147">
        <v>319</v>
      </c>
      <c r="M147">
        <v>361</v>
      </c>
      <c r="N147">
        <v>367</v>
      </c>
      <c r="O147">
        <v>517</v>
      </c>
      <c r="P147">
        <v>452</v>
      </c>
      <c r="Q147">
        <v>444</v>
      </c>
      <c r="R147">
        <v>564</v>
      </c>
    </row>
    <row r="148" spans="1:18">
      <c r="A148" t="s">
        <v>630</v>
      </c>
      <c r="B148" t="s">
        <v>173</v>
      </c>
      <c r="C148" t="s">
        <v>169</v>
      </c>
      <c r="D148">
        <v>46</v>
      </c>
      <c r="E148">
        <v>46</v>
      </c>
      <c r="F148">
        <v>66</v>
      </c>
      <c r="G148">
        <v>98</v>
      </c>
      <c r="H148">
        <v>95</v>
      </c>
      <c r="I148">
        <v>96</v>
      </c>
      <c r="J148">
        <v>176</v>
      </c>
      <c r="K148">
        <v>143</v>
      </c>
      <c r="L148">
        <v>76</v>
      </c>
      <c r="M148">
        <v>107</v>
      </c>
      <c r="N148">
        <v>70</v>
      </c>
      <c r="O148">
        <v>96</v>
      </c>
      <c r="P148">
        <v>126</v>
      </c>
      <c r="Q148">
        <v>111</v>
      </c>
      <c r="R148">
        <v>119</v>
      </c>
    </row>
    <row r="149" spans="1:18">
      <c r="A149" t="s">
        <v>631</v>
      </c>
      <c r="B149" t="s">
        <v>173</v>
      </c>
      <c r="C149" t="s">
        <v>486</v>
      </c>
      <c r="D149">
        <v>3</v>
      </c>
      <c r="E149">
        <v>1</v>
      </c>
      <c r="F149">
        <v>1</v>
      </c>
      <c r="G149">
        <v>1</v>
      </c>
      <c r="H149">
        <v>1</v>
      </c>
      <c r="I149">
        <v>1</v>
      </c>
      <c r="J149">
        <v>2</v>
      </c>
      <c r="K149">
        <v>2</v>
      </c>
      <c r="L149">
        <v>3</v>
      </c>
      <c r="M149">
        <v>2</v>
      </c>
      <c r="N149">
        <v>2</v>
      </c>
      <c r="O149">
        <v>1</v>
      </c>
      <c r="P149">
        <v>2</v>
      </c>
      <c r="Q149">
        <v>3</v>
      </c>
      <c r="R149">
        <v>3</v>
      </c>
    </row>
    <row r="150" spans="1:18">
      <c r="A150" t="s">
        <v>632</v>
      </c>
      <c r="B150" t="s">
        <v>173</v>
      </c>
      <c r="C150" t="s">
        <v>488</v>
      </c>
      <c r="D150">
        <v>43</v>
      </c>
      <c r="E150">
        <v>48</v>
      </c>
      <c r="F150">
        <v>50</v>
      </c>
      <c r="G150">
        <v>45</v>
      </c>
      <c r="H150">
        <v>51</v>
      </c>
      <c r="I150">
        <v>53</v>
      </c>
      <c r="J150">
        <v>54</v>
      </c>
      <c r="K150">
        <v>53</v>
      </c>
      <c r="L150">
        <v>48</v>
      </c>
      <c r="M150">
        <v>46</v>
      </c>
      <c r="N150">
        <v>49</v>
      </c>
      <c r="O150">
        <v>55</v>
      </c>
      <c r="P150">
        <v>59</v>
      </c>
      <c r="Q150">
        <v>45</v>
      </c>
      <c r="R150">
        <v>43</v>
      </c>
    </row>
    <row r="151" spans="1:18">
      <c r="A151" t="s">
        <v>633</v>
      </c>
      <c r="B151" t="s">
        <v>173</v>
      </c>
      <c r="C151" t="s">
        <v>148</v>
      </c>
      <c r="D151">
        <v>8</v>
      </c>
      <c r="E151">
        <v>5</v>
      </c>
      <c r="F151">
        <v>1</v>
      </c>
      <c r="G151">
        <v>1</v>
      </c>
      <c r="H151">
        <v>1</v>
      </c>
      <c r="I151">
        <v>1</v>
      </c>
      <c r="J151">
        <v>3</v>
      </c>
      <c r="K151">
        <v>2</v>
      </c>
      <c r="L151">
        <v>3</v>
      </c>
      <c r="M151">
        <v>4</v>
      </c>
      <c r="N151">
        <v>3</v>
      </c>
      <c r="O151">
        <v>1</v>
      </c>
      <c r="P151">
        <v>2</v>
      </c>
      <c r="Q151">
        <v>2</v>
      </c>
      <c r="R151">
        <v>3</v>
      </c>
    </row>
    <row r="152" spans="1:18">
      <c r="A152" t="s">
        <v>634</v>
      </c>
      <c r="B152" t="s">
        <v>173</v>
      </c>
      <c r="C152" t="s">
        <v>184</v>
      </c>
      <c r="D152">
        <v>33</v>
      </c>
      <c r="E152">
        <v>38</v>
      </c>
      <c r="F152">
        <v>54</v>
      </c>
      <c r="G152">
        <v>48</v>
      </c>
      <c r="H152">
        <v>44</v>
      </c>
      <c r="I152">
        <v>45</v>
      </c>
      <c r="J152">
        <v>57</v>
      </c>
      <c r="K152">
        <v>55</v>
      </c>
      <c r="L152">
        <v>46</v>
      </c>
      <c r="M152">
        <v>55</v>
      </c>
      <c r="N152">
        <v>26</v>
      </c>
      <c r="O152">
        <v>31</v>
      </c>
      <c r="P152">
        <v>65</v>
      </c>
      <c r="Q152">
        <v>62</v>
      </c>
      <c r="R152">
        <v>43</v>
      </c>
    </row>
    <row r="153" spans="1:18">
      <c r="A153" t="s">
        <v>635</v>
      </c>
      <c r="B153" t="s">
        <v>173</v>
      </c>
      <c r="C153" s="4" t="s">
        <v>188</v>
      </c>
      <c r="D153">
        <v>31</v>
      </c>
      <c r="E153">
        <v>18</v>
      </c>
      <c r="F153">
        <v>21</v>
      </c>
      <c r="G153">
        <v>41</v>
      </c>
      <c r="H153">
        <v>34</v>
      </c>
      <c r="I153">
        <v>34</v>
      </c>
      <c r="J153">
        <v>41</v>
      </c>
      <c r="K153">
        <v>12</v>
      </c>
      <c r="L153">
        <v>11</v>
      </c>
      <c r="M153">
        <v>27</v>
      </c>
      <c r="N153">
        <v>34</v>
      </c>
      <c r="O153">
        <v>39</v>
      </c>
      <c r="P153">
        <v>40</v>
      </c>
      <c r="Q153">
        <v>46</v>
      </c>
      <c r="R153">
        <v>41</v>
      </c>
    </row>
    <row r="154" spans="1:18">
      <c r="A154" t="s">
        <v>636</v>
      </c>
      <c r="B154" t="s">
        <v>173</v>
      </c>
      <c r="C154" s="35" t="s">
        <v>189</v>
      </c>
      <c r="D154">
        <v>15</v>
      </c>
      <c r="E154">
        <v>28</v>
      </c>
      <c r="F154">
        <v>45</v>
      </c>
      <c r="G154">
        <v>57</v>
      </c>
      <c r="H154">
        <v>61</v>
      </c>
      <c r="I154">
        <v>62</v>
      </c>
      <c r="J154">
        <v>135</v>
      </c>
      <c r="K154">
        <v>131</v>
      </c>
      <c r="L154">
        <v>65</v>
      </c>
      <c r="M154">
        <v>80</v>
      </c>
      <c r="N154">
        <v>36</v>
      </c>
      <c r="O154">
        <v>57</v>
      </c>
      <c r="P154">
        <v>86</v>
      </c>
      <c r="Q154">
        <v>65</v>
      </c>
      <c r="R154">
        <v>78</v>
      </c>
    </row>
    <row r="155" spans="1:18">
      <c r="A155" t="s">
        <v>637</v>
      </c>
      <c r="B155" t="s">
        <v>173</v>
      </c>
      <c r="C155" t="s">
        <v>172</v>
      </c>
      <c r="D155">
        <v>10</v>
      </c>
      <c r="E155">
        <v>13</v>
      </c>
      <c r="F155">
        <v>16</v>
      </c>
      <c r="G155">
        <v>26</v>
      </c>
      <c r="H155">
        <v>30</v>
      </c>
      <c r="I155">
        <v>35</v>
      </c>
      <c r="J155">
        <v>70</v>
      </c>
      <c r="K155">
        <v>60</v>
      </c>
      <c r="L155">
        <v>38</v>
      </c>
      <c r="M155">
        <v>29</v>
      </c>
      <c r="N155">
        <v>8</v>
      </c>
      <c r="O155">
        <v>11</v>
      </c>
      <c r="P155">
        <v>9</v>
      </c>
      <c r="Q155">
        <v>8</v>
      </c>
      <c r="R155">
        <v>19</v>
      </c>
    </row>
    <row r="156" spans="1:18">
      <c r="A156" t="s">
        <v>638</v>
      </c>
      <c r="B156" t="s">
        <v>173</v>
      </c>
      <c r="C156" t="s">
        <v>30</v>
      </c>
      <c r="D156">
        <v>5</v>
      </c>
      <c r="E156">
        <v>15</v>
      </c>
      <c r="F156">
        <v>29</v>
      </c>
      <c r="G156">
        <v>31</v>
      </c>
      <c r="H156">
        <v>31</v>
      </c>
      <c r="I156">
        <v>27</v>
      </c>
      <c r="J156">
        <v>65</v>
      </c>
      <c r="K156">
        <v>71</v>
      </c>
      <c r="L156">
        <v>27</v>
      </c>
      <c r="M156">
        <v>51</v>
      </c>
      <c r="N156">
        <v>28</v>
      </c>
      <c r="O156">
        <v>46</v>
      </c>
      <c r="P156">
        <v>77</v>
      </c>
      <c r="Q156">
        <v>57</v>
      </c>
      <c r="R156">
        <v>59</v>
      </c>
    </row>
    <row r="157" spans="1:18">
      <c r="A157" t="s">
        <v>639</v>
      </c>
      <c r="B157" t="s">
        <v>174</v>
      </c>
      <c r="C157" t="s">
        <v>32</v>
      </c>
      <c r="D157">
        <v>4</v>
      </c>
      <c r="E157">
        <v>2</v>
      </c>
      <c r="F157">
        <v>17</v>
      </c>
      <c r="G157">
        <v>27</v>
      </c>
      <c r="H157">
        <v>15</v>
      </c>
      <c r="I157">
        <v>10</v>
      </c>
      <c r="J157">
        <v>13</v>
      </c>
      <c r="K157">
        <v>48</v>
      </c>
      <c r="L157">
        <v>34</v>
      </c>
      <c r="M157">
        <v>15</v>
      </c>
      <c r="N157">
        <v>11</v>
      </c>
      <c r="O157">
        <v>20</v>
      </c>
      <c r="P157">
        <v>18</v>
      </c>
      <c r="Q157">
        <v>12</v>
      </c>
      <c r="R157">
        <v>35</v>
      </c>
    </row>
    <row r="158" spans="1:18">
      <c r="A158" t="s">
        <v>640</v>
      </c>
      <c r="B158" t="s">
        <v>174</v>
      </c>
      <c r="C158" s="4" t="s">
        <v>34</v>
      </c>
      <c r="D158">
        <v>4</v>
      </c>
      <c r="E158">
        <v>2</v>
      </c>
      <c r="F158">
        <v>7</v>
      </c>
      <c r="G158">
        <v>14</v>
      </c>
      <c r="H158">
        <v>12</v>
      </c>
      <c r="I158">
        <v>4</v>
      </c>
      <c r="J158">
        <v>7</v>
      </c>
      <c r="K158">
        <v>15</v>
      </c>
      <c r="L158">
        <v>16</v>
      </c>
      <c r="M158">
        <v>6</v>
      </c>
      <c r="N158">
        <v>4</v>
      </c>
      <c r="O158">
        <v>17</v>
      </c>
      <c r="P158">
        <v>12</v>
      </c>
      <c r="Q158">
        <v>10</v>
      </c>
      <c r="R158">
        <v>19</v>
      </c>
    </row>
    <row r="159" spans="1:18">
      <c r="A159" t="s">
        <v>641</v>
      </c>
      <c r="B159" t="s">
        <v>174</v>
      </c>
      <c r="C159" t="s">
        <v>169</v>
      </c>
      <c r="D159">
        <v>0</v>
      </c>
      <c r="E159">
        <v>0</v>
      </c>
      <c r="F159">
        <v>10</v>
      </c>
      <c r="G159">
        <v>13</v>
      </c>
      <c r="H159">
        <v>3</v>
      </c>
      <c r="I159">
        <v>6</v>
      </c>
      <c r="J159">
        <v>6</v>
      </c>
      <c r="K159">
        <v>33</v>
      </c>
      <c r="L159">
        <v>18</v>
      </c>
      <c r="M159">
        <v>9</v>
      </c>
      <c r="N159">
        <v>7</v>
      </c>
      <c r="O159">
        <v>3</v>
      </c>
      <c r="P159">
        <v>6</v>
      </c>
      <c r="Q159">
        <v>2</v>
      </c>
      <c r="R159">
        <v>16</v>
      </c>
    </row>
    <row r="160" spans="1:18">
      <c r="A160" t="s">
        <v>642</v>
      </c>
      <c r="B160" t="s">
        <v>174</v>
      </c>
      <c r="C160" t="s">
        <v>486</v>
      </c>
      <c r="D160">
        <v>1</v>
      </c>
      <c r="E160">
        <v>14</v>
      </c>
      <c r="F160">
        <v>1</v>
      </c>
      <c r="G160">
        <v>2</v>
      </c>
      <c r="H160">
        <v>3</v>
      </c>
      <c r="I160">
        <v>47</v>
      </c>
      <c r="J160">
        <v>45</v>
      </c>
      <c r="K160">
        <v>44</v>
      </c>
      <c r="L160">
        <v>22</v>
      </c>
      <c r="M160">
        <v>10</v>
      </c>
      <c r="N160">
        <v>2</v>
      </c>
      <c r="O160">
        <v>1</v>
      </c>
      <c r="P160">
        <v>9</v>
      </c>
      <c r="Q160">
        <v>12</v>
      </c>
      <c r="R160">
        <v>17</v>
      </c>
    </row>
    <row r="161" spans="1:18">
      <c r="A161" t="s">
        <v>643</v>
      </c>
      <c r="B161" t="s">
        <v>174</v>
      </c>
      <c r="C161" t="s">
        <v>488</v>
      </c>
      <c r="D161">
        <v>56</v>
      </c>
      <c r="E161">
        <v>61</v>
      </c>
      <c r="F161">
        <v>61</v>
      </c>
      <c r="G161">
        <v>61</v>
      </c>
      <c r="H161">
        <v>72</v>
      </c>
      <c r="I161">
        <v>68</v>
      </c>
      <c r="J161">
        <v>68</v>
      </c>
      <c r="K161">
        <v>66</v>
      </c>
      <c r="L161">
        <v>59</v>
      </c>
      <c r="M161">
        <v>58</v>
      </c>
      <c r="N161">
        <v>58</v>
      </c>
      <c r="O161">
        <v>49</v>
      </c>
      <c r="P161">
        <v>69</v>
      </c>
      <c r="Q161">
        <v>69</v>
      </c>
      <c r="R161">
        <v>69</v>
      </c>
    </row>
    <row r="162" spans="1:18">
      <c r="A162" t="s">
        <v>644</v>
      </c>
      <c r="B162" t="s">
        <v>174</v>
      </c>
      <c r="C162" t="s">
        <v>148</v>
      </c>
      <c r="D162">
        <v>1</v>
      </c>
      <c r="E162">
        <v>1</v>
      </c>
      <c r="F162">
        <v>50</v>
      </c>
      <c r="G162">
        <v>14</v>
      </c>
      <c r="H162">
        <v>1</v>
      </c>
      <c r="I162">
        <v>28</v>
      </c>
      <c r="J162">
        <v>11</v>
      </c>
      <c r="K162">
        <v>52</v>
      </c>
      <c r="L162">
        <v>22</v>
      </c>
      <c r="M162">
        <v>27</v>
      </c>
      <c r="N162">
        <v>21</v>
      </c>
      <c r="O162">
        <v>1</v>
      </c>
      <c r="P162">
        <v>1</v>
      </c>
      <c r="Q162">
        <v>6</v>
      </c>
      <c r="R162">
        <v>17</v>
      </c>
    </row>
    <row r="163" spans="1:18">
      <c r="A163" t="s">
        <v>645</v>
      </c>
      <c r="B163" t="s">
        <v>174</v>
      </c>
      <c r="C163" t="s">
        <v>184</v>
      </c>
      <c r="D163">
        <v>1</v>
      </c>
      <c r="E163">
        <v>1</v>
      </c>
      <c r="F163">
        <v>59</v>
      </c>
      <c r="G163">
        <v>64</v>
      </c>
      <c r="H163">
        <v>54</v>
      </c>
      <c r="I163">
        <v>53</v>
      </c>
      <c r="J163">
        <v>76</v>
      </c>
      <c r="K163">
        <v>68</v>
      </c>
      <c r="L163">
        <v>59</v>
      </c>
      <c r="M163">
        <v>62</v>
      </c>
      <c r="N163">
        <v>58</v>
      </c>
      <c r="O163">
        <v>23</v>
      </c>
      <c r="P163">
        <v>58</v>
      </c>
      <c r="Q163">
        <v>69</v>
      </c>
      <c r="R163">
        <v>69</v>
      </c>
    </row>
    <row r="164" spans="1:18">
      <c r="A164" t="s">
        <v>646</v>
      </c>
      <c r="B164" t="s">
        <v>174</v>
      </c>
      <c r="C164" s="4" t="s">
        <v>188</v>
      </c>
      <c r="D164">
        <v>0</v>
      </c>
      <c r="E164">
        <v>0</v>
      </c>
      <c r="F164">
        <v>1</v>
      </c>
      <c r="G164">
        <v>4</v>
      </c>
      <c r="H164">
        <v>0</v>
      </c>
      <c r="I164">
        <v>1</v>
      </c>
      <c r="J164">
        <v>0</v>
      </c>
      <c r="K164">
        <v>1</v>
      </c>
      <c r="L164">
        <v>2</v>
      </c>
      <c r="M164">
        <v>3</v>
      </c>
      <c r="N164">
        <v>3</v>
      </c>
      <c r="O164">
        <v>2</v>
      </c>
      <c r="P164">
        <v>1</v>
      </c>
      <c r="Q164">
        <v>0</v>
      </c>
      <c r="R164">
        <v>8</v>
      </c>
    </row>
    <row r="165" spans="1:18">
      <c r="A165" t="s">
        <v>647</v>
      </c>
      <c r="B165" t="s">
        <v>174</v>
      </c>
      <c r="C165" s="35" t="s">
        <v>189</v>
      </c>
      <c r="D165">
        <v>0</v>
      </c>
      <c r="E165">
        <v>0</v>
      </c>
      <c r="F165">
        <v>9</v>
      </c>
      <c r="G165">
        <v>9</v>
      </c>
      <c r="H165">
        <v>3</v>
      </c>
      <c r="I165">
        <v>5</v>
      </c>
      <c r="J165">
        <v>6</v>
      </c>
      <c r="K165">
        <v>32</v>
      </c>
      <c r="L165">
        <v>16</v>
      </c>
      <c r="M165">
        <v>6</v>
      </c>
      <c r="N165">
        <v>4</v>
      </c>
      <c r="O165">
        <v>1</v>
      </c>
      <c r="P165">
        <v>5</v>
      </c>
      <c r="Q165">
        <v>2</v>
      </c>
      <c r="R165">
        <v>8</v>
      </c>
    </row>
    <row r="166" spans="1:18">
      <c r="A166" t="s">
        <v>648</v>
      </c>
      <c r="B166" t="s">
        <v>174</v>
      </c>
      <c r="C166" t="s">
        <v>172</v>
      </c>
      <c r="D166">
        <v>0</v>
      </c>
      <c r="E166">
        <v>0</v>
      </c>
      <c r="F166">
        <v>1</v>
      </c>
      <c r="G166">
        <v>2</v>
      </c>
      <c r="H166">
        <v>1</v>
      </c>
      <c r="I166">
        <v>3</v>
      </c>
      <c r="J166">
        <v>0</v>
      </c>
      <c r="K166">
        <v>8</v>
      </c>
      <c r="L166">
        <v>10</v>
      </c>
      <c r="M166">
        <v>4</v>
      </c>
      <c r="N166">
        <v>1</v>
      </c>
      <c r="O166">
        <v>0</v>
      </c>
      <c r="P166">
        <v>3</v>
      </c>
      <c r="Q166">
        <v>0</v>
      </c>
      <c r="R166">
        <v>3</v>
      </c>
    </row>
    <row r="167" spans="1:18">
      <c r="A167" t="s">
        <v>649</v>
      </c>
      <c r="B167" t="s">
        <v>174</v>
      </c>
      <c r="C167" t="s">
        <v>30</v>
      </c>
      <c r="D167">
        <v>0</v>
      </c>
      <c r="E167">
        <v>0</v>
      </c>
      <c r="F167">
        <v>8</v>
      </c>
      <c r="G167">
        <v>7</v>
      </c>
      <c r="H167">
        <v>2</v>
      </c>
      <c r="I167">
        <v>2</v>
      </c>
      <c r="J167">
        <v>6</v>
      </c>
      <c r="K167">
        <v>24</v>
      </c>
      <c r="L167">
        <v>6</v>
      </c>
      <c r="M167">
        <v>2</v>
      </c>
      <c r="N167">
        <v>3</v>
      </c>
      <c r="O167">
        <v>1</v>
      </c>
      <c r="P167">
        <v>2</v>
      </c>
      <c r="Q167">
        <v>2</v>
      </c>
      <c r="R167">
        <v>5</v>
      </c>
    </row>
    <row r="168" spans="1:18">
      <c r="A168" t="s">
        <v>650</v>
      </c>
      <c r="B168" t="s">
        <v>175</v>
      </c>
      <c r="C168" t="s">
        <v>32</v>
      </c>
      <c r="D168">
        <v>178</v>
      </c>
      <c r="E168">
        <v>221</v>
      </c>
      <c r="F168">
        <v>250</v>
      </c>
      <c r="G168">
        <v>385</v>
      </c>
      <c r="H168">
        <v>430</v>
      </c>
      <c r="I168">
        <v>418</v>
      </c>
      <c r="J168">
        <v>499</v>
      </c>
      <c r="K168">
        <v>604</v>
      </c>
      <c r="L168">
        <v>395</v>
      </c>
      <c r="M168">
        <v>468</v>
      </c>
      <c r="N168">
        <v>437</v>
      </c>
      <c r="O168">
        <v>613</v>
      </c>
      <c r="P168">
        <v>578</v>
      </c>
      <c r="Q168">
        <v>555</v>
      </c>
      <c r="R168">
        <v>683</v>
      </c>
    </row>
    <row r="169" spans="1:18">
      <c r="A169" t="s">
        <v>651</v>
      </c>
      <c r="B169" t="s">
        <v>175</v>
      </c>
      <c r="C169" s="4" t="s">
        <v>34</v>
      </c>
      <c r="D169">
        <v>132</v>
      </c>
      <c r="E169">
        <v>175</v>
      </c>
      <c r="F169">
        <v>184</v>
      </c>
      <c r="G169">
        <v>287</v>
      </c>
      <c r="H169">
        <v>335</v>
      </c>
      <c r="I169">
        <v>322</v>
      </c>
      <c r="J169">
        <v>323</v>
      </c>
      <c r="K169">
        <v>461</v>
      </c>
      <c r="L169">
        <v>319</v>
      </c>
      <c r="M169">
        <v>361</v>
      </c>
      <c r="N169">
        <v>367</v>
      </c>
      <c r="O169">
        <v>517</v>
      </c>
      <c r="P169">
        <v>452</v>
      </c>
      <c r="Q169">
        <v>444</v>
      </c>
      <c r="R169">
        <v>564</v>
      </c>
    </row>
    <row r="170" spans="1:18">
      <c r="A170" t="s">
        <v>652</v>
      </c>
      <c r="B170" t="s">
        <v>175</v>
      </c>
      <c r="C170" t="s">
        <v>169</v>
      </c>
      <c r="D170">
        <v>46</v>
      </c>
      <c r="E170">
        <v>46</v>
      </c>
      <c r="F170">
        <v>66</v>
      </c>
      <c r="G170">
        <v>98</v>
      </c>
      <c r="H170">
        <v>95</v>
      </c>
      <c r="I170">
        <v>96</v>
      </c>
      <c r="J170">
        <v>176</v>
      </c>
      <c r="K170">
        <v>143</v>
      </c>
      <c r="L170">
        <v>76</v>
      </c>
      <c r="M170">
        <v>107</v>
      </c>
      <c r="N170">
        <v>70</v>
      </c>
      <c r="O170">
        <v>96</v>
      </c>
      <c r="P170">
        <v>126</v>
      </c>
      <c r="Q170">
        <v>111</v>
      </c>
      <c r="R170">
        <v>119</v>
      </c>
    </row>
    <row r="171" spans="1:18">
      <c r="A171" t="s">
        <v>653</v>
      </c>
      <c r="B171" t="s">
        <v>175</v>
      </c>
      <c r="C171" t="s">
        <v>486</v>
      </c>
      <c r="D171">
        <v>3</v>
      </c>
      <c r="E171">
        <v>1</v>
      </c>
      <c r="F171">
        <v>1</v>
      </c>
      <c r="G171">
        <v>1</v>
      </c>
      <c r="H171">
        <v>1</v>
      </c>
      <c r="I171">
        <v>1</v>
      </c>
      <c r="J171">
        <v>2</v>
      </c>
      <c r="K171">
        <v>2</v>
      </c>
      <c r="L171">
        <v>3</v>
      </c>
      <c r="M171">
        <v>2</v>
      </c>
      <c r="N171">
        <v>2</v>
      </c>
      <c r="O171">
        <v>1</v>
      </c>
      <c r="P171">
        <v>2</v>
      </c>
      <c r="Q171">
        <v>3</v>
      </c>
      <c r="R171">
        <v>3</v>
      </c>
    </row>
    <row r="172" spans="1:18">
      <c r="A172" t="s">
        <v>654</v>
      </c>
      <c r="B172" t="s">
        <v>175</v>
      </c>
      <c r="C172" t="s">
        <v>488</v>
      </c>
      <c r="D172">
        <v>43</v>
      </c>
      <c r="E172">
        <v>48</v>
      </c>
      <c r="F172">
        <v>50</v>
      </c>
      <c r="G172">
        <v>45</v>
      </c>
      <c r="H172">
        <v>51</v>
      </c>
      <c r="I172">
        <v>53</v>
      </c>
      <c r="J172">
        <v>54</v>
      </c>
      <c r="K172">
        <v>53</v>
      </c>
      <c r="L172">
        <v>48</v>
      </c>
      <c r="M172">
        <v>46</v>
      </c>
      <c r="N172">
        <v>49</v>
      </c>
      <c r="O172">
        <v>55</v>
      </c>
      <c r="P172">
        <v>59</v>
      </c>
      <c r="Q172">
        <v>45</v>
      </c>
      <c r="R172">
        <v>43</v>
      </c>
    </row>
    <row r="173" spans="1:18">
      <c r="A173" t="s">
        <v>655</v>
      </c>
      <c r="B173" t="s">
        <v>175</v>
      </c>
      <c r="C173" t="s">
        <v>148</v>
      </c>
      <c r="D173">
        <v>8</v>
      </c>
      <c r="E173">
        <v>5</v>
      </c>
      <c r="F173">
        <v>1</v>
      </c>
      <c r="G173">
        <v>1</v>
      </c>
      <c r="H173">
        <v>1</v>
      </c>
      <c r="I173">
        <v>1</v>
      </c>
      <c r="J173">
        <v>3</v>
      </c>
      <c r="K173">
        <v>2</v>
      </c>
      <c r="L173">
        <v>3</v>
      </c>
      <c r="M173">
        <v>4</v>
      </c>
      <c r="N173">
        <v>3</v>
      </c>
      <c r="O173">
        <v>1</v>
      </c>
      <c r="P173">
        <v>2</v>
      </c>
      <c r="Q173">
        <v>2</v>
      </c>
      <c r="R173">
        <v>3</v>
      </c>
    </row>
    <row r="174" spans="1:18">
      <c r="A174" t="s">
        <v>656</v>
      </c>
      <c r="B174" t="s">
        <v>175</v>
      </c>
      <c r="C174" t="s">
        <v>184</v>
      </c>
      <c r="D174">
        <v>33</v>
      </c>
      <c r="E174">
        <v>38</v>
      </c>
      <c r="F174">
        <v>54</v>
      </c>
      <c r="G174">
        <v>48</v>
      </c>
      <c r="H174">
        <v>44</v>
      </c>
      <c r="I174">
        <v>45</v>
      </c>
      <c r="J174">
        <v>57</v>
      </c>
      <c r="K174">
        <v>55</v>
      </c>
      <c r="L174">
        <v>46</v>
      </c>
      <c r="M174">
        <v>55</v>
      </c>
      <c r="N174">
        <v>26</v>
      </c>
      <c r="O174">
        <v>31</v>
      </c>
      <c r="P174">
        <v>65</v>
      </c>
      <c r="Q174">
        <v>62</v>
      </c>
      <c r="R174">
        <v>43</v>
      </c>
    </row>
    <row r="175" spans="1:18">
      <c r="A175" t="s">
        <v>657</v>
      </c>
      <c r="B175" t="s">
        <v>175</v>
      </c>
      <c r="C175" s="4" t="s">
        <v>188</v>
      </c>
      <c r="D175">
        <v>31</v>
      </c>
      <c r="E175">
        <v>18</v>
      </c>
      <c r="F175">
        <v>21</v>
      </c>
      <c r="G175">
        <v>41</v>
      </c>
      <c r="H175">
        <v>34</v>
      </c>
      <c r="I175">
        <v>34</v>
      </c>
      <c r="J175">
        <v>41</v>
      </c>
      <c r="K175">
        <v>12</v>
      </c>
      <c r="L175">
        <v>11</v>
      </c>
      <c r="M175">
        <v>27</v>
      </c>
      <c r="N175">
        <v>34</v>
      </c>
      <c r="O175">
        <v>39</v>
      </c>
      <c r="P175">
        <v>40</v>
      </c>
      <c r="Q175">
        <v>46</v>
      </c>
      <c r="R175">
        <v>41</v>
      </c>
    </row>
    <row r="176" spans="1:18">
      <c r="A176" t="s">
        <v>658</v>
      </c>
      <c r="B176" t="s">
        <v>175</v>
      </c>
      <c r="C176" s="35" t="s">
        <v>189</v>
      </c>
      <c r="D176">
        <v>15</v>
      </c>
      <c r="E176">
        <v>28</v>
      </c>
      <c r="F176">
        <v>45</v>
      </c>
      <c r="G176">
        <v>57</v>
      </c>
      <c r="H176">
        <v>61</v>
      </c>
      <c r="I176">
        <v>62</v>
      </c>
      <c r="J176">
        <v>135</v>
      </c>
      <c r="K176">
        <v>131</v>
      </c>
      <c r="L176">
        <v>65</v>
      </c>
      <c r="M176">
        <v>80</v>
      </c>
      <c r="N176">
        <v>36</v>
      </c>
      <c r="O176">
        <v>57</v>
      </c>
      <c r="P176">
        <v>86</v>
      </c>
      <c r="Q176">
        <v>65</v>
      </c>
      <c r="R176">
        <v>78</v>
      </c>
    </row>
    <row r="177" spans="1:18">
      <c r="A177" t="s">
        <v>659</v>
      </c>
      <c r="B177" t="s">
        <v>175</v>
      </c>
      <c r="C177" t="s">
        <v>172</v>
      </c>
      <c r="D177">
        <v>10</v>
      </c>
      <c r="E177">
        <v>13</v>
      </c>
      <c r="F177">
        <v>16</v>
      </c>
      <c r="G177">
        <v>26</v>
      </c>
      <c r="H177">
        <v>30</v>
      </c>
      <c r="I177">
        <v>35</v>
      </c>
      <c r="J177">
        <v>70</v>
      </c>
      <c r="K177">
        <v>60</v>
      </c>
      <c r="L177">
        <v>38</v>
      </c>
      <c r="M177">
        <v>29</v>
      </c>
      <c r="N177">
        <v>8</v>
      </c>
      <c r="O177">
        <v>11</v>
      </c>
      <c r="P177">
        <v>9</v>
      </c>
      <c r="Q177">
        <v>8</v>
      </c>
      <c r="R177">
        <v>19</v>
      </c>
    </row>
    <row r="178" spans="1:18">
      <c r="A178" t="s">
        <v>660</v>
      </c>
      <c r="B178" t="s">
        <v>175</v>
      </c>
      <c r="C178" t="s">
        <v>30</v>
      </c>
      <c r="D178">
        <v>5</v>
      </c>
      <c r="E178">
        <v>15</v>
      </c>
      <c r="F178">
        <v>29</v>
      </c>
      <c r="G178">
        <v>31</v>
      </c>
      <c r="H178">
        <v>31</v>
      </c>
      <c r="I178">
        <v>27</v>
      </c>
      <c r="J178">
        <v>65</v>
      </c>
      <c r="K178">
        <v>71</v>
      </c>
      <c r="L178">
        <v>27</v>
      </c>
      <c r="M178">
        <v>51</v>
      </c>
      <c r="N178">
        <v>28</v>
      </c>
      <c r="O178">
        <v>46</v>
      </c>
      <c r="P178">
        <v>77</v>
      </c>
      <c r="Q178">
        <v>57</v>
      </c>
      <c r="R178">
        <v>59</v>
      </c>
    </row>
    <row r="179" spans="1:18">
      <c r="A179" t="s">
        <v>661</v>
      </c>
      <c r="B179" t="s">
        <v>175</v>
      </c>
      <c r="C179" t="s">
        <v>177</v>
      </c>
      <c r="D179">
        <v>174</v>
      </c>
      <c r="E179">
        <v>213</v>
      </c>
      <c r="F179">
        <v>336</v>
      </c>
      <c r="G179">
        <v>455</v>
      </c>
      <c r="H179">
        <v>804</v>
      </c>
      <c r="I179">
        <v>828</v>
      </c>
      <c r="J179">
        <v>889</v>
      </c>
      <c r="K179">
        <v>961</v>
      </c>
      <c r="L179">
        <v>772</v>
      </c>
      <c r="M179">
        <v>635</v>
      </c>
      <c r="N179">
        <v>742</v>
      </c>
      <c r="O179">
        <v>995</v>
      </c>
      <c r="P179">
        <v>939</v>
      </c>
      <c r="Q179">
        <v>979</v>
      </c>
      <c r="R179">
        <v>1046</v>
      </c>
    </row>
    <row r="180" spans="1:18">
      <c r="A180" t="s">
        <v>662</v>
      </c>
      <c r="B180" t="s">
        <v>175</v>
      </c>
      <c r="C180" t="s">
        <v>178</v>
      </c>
      <c r="D180">
        <v>151</v>
      </c>
      <c r="E180">
        <v>179</v>
      </c>
      <c r="F180">
        <v>303</v>
      </c>
      <c r="G180">
        <v>426</v>
      </c>
      <c r="H180">
        <v>738</v>
      </c>
      <c r="I180">
        <v>744</v>
      </c>
      <c r="J180">
        <v>843</v>
      </c>
      <c r="K180">
        <v>905</v>
      </c>
      <c r="L180">
        <v>707</v>
      </c>
      <c r="M180">
        <v>595</v>
      </c>
      <c r="N180">
        <v>690</v>
      </c>
      <c r="O180">
        <v>938</v>
      </c>
      <c r="P180">
        <v>874</v>
      </c>
      <c r="Q180">
        <v>914</v>
      </c>
      <c r="R180">
        <v>986</v>
      </c>
    </row>
    <row r="181" spans="1:18">
      <c r="A181" t="s">
        <v>663</v>
      </c>
      <c r="B181" t="s">
        <v>176</v>
      </c>
      <c r="C181" t="s">
        <v>32</v>
      </c>
      <c r="D181">
        <v>4</v>
      </c>
      <c r="E181">
        <v>2</v>
      </c>
      <c r="F181">
        <v>17</v>
      </c>
      <c r="G181">
        <v>27</v>
      </c>
      <c r="H181">
        <v>15</v>
      </c>
      <c r="I181">
        <v>10</v>
      </c>
      <c r="J181">
        <v>13</v>
      </c>
      <c r="K181">
        <v>48</v>
      </c>
      <c r="L181">
        <v>34</v>
      </c>
      <c r="M181">
        <v>15</v>
      </c>
      <c r="N181">
        <v>11</v>
      </c>
      <c r="O181">
        <v>20</v>
      </c>
      <c r="P181">
        <v>18</v>
      </c>
      <c r="Q181">
        <v>12</v>
      </c>
      <c r="R181">
        <v>35</v>
      </c>
    </row>
    <row r="182" spans="1:18">
      <c r="A182" t="s">
        <v>664</v>
      </c>
      <c r="B182" t="s">
        <v>176</v>
      </c>
      <c r="C182" s="4" t="s">
        <v>34</v>
      </c>
      <c r="D182">
        <v>4</v>
      </c>
      <c r="E182">
        <v>2</v>
      </c>
      <c r="F182">
        <v>7</v>
      </c>
      <c r="G182">
        <v>14</v>
      </c>
      <c r="H182">
        <v>12</v>
      </c>
      <c r="I182">
        <v>4</v>
      </c>
      <c r="J182">
        <v>7</v>
      </c>
      <c r="K182">
        <v>15</v>
      </c>
      <c r="L182">
        <v>16</v>
      </c>
      <c r="M182">
        <v>6</v>
      </c>
      <c r="N182">
        <v>4</v>
      </c>
      <c r="O182">
        <v>17</v>
      </c>
      <c r="P182">
        <v>12</v>
      </c>
      <c r="Q182">
        <v>10</v>
      </c>
      <c r="R182">
        <v>19</v>
      </c>
    </row>
    <row r="183" spans="1:18">
      <c r="A183" t="s">
        <v>665</v>
      </c>
      <c r="B183" t="s">
        <v>176</v>
      </c>
      <c r="C183" t="s">
        <v>169</v>
      </c>
      <c r="D183">
        <v>0</v>
      </c>
      <c r="E183">
        <v>0</v>
      </c>
      <c r="F183">
        <v>10</v>
      </c>
      <c r="G183">
        <v>13</v>
      </c>
      <c r="H183">
        <v>3</v>
      </c>
      <c r="I183">
        <v>6</v>
      </c>
      <c r="J183">
        <v>6</v>
      </c>
      <c r="K183">
        <v>33</v>
      </c>
      <c r="L183">
        <v>18</v>
      </c>
      <c r="M183">
        <v>9</v>
      </c>
      <c r="N183">
        <v>7</v>
      </c>
      <c r="O183">
        <v>3</v>
      </c>
      <c r="P183">
        <v>6</v>
      </c>
      <c r="Q183">
        <v>2</v>
      </c>
      <c r="R183">
        <v>16</v>
      </c>
    </row>
    <row r="184" spans="1:18">
      <c r="A184" t="s">
        <v>666</v>
      </c>
      <c r="B184" t="s">
        <v>176</v>
      </c>
      <c r="C184" t="s">
        <v>170</v>
      </c>
      <c r="D184">
        <v>151</v>
      </c>
      <c r="E184">
        <v>179</v>
      </c>
      <c r="F184">
        <v>303</v>
      </c>
      <c r="G184">
        <v>426</v>
      </c>
      <c r="H184">
        <v>738</v>
      </c>
      <c r="I184">
        <v>744</v>
      </c>
      <c r="J184">
        <v>843</v>
      </c>
      <c r="K184">
        <v>905</v>
      </c>
      <c r="L184">
        <v>707</v>
      </c>
      <c r="M184">
        <v>595</v>
      </c>
      <c r="N184">
        <v>690</v>
      </c>
      <c r="O184">
        <v>938</v>
      </c>
      <c r="P184">
        <v>874</v>
      </c>
      <c r="Q184">
        <v>914</v>
      </c>
      <c r="R184">
        <v>986</v>
      </c>
    </row>
    <row r="185" spans="1:18">
      <c r="A185" t="s">
        <v>667</v>
      </c>
      <c r="B185" t="s">
        <v>176</v>
      </c>
      <c r="C185" t="s">
        <v>171</v>
      </c>
      <c r="D185">
        <v>174</v>
      </c>
      <c r="E185">
        <v>213</v>
      </c>
      <c r="F185">
        <v>336</v>
      </c>
      <c r="G185">
        <v>455</v>
      </c>
      <c r="H185">
        <v>804</v>
      </c>
      <c r="I185">
        <v>828</v>
      </c>
      <c r="J185">
        <v>889</v>
      </c>
      <c r="K185">
        <v>961</v>
      </c>
      <c r="L185">
        <v>772</v>
      </c>
      <c r="M185">
        <v>635</v>
      </c>
      <c r="N185">
        <v>742</v>
      </c>
      <c r="O185">
        <v>995</v>
      </c>
      <c r="P185">
        <v>939</v>
      </c>
      <c r="Q185">
        <v>979</v>
      </c>
      <c r="R185">
        <v>1046</v>
      </c>
    </row>
    <row r="186" spans="1:18">
      <c r="A186" t="s">
        <v>668</v>
      </c>
      <c r="B186" t="s">
        <v>176</v>
      </c>
      <c r="C186" t="s">
        <v>148</v>
      </c>
      <c r="D186">
        <v>1</v>
      </c>
      <c r="E186">
        <v>1</v>
      </c>
      <c r="F186">
        <v>50</v>
      </c>
      <c r="G186">
        <v>14</v>
      </c>
      <c r="H186">
        <v>1</v>
      </c>
      <c r="I186">
        <v>28</v>
      </c>
      <c r="J186">
        <v>11</v>
      </c>
      <c r="K186">
        <v>52</v>
      </c>
      <c r="L186">
        <v>22</v>
      </c>
      <c r="M186">
        <v>27</v>
      </c>
      <c r="N186">
        <v>21</v>
      </c>
      <c r="O186">
        <v>1</v>
      </c>
      <c r="P186">
        <v>1</v>
      </c>
      <c r="Q186">
        <v>6</v>
      </c>
      <c r="R186">
        <v>17</v>
      </c>
    </row>
    <row r="187" spans="1:18">
      <c r="A187" t="s">
        <v>669</v>
      </c>
      <c r="B187" t="s">
        <v>176</v>
      </c>
      <c r="C187" t="s">
        <v>184</v>
      </c>
      <c r="D187">
        <v>1</v>
      </c>
      <c r="E187">
        <v>1</v>
      </c>
      <c r="F187">
        <v>59</v>
      </c>
      <c r="G187">
        <v>64</v>
      </c>
      <c r="H187">
        <v>54</v>
      </c>
      <c r="I187">
        <v>53</v>
      </c>
      <c r="J187">
        <v>76</v>
      </c>
      <c r="K187">
        <v>68</v>
      </c>
      <c r="L187">
        <v>59</v>
      </c>
      <c r="M187">
        <v>62</v>
      </c>
      <c r="N187">
        <v>58</v>
      </c>
      <c r="O187">
        <v>23</v>
      </c>
      <c r="P187">
        <v>58</v>
      </c>
      <c r="Q187">
        <v>69</v>
      </c>
      <c r="R187">
        <v>69</v>
      </c>
    </row>
    <row r="188" spans="1:18">
      <c r="A188" t="s">
        <v>670</v>
      </c>
      <c r="B188" t="s">
        <v>176</v>
      </c>
      <c r="C188" s="4" t="s">
        <v>188</v>
      </c>
      <c r="D188">
        <v>0</v>
      </c>
      <c r="E188">
        <v>0</v>
      </c>
      <c r="F188">
        <v>1</v>
      </c>
      <c r="G188">
        <v>4</v>
      </c>
      <c r="H188">
        <v>0</v>
      </c>
      <c r="I188">
        <v>1</v>
      </c>
      <c r="J188">
        <v>0</v>
      </c>
      <c r="K188">
        <v>1</v>
      </c>
      <c r="L188">
        <v>2</v>
      </c>
      <c r="M188">
        <v>3</v>
      </c>
      <c r="N188">
        <v>3</v>
      </c>
      <c r="O188">
        <v>2</v>
      </c>
      <c r="P188">
        <v>1</v>
      </c>
      <c r="Q188">
        <v>0</v>
      </c>
      <c r="R188">
        <v>8</v>
      </c>
    </row>
    <row r="189" spans="1:18">
      <c r="A189" t="s">
        <v>671</v>
      </c>
      <c r="B189" t="s">
        <v>179</v>
      </c>
      <c r="C189" s="35" t="s">
        <v>189</v>
      </c>
      <c r="D189">
        <v>0</v>
      </c>
      <c r="E189">
        <v>0</v>
      </c>
      <c r="F189">
        <v>9</v>
      </c>
      <c r="G189">
        <v>9</v>
      </c>
      <c r="H189">
        <v>3</v>
      </c>
      <c r="I189">
        <v>5</v>
      </c>
      <c r="J189">
        <v>6</v>
      </c>
      <c r="K189">
        <v>32</v>
      </c>
      <c r="L189">
        <v>16</v>
      </c>
      <c r="M189">
        <v>6</v>
      </c>
      <c r="N189">
        <v>4</v>
      </c>
      <c r="O189">
        <v>1</v>
      </c>
      <c r="P189">
        <v>5</v>
      </c>
      <c r="Q189">
        <v>2</v>
      </c>
      <c r="R189">
        <v>8</v>
      </c>
    </row>
    <row r="190" spans="1:18">
      <c r="A190" t="s">
        <v>672</v>
      </c>
      <c r="B190" t="s">
        <v>176</v>
      </c>
      <c r="C190" t="s">
        <v>172</v>
      </c>
      <c r="D190">
        <v>0</v>
      </c>
      <c r="E190">
        <v>0</v>
      </c>
      <c r="F190">
        <v>1</v>
      </c>
      <c r="G190">
        <v>2</v>
      </c>
      <c r="H190">
        <v>1</v>
      </c>
      <c r="I190">
        <v>3</v>
      </c>
      <c r="J190">
        <v>0</v>
      </c>
      <c r="K190">
        <v>8</v>
      </c>
      <c r="L190">
        <v>10</v>
      </c>
      <c r="M190">
        <v>4</v>
      </c>
      <c r="N190">
        <v>1</v>
      </c>
      <c r="O190">
        <v>0</v>
      </c>
      <c r="P190">
        <v>3</v>
      </c>
      <c r="Q190">
        <v>0</v>
      </c>
      <c r="R190">
        <v>3</v>
      </c>
    </row>
    <row r="191" spans="1:18">
      <c r="A191" t="s">
        <v>673</v>
      </c>
      <c r="B191" t="s">
        <v>176</v>
      </c>
      <c r="C191" t="s">
        <v>30</v>
      </c>
      <c r="D191">
        <v>0</v>
      </c>
      <c r="E191">
        <v>0</v>
      </c>
      <c r="F191">
        <v>8</v>
      </c>
      <c r="G191">
        <v>7</v>
      </c>
      <c r="H191">
        <v>2</v>
      </c>
      <c r="I191">
        <v>2</v>
      </c>
      <c r="J191">
        <v>6</v>
      </c>
      <c r="K191">
        <v>24</v>
      </c>
      <c r="L191">
        <v>6</v>
      </c>
      <c r="M191">
        <v>2</v>
      </c>
      <c r="N191">
        <v>3</v>
      </c>
      <c r="O191">
        <v>1</v>
      </c>
      <c r="P191">
        <v>2</v>
      </c>
      <c r="Q191">
        <v>2</v>
      </c>
      <c r="R191">
        <v>5</v>
      </c>
    </row>
    <row r="192" spans="1:18">
      <c r="A192" t="s">
        <v>674</v>
      </c>
      <c r="B192" t="s">
        <v>176</v>
      </c>
      <c r="C192" t="s">
        <v>177</v>
      </c>
      <c r="D192">
        <v>6</v>
      </c>
      <c r="E192">
        <v>6</v>
      </c>
      <c r="F192">
        <v>9</v>
      </c>
      <c r="G192">
        <v>17</v>
      </c>
      <c r="H192">
        <v>25</v>
      </c>
      <c r="I192">
        <v>12</v>
      </c>
      <c r="J192">
        <v>26</v>
      </c>
      <c r="K192">
        <v>16</v>
      </c>
      <c r="L192">
        <v>25</v>
      </c>
      <c r="M192">
        <v>14</v>
      </c>
      <c r="N192">
        <v>13</v>
      </c>
      <c r="O192">
        <v>25</v>
      </c>
      <c r="P192">
        <v>26</v>
      </c>
      <c r="Q192">
        <v>22</v>
      </c>
      <c r="R192">
        <v>32</v>
      </c>
    </row>
    <row r="193" spans="1:18">
      <c r="A193" t="s">
        <v>675</v>
      </c>
      <c r="B193" t="s">
        <v>176</v>
      </c>
      <c r="C193" t="s">
        <v>178</v>
      </c>
      <c r="D193">
        <v>6</v>
      </c>
      <c r="E193">
        <v>6</v>
      </c>
      <c r="F193">
        <v>8</v>
      </c>
      <c r="G193">
        <v>17</v>
      </c>
      <c r="H193">
        <v>24</v>
      </c>
      <c r="I193">
        <v>12</v>
      </c>
      <c r="J193">
        <v>26</v>
      </c>
      <c r="K193">
        <v>16</v>
      </c>
      <c r="L193">
        <v>25</v>
      </c>
      <c r="M193">
        <v>14</v>
      </c>
      <c r="N193">
        <v>13</v>
      </c>
      <c r="O193">
        <v>25</v>
      </c>
      <c r="P193">
        <v>25</v>
      </c>
      <c r="Q193">
        <v>22</v>
      </c>
      <c r="R193">
        <v>32</v>
      </c>
    </row>
    <row r="194" spans="1:18">
      <c r="A194" t="s">
        <v>676</v>
      </c>
      <c r="B194" t="s">
        <v>173</v>
      </c>
      <c r="C194" t="s">
        <v>32</v>
      </c>
      <c r="D194">
        <v>93</v>
      </c>
      <c r="E194">
        <v>120</v>
      </c>
      <c r="F194">
        <v>128</v>
      </c>
      <c r="G194">
        <v>117</v>
      </c>
      <c r="H194">
        <v>229</v>
      </c>
      <c r="I194">
        <v>262</v>
      </c>
      <c r="J194">
        <v>296</v>
      </c>
      <c r="K194">
        <v>266</v>
      </c>
      <c r="L194">
        <v>179</v>
      </c>
      <c r="M194">
        <v>287</v>
      </c>
      <c r="N194">
        <v>249</v>
      </c>
      <c r="O194">
        <v>177</v>
      </c>
      <c r="P194">
        <v>239</v>
      </c>
      <c r="Q194">
        <v>217</v>
      </c>
      <c r="R194">
        <v>244</v>
      </c>
    </row>
    <row r="195" spans="1:18">
      <c r="A195" t="s">
        <v>677</v>
      </c>
      <c r="B195" t="s">
        <v>173</v>
      </c>
      <c r="C195" s="4" t="s">
        <v>34</v>
      </c>
      <c r="D195">
        <v>91</v>
      </c>
      <c r="E195">
        <v>107</v>
      </c>
      <c r="F195">
        <v>120</v>
      </c>
      <c r="G195">
        <v>99</v>
      </c>
      <c r="H195">
        <v>191</v>
      </c>
      <c r="I195">
        <v>174</v>
      </c>
      <c r="J195">
        <v>217</v>
      </c>
      <c r="K195">
        <v>133</v>
      </c>
      <c r="L195">
        <v>101</v>
      </c>
      <c r="M195">
        <v>120</v>
      </c>
      <c r="N195">
        <v>134</v>
      </c>
      <c r="O195">
        <v>113</v>
      </c>
      <c r="P195">
        <v>159</v>
      </c>
      <c r="Q195">
        <v>141</v>
      </c>
      <c r="R195">
        <v>144</v>
      </c>
    </row>
    <row r="196" spans="1:18">
      <c r="A196" t="s">
        <v>678</v>
      </c>
      <c r="B196" t="s">
        <v>173</v>
      </c>
      <c r="C196" t="s">
        <v>169</v>
      </c>
      <c r="D196">
        <v>2</v>
      </c>
      <c r="E196">
        <v>13</v>
      </c>
      <c r="F196">
        <v>8</v>
      </c>
      <c r="G196">
        <v>18</v>
      </c>
      <c r="H196">
        <v>38</v>
      </c>
      <c r="I196">
        <v>88</v>
      </c>
      <c r="J196">
        <v>79</v>
      </c>
      <c r="K196">
        <v>133</v>
      </c>
      <c r="L196">
        <v>78</v>
      </c>
      <c r="M196">
        <v>167</v>
      </c>
      <c r="N196">
        <v>115</v>
      </c>
      <c r="O196">
        <v>64</v>
      </c>
      <c r="P196">
        <v>80</v>
      </c>
      <c r="Q196">
        <v>76</v>
      </c>
      <c r="R196">
        <v>100</v>
      </c>
    </row>
    <row r="197" spans="1:18">
      <c r="A197" t="s">
        <v>679</v>
      </c>
      <c r="B197" t="s">
        <v>173</v>
      </c>
      <c r="C197" t="s">
        <v>486</v>
      </c>
      <c r="D197">
        <v>1</v>
      </c>
      <c r="E197">
        <v>1</v>
      </c>
      <c r="F197">
        <v>1</v>
      </c>
      <c r="G197">
        <v>2</v>
      </c>
      <c r="H197">
        <v>2</v>
      </c>
      <c r="I197">
        <v>3</v>
      </c>
      <c r="J197">
        <v>5</v>
      </c>
      <c r="K197">
        <v>25</v>
      </c>
      <c r="L197">
        <v>20</v>
      </c>
      <c r="M197">
        <v>16</v>
      </c>
      <c r="N197">
        <v>7</v>
      </c>
      <c r="O197">
        <v>5</v>
      </c>
      <c r="P197">
        <v>7</v>
      </c>
      <c r="Q197">
        <v>8</v>
      </c>
      <c r="R197">
        <v>12</v>
      </c>
    </row>
    <row r="198" spans="1:18">
      <c r="A198" t="s">
        <v>680</v>
      </c>
      <c r="B198" t="s">
        <v>173</v>
      </c>
      <c r="C198" t="s">
        <v>488</v>
      </c>
      <c r="D198">
        <v>8</v>
      </c>
      <c r="E198">
        <v>20</v>
      </c>
      <c r="F198">
        <v>28</v>
      </c>
      <c r="G198">
        <v>61</v>
      </c>
      <c r="H198">
        <v>67</v>
      </c>
      <c r="I198">
        <v>82</v>
      </c>
      <c r="J198">
        <v>82</v>
      </c>
      <c r="K198">
        <v>82</v>
      </c>
      <c r="L198">
        <v>81</v>
      </c>
      <c r="M198">
        <v>80</v>
      </c>
      <c r="N198">
        <v>78</v>
      </c>
      <c r="O198">
        <v>81</v>
      </c>
      <c r="P198">
        <v>78</v>
      </c>
      <c r="Q198">
        <v>80</v>
      </c>
      <c r="R198">
        <v>78</v>
      </c>
    </row>
    <row r="199" spans="1:18">
      <c r="A199" t="s">
        <v>681</v>
      </c>
      <c r="B199" t="s">
        <v>173</v>
      </c>
      <c r="C199" t="s">
        <v>148</v>
      </c>
      <c r="D199">
        <v>1</v>
      </c>
      <c r="E199">
        <v>1</v>
      </c>
      <c r="F199">
        <v>1</v>
      </c>
      <c r="G199">
        <v>1</v>
      </c>
      <c r="H199">
        <v>1</v>
      </c>
      <c r="I199">
        <v>3</v>
      </c>
      <c r="J199">
        <v>2</v>
      </c>
      <c r="K199">
        <v>18</v>
      </c>
      <c r="L199">
        <v>9</v>
      </c>
      <c r="M199">
        <v>42</v>
      </c>
      <c r="N199">
        <v>11</v>
      </c>
      <c r="O199">
        <v>4</v>
      </c>
      <c r="P199">
        <v>6</v>
      </c>
      <c r="Q199">
        <v>4</v>
      </c>
      <c r="R199">
        <v>12</v>
      </c>
    </row>
    <row r="200" spans="1:18">
      <c r="A200" t="s">
        <v>682</v>
      </c>
      <c r="B200" t="s">
        <v>173</v>
      </c>
      <c r="C200" t="s">
        <v>184</v>
      </c>
      <c r="D200">
        <v>6</v>
      </c>
      <c r="E200">
        <v>21</v>
      </c>
      <c r="F200">
        <v>14</v>
      </c>
      <c r="G200">
        <v>28</v>
      </c>
      <c r="H200">
        <v>35</v>
      </c>
      <c r="I200">
        <v>84</v>
      </c>
      <c r="J200">
        <v>70</v>
      </c>
      <c r="K200">
        <v>84</v>
      </c>
      <c r="L200">
        <v>82</v>
      </c>
      <c r="M200">
        <v>80</v>
      </c>
      <c r="N200">
        <v>78</v>
      </c>
      <c r="O200">
        <v>84</v>
      </c>
      <c r="P200">
        <v>71</v>
      </c>
      <c r="Q200">
        <v>81</v>
      </c>
      <c r="R200">
        <v>78</v>
      </c>
    </row>
    <row r="201" spans="1:18">
      <c r="A201" t="s">
        <v>683</v>
      </c>
      <c r="B201" t="s">
        <v>173</v>
      </c>
      <c r="C201" s="4" t="s">
        <v>188</v>
      </c>
      <c r="D201">
        <v>1</v>
      </c>
      <c r="E201">
        <v>5</v>
      </c>
      <c r="F201">
        <v>5</v>
      </c>
      <c r="G201">
        <v>9</v>
      </c>
      <c r="H201">
        <v>16</v>
      </c>
      <c r="I201">
        <v>18</v>
      </c>
      <c r="J201">
        <v>10</v>
      </c>
      <c r="K201">
        <v>16</v>
      </c>
      <c r="L201">
        <v>5</v>
      </c>
      <c r="M201">
        <v>18</v>
      </c>
      <c r="N201">
        <v>17</v>
      </c>
      <c r="O201">
        <v>11</v>
      </c>
      <c r="P201">
        <v>32</v>
      </c>
      <c r="Q201">
        <v>28</v>
      </c>
      <c r="R201">
        <v>30</v>
      </c>
    </row>
    <row r="202" spans="1:18">
      <c r="A202" t="s">
        <v>684</v>
      </c>
      <c r="B202" t="s">
        <v>173</v>
      </c>
      <c r="C202" s="35" t="s">
        <v>189</v>
      </c>
      <c r="D202">
        <v>1</v>
      </c>
      <c r="E202">
        <v>8</v>
      </c>
      <c r="F202">
        <v>3</v>
      </c>
      <c r="G202">
        <v>9</v>
      </c>
      <c r="H202">
        <v>22</v>
      </c>
      <c r="I202">
        <v>70</v>
      </c>
      <c r="J202">
        <v>69</v>
      </c>
      <c r="K202">
        <v>117</v>
      </c>
      <c r="L202">
        <v>73</v>
      </c>
      <c r="M202">
        <v>149</v>
      </c>
      <c r="N202">
        <v>98</v>
      </c>
      <c r="O202">
        <v>53</v>
      </c>
      <c r="P202">
        <v>48</v>
      </c>
      <c r="Q202">
        <v>48</v>
      </c>
      <c r="R202">
        <v>70</v>
      </c>
    </row>
    <row r="203" spans="1:18">
      <c r="A203" t="s">
        <v>685</v>
      </c>
      <c r="B203" t="s">
        <v>173</v>
      </c>
      <c r="C203" t="s">
        <v>172</v>
      </c>
      <c r="D203">
        <v>0</v>
      </c>
      <c r="E203">
        <v>6</v>
      </c>
      <c r="F203">
        <v>1</v>
      </c>
      <c r="G203">
        <v>6</v>
      </c>
      <c r="H203">
        <v>3</v>
      </c>
      <c r="I203">
        <v>11</v>
      </c>
      <c r="J203">
        <v>20</v>
      </c>
      <c r="K203">
        <v>30</v>
      </c>
      <c r="L203">
        <v>15</v>
      </c>
      <c r="M203">
        <v>49</v>
      </c>
      <c r="N203">
        <v>23</v>
      </c>
      <c r="O203">
        <v>11</v>
      </c>
      <c r="P203">
        <v>11</v>
      </c>
      <c r="Q203">
        <v>6</v>
      </c>
      <c r="R203">
        <v>20</v>
      </c>
    </row>
    <row r="204" spans="1:18">
      <c r="A204" t="s">
        <v>686</v>
      </c>
      <c r="B204" t="s">
        <v>173</v>
      </c>
      <c r="C204" t="s">
        <v>30</v>
      </c>
      <c r="D204">
        <v>1</v>
      </c>
      <c r="E204">
        <v>2</v>
      </c>
      <c r="F204">
        <v>2</v>
      </c>
      <c r="G204">
        <v>3</v>
      </c>
      <c r="H204">
        <v>19</v>
      </c>
      <c r="I204">
        <v>59</v>
      </c>
      <c r="J204">
        <v>49</v>
      </c>
      <c r="K204">
        <v>87</v>
      </c>
      <c r="L204">
        <v>58</v>
      </c>
      <c r="M204">
        <v>100</v>
      </c>
      <c r="N204">
        <v>75</v>
      </c>
      <c r="O204">
        <v>42</v>
      </c>
      <c r="P204">
        <v>37</v>
      </c>
      <c r="Q204">
        <v>42</v>
      </c>
      <c r="R204">
        <v>50</v>
      </c>
    </row>
    <row r="205" spans="1:18">
      <c r="A205" t="s">
        <v>687</v>
      </c>
      <c r="B205" t="s">
        <v>174</v>
      </c>
      <c r="C205" t="s">
        <v>32</v>
      </c>
      <c r="D205">
        <v>4</v>
      </c>
      <c r="E205">
        <v>3</v>
      </c>
      <c r="F205">
        <v>6</v>
      </c>
      <c r="G205">
        <v>7</v>
      </c>
      <c r="H205">
        <v>3</v>
      </c>
      <c r="I205">
        <v>14</v>
      </c>
      <c r="J205">
        <v>12</v>
      </c>
      <c r="K205">
        <v>24</v>
      </c>
      <c r="L205">
        <v>8</v>
      </c>
      <c r="M205">
        <v>10</v>
      </c>
      <c r="N205">
        <v>17</v>
      </c>
      <c r="O205">
        <v>8</v>
      </c>
      <c r="P205">
        <v>10</v>
      </c>
      <c r="Q205">
        <v>23</v>
      </c>
      <c r="R205">
        <v>21</v>
      </c>
    </row>
    <row r="206" spans="1:18">
      <c r="A206" t="s">
        <v>688</v>
      </c>
      <c r="B206" t="s">
        <v>174</v>
      </c>
      <c r="C206" s="4" t="s">
        <v>34</v>
      </c>
      <c r="D206">
        <v>4</v>
      </c>
      <c r="E206">
        <v>1</v>
      </c>
      <c r="F206">
        <v>5</v>
      </c>
      <c r="G206">
        <v>6</v>
      </c>
      <c r="H206">
        <v>3</v>
      </c>
      <c r="I206">
        <v>11</v>
      </c>
      <c r="J206">
        <v>7</v>
      </c>
      <c r="K206">
        <v>5</v>
      </c>
      <c r="L206">
        <v>5</v>
      </c>
      <c r="M206">
        <v>2</v>
      </c>
      <c r="N206">
        <v>6</v>
      </c>
      <c r="O206">
        <v>5</v>
      </c>
      <c r="P206">
        <v>8</v>
      </c>
      <c r="Q206">
        <v>13</v>
      </c>
      <c r="R206">
        <v>6</v>
      </c>
    </row>
    <row r="207" spans="1:18">
      <c r="A207" t="s">
        <v>689</v>
      </c>
      <c r="B207" t="s">
        <v>174</v>
      </c>
      <c r="C207" t="s">
        <v>169</v>
      </c>
      <c r="D207">
        <v>0</v>
      </c>
      <c r="E207">
        <v>2</v>
      </c>
      <c r="F207">
        <v>1</v>
      </c>
      <c r="G207">
        <v>1</v>
      </c>
      <c r="H207">
        <v>0</v>
      </c>
      <c r="I207">
        <v>3</v>
      </c>
      <c r="J207">
        <v>5</v>
      </c>
      <c r="K207">
        <v>19</v>
      </c>
      <c r="L207">
        <v>3</v>
      </c>
      <c r="M207">
        <v>8</v>
      </c>
      <c r="N207">
        <v>11</v>
      </c>
      <c r="O207">
        <v>3</v>
      </c>
      <c r="P207">
        <v>2</v>
      </c>
      <c r="Q207">
        <v>10</v>
      </c>
      <c r="R207">
        <v>15</v>
      </c>
    </row>
    <row r="208" spans="1:18">
      <c r="A208" t="s">
        <v>690</v>
      </c>
      <c r="B208" t="s">
        <v>174</v>
      </c>
      <c r="C208" t="s">
        <v>486</v>
      </c>
      <c r="D208">
        <v>1</v>
      </c>
      <c r="E208">
        <v>1</v>
      </c>
      <c r="F208">
        <v>1</v>
      </c>
      <c r="G208">
        <v>1</v>
      </c>
      <c r="H208">
        <v>3</v>
      </c>
      <c r="I208">
        <v>26</v>
      </c>
      <c r="J208">
        <v>33</v>
      </c>
      <c r="K208">
        <v>37</v>
      </c>
      <c r="L208">
        <v>27</v>
      </c>
      <c r="M208">
        <v>27</v>
      </c>
      <c r="N208">
        <v>8</v>
      </c>
      <c r="O208">
        <v>10</v>
      </c>
      <c r="P208">
        <v>18</v>
      </c>
      <c r="Q208">
        <v>21</v>
      </c>
      <c r="R208">
        <v>26</v>
      </c>
    </row>
    <row r="209" spans="1:18">
      <c r="A209" t="s">
        <v>691</v>
      </c>
      <c r="B209" t="s">
        <v>174</v>
      </c>
      <c r="C209" t="s">
        <v>488</v>
      </c>
      <c r="D209">
        <v>28</v>
      </c>
      <c r="E209">
        <v>28</v>
      </c>
      <c r="F209">
        <v>22</v>
      </c>
      <c r="G209">
        <v>29</v>
      </c>
      <c r="H209">
        <v>48</v>
      </c>
      <c r="I209">
        <v>50</v>
      </c>
      <c r="J209">
        <v>53</v>
      </c>
      <c r="K209">
        <v>67</v>
      </c>
      <c r="L209">
        <v>66</v>
      </c>
      <c r="M209">
        <v>53</v>
      </c>
      <c r="N209">
        <v>49</v>
      </c>
      <c r="O209">
        <v>33</v>
      </c>
      <c r="P209">
        <v>54</v>
      </c>
      <c r="Q209">
        <v>54</v>
      </c>
      <c r="R209">
        <v>80</v>
      </c>
    </row>
    <row r="210" spans="1:18">
      <c r="A210" t="s">
        <v>692</v>
      </c>
      <c r="B210" t="s">
        <v>174</v>
      </c>
      <c r="C210" t="s">
        <v>148</v>
      </c>
      <c r="D210">
        <v>1</v>
      </c>
      <c r="E210">
        <v>21</v>
      </c>
      <c r="F210">
        <v>1</v>
      </c>
      <c r="G210">
        <v>1</v>
      </c>
      <c r="H210">
        <v>1</v>
      </c>
      <c r="I210">
        <v>1</v>
      </c>
      <c r="J210">
        <v>7</v>
      </c>
      <c r="K210">
        <v>38</v>
      </c>
      <c r="L210">
        <v>2</v>
      </c>
      <c r="M210">
        <v>45</v>
      </c>
      <c r="N210">
        <v>26</v>
      </c>
      <c r="O210">
        <v>4</v>
      </c>
      <c r="P210">
        <v>2</v>
      </c>
      <c r="Q210">
        <v>18</v>
      </c>
      <c r="R210">
        <v>26</v>
      </c>
    </row>
    <row r="211" spans="1:18">
      <c r="A211" t="s">
        <v>693</v>
      </c>
      <c r="B211" t="s">
        <v>174</v>
      </c>
      <c r="C211" t="s">
        <v>184</v>
      </c>
      <c r="D211">
        <v>8</v>
      </c>
      <c r="E211">
        <v>45</v>
      </c>
      <c r="F211">
        <v>28</v>
      </c>
      <c r="G211">
        <v>22</v>
      </c>
      <c r="H211">
        <v>10</v>
      </c>
      <c r="I211">
        <v>36</v>
      </c>
      <c r="J211">
        <v>50</v>
      </c>
      <c r="K211">
        <v>67</v>
      </c>
      <c r="L211">
        <v>80</v>
      </c>
      <c r="M211">
        <v>53</v>
      </c>
      <c r="N211">
        <v>66</v>
      </c>
      <c r="O211">
        <v>41</v>
      </c>
      <c r="P211">
        <v>31</v>
      </c>
      <c r="Q211">
        <v>30</v>
      </c>
      <c r="R211">
        <v>80</v>
      </c>
    </row>
    <row r="212" spans="1:18">
      <c r="A212" t="s">
        <v>694</v>
      </c>
      <c r="B212" t="s">
        <v>174</v>
      </c>
      <c r="C212" s="4" t="s">
        <v>188</v>
      </c>
      <c r="D212">
        <v>0</v>
      </c>
      <c r="E212">
        <v>1</v>
      </c>
      <c r="F212">
        <v>1</v>
      </c>
      <c r="G212">
        <v>1</v>
      </c>
      <c r="H212">
        <v>0</v>
      </c>
      <c r="I212">
        <v>1</v>
      </c>
      <c r="J212">
        <v>2</v>
      </c>
      <c r="K212">
        <v>5</v>
      </c>
      <c r="L212">
        <v>0</v>
      </c>
      <c r="M212">
        <v>2</v>
      </c>
      <c r="N212">
        <v>4</v>
      </c>
      <c r="O212">
        <v>2</v>
      </c>
      <c r="P212">
        <v>1</v>
      </c>
      <c r="Q212">
        <v>9</v>
      </c>
      <c r="R212">
        <v>9</v>
      </c>
    </row>
    <row r="213" spans="1:18">
      <c r="A213" t="s">
        <v>695</v>
      </c>
      <c r="B213" t="s">
        <v>174</v>
      </c>
      <c r="C213" s="35" t="s">
        <v>189</v>
      </c>
      <c r="D213">
        <v>0</v>
      </c>
      <c r="E213">
        <v>1</v>
      </c>
      <c r="F213">
        <v>0</v>
      </c>
      <c r="G213">
        <v>0</v>
      </c>
      <c r="H213">
        <v>0</v>
      </c>
      <c r="I213">
        <v>2</v>
      </c>
      <c r="J213">
        <v>3</v>
      </c>
      <c r="K213">
        <v>14</v>
      </c>
      <c r="L213">
        <v>3</v>
      </c>
      <c r="M213">
        <v>6</v>
      </c>
      <c r="N213">
        <v>7</v>
      </c>
      <c r="O213">
        <v>1</v>
      </c>
      <c r="P213">
        <v>1</v>
      </c>
      <c r="Q213">
        <v>1</v>
      </c>
      <c r="R213">
        <v>6</v>
      </c>
    </row>
    <row r="214" spans="1:18">
      <c r="A214" t="s">
        <v>696</v>
      </c>
      <c r="B214" t="s">
        <v>174</v>
      </c>
      <c r="C214" t="s">
        <v>172</v>
      </c>
      <c r="D214">
        <v>0</v>
      </c>
      <c r="E214">
        <v>1</v>
      </c>
      <c r="F214">
        <v>0</v>
      </c>
      <c r="G214">
        <v>0</v>
      </c>
      <c r="H214">
        <v>0</v>
      </c>
      <c r="I214">
        <v>2</v>
      </c>
      <c r="J214">
        <v>2</v>
      </c>
      <c r="K214">
        <v>10</v>
      </c>
      <c r="L214">
        <v>2</v>
      </c>
      <c r="M214">
        <v>4</v>
      </c>
      <c r="N214">
        <v>5</v>
      </c>
      <c r="O214">
        <v>1</v>
      </c>
      <c r="P214">
        <v>0</v>
      </c>
      <c r="Q214">
        <v>0</v>
      </c>
      <c r="R214">
        <v>1</v>
      </c>
    </row>
    <row r="215" spans="1:18">
      <c r="A215" t="s">
        <v>697</v>
      </c>
      <c r="B215" t="s">
        <v>174</v>
      </c>
      <c r="C215" t="s">
        <v>30</v>
      </c>
      <c r="D215">
        <v>0</v>
      </c>
      <c r="E215">
        <v>0</v>
      </c>
      <c r="F215">
        <v>0</v>
      </c>
      <c r="G215">
        <v>0</v>
      </c>
      <c r="H215">
        <v>0</v>
      </c>
      <c r="I215">
        <v>0</v>
      </c>
      <c r="J215">
        <v>1</v>
      </c>
      <c r="K215">
        <v>4</v>
      </c>
      <c r="L215">
        <v>1</v>
      </c>
      <c r="M215">
        <v>2</v>
      </c>
      <c r="N215">
        <v>2</v>
      </c>
      <c r="O215">
        <v>0</v>
      </c>
      <c r="P215">
        <v>1</v>
      </c>
      <c r="Q215">
        <v>1</v>
      </c>
      <c r="R215">
        <v>5</v>
      </c>
    </row>
    <row r="216" spans="1:18">
      <c r="A216" t="s">
        <v>698</v>
      </c>
      <c r="B216" t="s">
        <v>175</v>
      </c>
      <c r="C216" t="s">
        <v>32</v>
      </c>
      <c r="D216">
        <v>93</v>
      </c>
      <c r="E216">
        <v>120</v>
      </c>
      <c r="F216">
        <v>128</v>
      </c>
      <c r="G216">
        <v>117</v>
      </c>
      <c r="H216">
        <v>229</v>
      </c>
      <c r="I216">
        <v>262</v>
      </c>
      <c r="J216">
        <v>296</v>
      </c>
      <c r="K216">
        <v>266</v>
      </c>
      <c r="L216">
        <v>179</v>
      </c>
      <c r="M216">
        <v>287</v>
      </c>
      <c r="N216">
        <v>249</v>
      </c>
      <c r="O216">
        <v>177</v>
      </c>
      <c r="P216">
        <v>239</v>
      </c>
      <c r="Q216">
        <v>217</v>
      </c>
      <c r="R216">
        <v>244</v>
      </c>
    </row>
    <row r="217" spans="1:18">
      <c r="A217" t="s">
        <v>699</v>
      </c>
      <c r="B217" t="s">
        <v>175</v>
      </c>
      <c r="C217" s="4" t="s">
        <v>34</v>
      </c>
      <c r="D217">
        <v>91</v>
      </c>
      <c r="E217">
        <v>106</v>
      </c>
      <c r="F217">
        <v>118</v>
      </c>
      <c r="G217">
        <v>99</v>
      </c>
      <c r="H217">
        <v>191</v>
      </c>
      <c r="I217">
        <v>174</v>
      </c>
      <c r="J217">
        <v>217</v>
      </c>
      <c r="K217">
        <v>132</v>
      </c>
      <c r="L217">
        <v>100</v>
      </c>
      <c r="M217">
        <v>120</v>
      </c>
      <c r="N217">
        <v>134</v>
      </c>
      <c r="O217">
        <v>112</v>
      </c>
      <c r="P217">
        <v>158</v>
      </c>
      <c r="Q217">
        <v>141</v>
      </c>
      <c r="R217">
        <v>142</v>
      </c>
    </row>
    <row r="218" spans="1:18">
      <c r="A218" t="s">
        <v>700</v>
      </c>
      <c r="B218" t="s">
        <v>175</v>
      </c>
      <c r="C218" t="s">
        <v>169</v>
      </c>
      <c r="D218">
        <v>2</v>
      </c>
      <c r="E218">
        <v>14</v>
      </c>
      <c r="F218">
        <v>10</v>
      </c>
      <c r="G218">
        <v>18</v>
      </c>
      <c r="H218">
        <v>38</v>
      </c>
      <c r="I218">
        <v>88</v>
      </c>
      <c r="J218">
        <v>79</v>
      </c>
      <c r="K218">
        <v>134</v>
      </c>
      <c r="L218">
        <v>79</v>
      </c>
      <c r="M218">
        <v>167</v>
      </c>
      <c r="N218">
        <v>115</v>
      </c>
      <c r="O218">
        <v>65</v>
      </c>
      <c r="P218">
        <v>81</v>
      </c>
      <c r="Q218">
        <v>76</v>
      </c>
      <c r="R218">
        <v>102</v>
      </c>
    </row>
    <row r="219" spans="1:18">
      <c r="A219" t="s">
        <v>701</v>
      </c>
      <c r="B219" t="s">
        <v>175</v>
      </c>
      <c r="C219" t="s">
        <v>486</v>
      </c>
      <c r="D219">
        <v>1</v>
      </c>
      <c r="E219">
        <v>1</v>
      </c>
      <c r="F219">
        <v>1</v>
      </c>
      <c r="G219">
        <v>2</v>
      </c>
      <c r="H219">
        <v>2</v>
      </c>
      <c r="I219">
        <v>3</v>
      </c>
      <c r="J219">
        <v>5</v>
      </c>
      <c r="K219">
        <v>25</v>
      </c>
      <c r="L219">
        <v>20</v>
      </c>
      <c r="M219">
        <v>17</v>
      </c>
      <c r="N219">
        <v>7</v>
      </c>
      <c r="O219">
        <v>5</v>
      </c>
      <c r="P219">
        <v>7</v>
      </c>
      <c r="Q219">
        <v>10</v>
      </c>
      <c r="R219">
        <v>13</v>
      </c>
    </row>
    <row r="220" spans="1:18">
      <c r="A220" t="s">
        <v>702</v>
      </c>
      <c r="B220" t="s">
        <v>175</v>
      </c>
      <c r="C220" t="s">
        <v>488</v>
      </c>
      <c r="D220">
        <v>13</v>
      </c>
      <c r="E220">
        <v>20</v>
      </c>
      <c r="F220">
        <v>28</v>
      </c>
      <c r="G220">
        <v>61</v>
      </c>
      <c r="H220">
        <v>68</v>
      </c>
      <c r="I220">
        <v>82</v>
      </c>
      <c r="J220">
        <v>82</v>
      </c>
      <c r="K220">
        <v>82</v>
      </c>
      <c r="L220">
        <v>81</v>
      </c>
      <c r="M220">
        <v>80</v>
      </c>
      <c r="N220">
        <v>79</v>
      </c>
      <c r="O220">
        <v>81</v>
      </c>
      <c r="P220">
        <v>78</v>
      </c>
      <c r="Q220">
        <v>80</v>
      </c>
      <c r="R220">
        <v>78</v>
      </c>
    </row>
    <row r="221" spans="1:18">
      <c r="A221" t="s">
        <v>703</v>
      </c>
      <c r="B221" t="s">
        <v>175</v>
      </c>
      <c r="C221" t="s">
        <v>148</v>
      </c>
      <c r="D221">
        <v>1</v>
      </c>
      <c r="E221">
        <v>1</v>
      </c>
      <c r="F221">
        <v>1</v>
      </c>
      <c r="G221">
        <v>1</v>
      </c>
      <c r="H221">
        <v>1</v>
      </c>
      <c r="I221">
        <v>3</v>
      </c>
      <c r="J221">
        <v>2</v>
      </c>
      <c r="K221">
        <v>19</v>
      </c>
      <c r="L221">
        <v>9</v>
      </c>
      <c r="M221">
        <v>43</v>
      </c>
      <c r="N221">
        <v>11</v>
      </c>
      <c r="O221">
        <v>5</v>
      </c>
      <c r="P221">
        <v>6</v>
      </c>
      <c r="Q221">
        <v>4</v>
      </c>
      <c r="R221">
        <v>13</v>
      </c>
    </row>
    <row r="222" spans="1:18">
      <c r="A222" t="s">
        <v>704</v>
      </c>
      <c r="B222" t="s">
        <v>175</v>
      </c>
      <c r="C222" t="s">
        <v>184</v>
      </c>
      <c r="D222">
        <v>6</v>
      </c>
      <c r="E222">
        <v>23</v>
      </c>
      <c r="F222">
        <v>15</v>
      </c>
      <c r="G222">
        <v>28</v>
      </c>
      <c r="H222">
        <v>35</v>
      </c>
      <c r="I222">
        <v>84</v>
      </c>
      <c r="J222">
        <v>71</v>
      </c>
      <c r="K222">
        <v>84</v>
      </c>
      <c r="L222">
        <v>82</v>
      </c>
      <c r="M222">
        <v>80</v>
      </c>
      <c r="N222">
        <v>78</v>
      </c>
      <c r="O222">
        <v>84</v>
      </c>
      <c r="P222">
        <v>74</v>
      </c>
      <c r="Q222">
        <v>81</v>
      </c>
      <c r="R222">
        <v>78</v>
      </c>
    </row>
    <row r="223" spans="1:18">
      <c r="A223" t="s">
        <v>705</v>
      </c>
      <c r="B223" t="s">
        <v>175</v>
      </c>
      <c r="C223" s="4" t="s">
        <v>188</v>
      </c>
      <c r="D223">
        <v>1</v>
      </c>
      <c r="E223">
        <v>6</v>
      </c>
      <c r="F223">
        <v>7</v>
      </c>
      <c r="G223">
        <v>9</v>
      </c>
      <c r="H223">
        <v>16</v>
      </c>
      <c r="I223">
        <v>18</v>
      </c>
      <c r="J223">
        <v>10</v>
      </c>
      <c r="K223">
        <v>17</v>
      </c>
      <c r="L223">
        <v>6</v>
      </c>
      <c r="M223">
        <v>18</v>
      </c>
      <c r="N223">
        <v>17</v>
      </c>
      <c r="O223">
        <v>12</v>
      </c>
      <c r="P223">
        <v>33</v>
      </c>
      <c r="Q223">
        <v>28</v>
      </c>
      <c r="R223">
        <v>32</v>
      </c>
    </row>
    <row r="224" spans="1:18">
      <c r="A224" t="s">
        <v>706</v>
      </c>
      <c r="B224" t="s">
        <v>175</v>
      </c>
      <c r="C224" s="35" t="s">
        <v>189</v>
      </c>
      <c r="D224">
        <v>1</v>
      </c>
      <c r="E224">
        <v>8</v>
      </c>
      <c r="F224">
        <v>3</v>
      </c>
      <c r="G224">
        <v>9</v>
      </c>
      <c r="H224">
        <v>22</v>
      </c>
      <c r="I224">
        <v>70</v>
      </c>
      <c r="J224">
        <v>69</v>
      </c>
      <c r="K224">
        <v>117</v>
      </c>
      <c r="L224">
        <v>73</v>
      </c>
      <c r="M224">
        <v>149</v>
      </c>
      <c r="N224">
        <v>98</v>
      </c>
      <c r="O224">
        <v>53</v>
      </c>
      <c r="P224">
        <v>48</v>
      </c>
      <c r="Q224">
        <v>48</v>
      </c>
      <c r="R224">
        <v>70</v>
      </c>
    </row>
    <row r="225" spans="1:18">
      <c r="A225" t="s">
        <v>707</v>
      </c>
      <c r="B225" t="s">
        <v>175</v>
      </c>
      <c r="C225" t="s">
        <v>172</v>
      </c>
      <c r="D225">
        <v>0</v>
      </c>
      <c r="E225">
        <v>6</v>
      </c>
      <c r="F225">
        <v>1</v>
      </c>
      <c r="G225">
        <v>6</v>
      </c>
      <c r="H225">
        <v>3</v>
      </c>
      <c r="I225">
        <v>11</v>
      </c>
      <c r="J225">
        <v>20</v>
      </c>
      <c r="K225">
        <v>30</v>
      </c>
      <c r="L225">
        <v>15</v>
      </c>
      <c r="M225">
        <v>48</v>
      </c>
      <c r="N225">
        <v>23</v>
      </c>
      <c r="O225">
        <v>11</v>
      </c>
      <c r="P225">
        <v>11</v>
      </c>
      <c r="Q225">
        <v>6</v>
      </c>
      <c r="R225">
        <v>20</v>
      </c>
    </row>
    <row r="226" spans="1:18">
      <c r="A226" t="s">
        <v>708</v>
      </c>
      <c r="B226" t="s">
        <v>175</v>
      </c>
      <c r="C226" t="s">
        <v>30</v>
      </c>
      <c r="D226">
        <v>1</v>
      </c>
      <c r="E226">
        <v>2</v>
      </c>
      <c r="F226">
        <v>2</v>
      </c>
      <c r="G226">
        <v>3</v>
      </c>
      <c r="H226">
        <v>19</v>
      </c>
      <c r="I226">
        <v>59</v>
      </c>
      <c r="J226">
        <v>49</v>
      </c>
      <c r="K226">
        <v>87</v>
      </c>
      <c r="L226">
        <v>58</v>
      </c>
      <c r="M226">
        <v>101</v>
      </c>
      <c r="N226">
        <v>75</v>
      </c>
      <c r="O226">
        <v>42</v>
      </c>
      <c r="P226">
        <v>37</v>
      </c>
      <c r="Q226">
        <v>42</v>
      </c>
      <c r="R226">
        <v>50</v>
      </c>
    </row>
    <row r="227" spans="1:18">
      <c r="A227" t="s">
        <v>709</v>
      </c>
      <c r="B227" t="s">
        <v>175</v>
      </c>
      <c r="C227" t="s">
        <v>177</v>
      </c>
      <c r="D227">
        <v>196</v>
      </c>
      <c r="E227">
        <v>256</v>
      </c>
      <c r="F227">
        <v>349</v>
      </c>
      <c r="G227">
        <v>371</v>
      </c>
      <c r="H227">
        <v>482</v>
      </c>
      <c r="I227">
        <v>479</v>
      </c>
      <c r="J227">
        <v>647</v>
      </c>
      <c r="K227">
        <v>632</v>
      </c>
      <c r="L227">
        <v>491</v>
      </c>
      <c r="M227">
        <v>501</v>
      </c>
      <c r="N227">
        <v>394</v>
      </c>
      <c r="O227">
        <v>477</v>
      </c>
      <c r="P227">
        <v>409</v>
      </c>
      <c r="Q227">
        <v>409</v>
      </c>
      <c r="R227">
        <v>453</v>
      </c>
    </row>
    <row r="228" spans="1:18">
      <c r="A228" t="s">
        <v>710</v>
      </c>
      <c r="B228" t="s">
        <v>175</v>
      </c>
      <c r="C228" t="s">
        <v>178</v>
      </c>
      <c r="D228">
        <v>193</v>
      </c>
      <c r="E228">
        <v>246</v>
      </c>
      <c r="F228">
        <v>340</v>
      </c>
      <c r="G228">
        <v>361</v>
      </c>
      <c r="H228">
        <v>452</v>
      </c>
      <c r="I228">
        <v>474</v>
      </c>
      <c r="J228">
        <v>638</v>
      </c>
      <c r="K228">
        <v>605</v>
      </c>
      <c r="L228">
        <v>473</v>
      </c>
      <c r="M228">
        <v>469</v>
      </c>
      <c r="N228">
        <v>375</v>
      </c>
      <c r="O228">
        <v>466</v>
      </c>
      <c r="P228">
        <v>387</v>
      </c>
      <c r="Q228">
        <v>398</v>
      </c>
      <c r="R228">
        <v>425</v>
      </c>
    </row>
    <row r="229" spans="1:18">
      <c r="A229" t="s">
        <v>711</v>
      </c>
      <c r="B229" t="s">
        <v>176</v>
      </c>
      <c r="C229" t="s">
        <v>32</v>
      </c>
      <c r="D229">
        <v>4</v>
      </c>
      <c r="E229">
        <v>3</v>
      </c>
      <c r="F229">
        <v>6</v>
      </c>
      <c r="G229">
        <v>7</v>
      </c>
      <c r="H229">
        <v>3</v>
      </c>
      <c r="I229">
        <v>14</v>
      </c>
      <c r="J229">
        <v>12</v>
      </c>
      <c r="K229">
        <v>24</v>
      </c>
      <c r="L229">
        <v>8</v>
      </c>
      <c r="M229">
        <v>10</v>
      </c>
      <c r="N229">
        <v>17</v>
      </c>
      <c r="O229">
        <v>8</v>
      </c>
      <c r="P229">
        <v>10</v>
      </c>
      <c r="Q229">
        <v>23</v>
      </c>
      <c r="R229">
        <v>21</v>
      </c>
    </row>
    <row r="230" spans="1:18">
      <c r="A230" t="s">
        <v>712</v>
      </c>
      <c r="B230" t="s">
        <v>176</v>
      </c>
      <c r="C230" s="4" t="s">
        <v>34</v>
      </c>
      <c r="D230">
        <v>4</v>
      </c>
      <c r="E230">
        <v>1</v>
      </c>
      <c r="F230">
        <v>5</v>
      </c>
      <c r="G230">
        <v>6</v>
      </c>
      <c r="H230">
        <v>3</v>
      </c>
      <c r="I230">
        <v>11</v>
      </c>
      <c r="J230">
        <v>7</v>
      </c>
      <c r="K230">
        <v>5</v>
      </c>
      <c r="L230">
        <v>5</v>
      </c>
      <c r="M230">
        <v>2</v>
      </c>
      <c r="N230">
        <v>6</v>
      </c>
      <c r="O230">
        <v>5</v>
      </c>
      <c r="P230">
        <v>8</v>
      </c>
      <c r="Q230">
        <v>13</v>
      </c>
      <c r="R230">
        <v>6</v>
      </c>
    </row>
    <row r="231" spans="1:18">
      <c r="A231" t="s">
        <v>713</v>
      </c>
      <c r="B231" t="s">
        <v>176</v>
      </c>
      <c r="C231" t="s">
        <v>169</v>
      </c>
      <c r="D231">
        <v>0</v>
      </c>
      <c r="E231">
        <v>2</v>
      </c>
      <c r="F231">
        <v>1</v>
      </c>
      <c r="G231">
        <v>1</v>
      </c>
      <c r="H231">
        <v>0</v>
      </c>
      <c r="I231">
        <v>3</v>
      </c>
      <c r="J231">
        <v>5</v>
      </c>
      <c r="K231">
        <v>19</v>
      </c>
      <c r="L231">
        <v>3</v>
      </c>
      <c r="M231">
        <v>8</v>
      </c>
      <c r="N231">
        <v>11</v>
      </c>
      <c r="O231">
        <v>3</v>
      </c>
      <c r="P231">
        <v>2</v>
      </c>
      <c r="Q231">
        <v>10</v>
      </c>
      <c r="R231">
        <v>15</v>
      </c>
    </row>
    <row r="232" spans="1:18">
      <c r="A232" t="s">
        <v>714</v>
      </c>
      <c r="B232" t="s">
        <v>176</v>
      </c>
      <c r="C232" t="s">
        <v>170</v>
      </c>
      <c r="D232">
        <v>193</v>
      </c>
      <c r="E232">
        <v>246</v>
      </c>
      <c r="F232">
        <v>340</v>
      </c>
      <c r="G232">
        <v>361</v>
      </c>
      <c r="H232">
        <v>452</v>
      </c>
      <c r="I232">
        <v>474</v>
      </c>
      <c r="J232">
        <v>638</v>
      </c>
      <c r="K232">
        <v>605</v>
      </c>
      <c r="L232">
        <v>473</v>
      </c>
      <c r="M232">
        <v>469</v>
      </c>
      <c r="N232">
        <v>375</v>
      </c>
      <c r="O232">
        <v>466</v>
      </c>
      <c r="P232">
        <v>387</v>
      </c>
      <c r="Q232">
        <v>398</v>
      </c>
      <c r="R232">
        <v>425</v>
      </c>
    </row>
    <row r="233" spans="1:18">
      <c r="A233" t="s">
        <v>715</v>
      </c>
      <c r="B233" t="s">
        <v>176</v>
      </c>
      <c r="C233" t="s">
        <v>171</v>
      </c>
      <c r="D233">
        <v>196</v>
      </c>
      <c r="E233">
        <v>256</v>
      </c>
      <c r="F233">
        <v>349</v>
      </c>
      <c r="G233">
        <v>371</v>
      </c>
      <c r="H233">
        <v>482</v>
      </c>
      <c r="I233">
        <v>479</v>
      </c>
      <c r="J233">
        <v>647</v>
      </c>
      <c r="K233">
        <v>632</v>
      </c>
      <c r="L233">
        <v>491</v>
      </c>
      <c r="M233">
        <v>501</v>
      </c>
      <c r="N233">
        <v>394</v>
      </c>
      <c r="O233">
        <v>477</v>
      </c>
      <c r="P233">
        <v>409</v>
      </c>
      <c r="Q233">
        <v>409</v>
      </c>
      <c r="R233">
        <v>453</v>
      </c>
    </row>
    <row r="234" spans="1:18">
      <c r="A234" t="s">
        <v>716</v>
      </c>
      <c r="B234" t="s">
        <v>176</v>
      </c>
      <c r="C234" t="s">
        <v>148</v>
      </c>
      <c r="D234">
        <v>1</v>
      </c>
      <c r="E234">
        <v>21</v>
      </c>
      <c r="F234">
        <v>1</v>
      </c>
      <c r="G234">
        <v>1</v>
      </c>
      <c r="H234">
        <v>1</v>
      </c>
      <c r="I234">
        <v>1</v>
      </c>
      <c r="J234">
        <v>7</v>
      </c>
      <c r="K234">
        <v>38</v>
      </c>
      <c r="L234">
        <v>2</v>
      </c>
      <c r="M234">
        <v>45</v>
      </c>
      <c r="N234">
        <v>26</v>
      </c>
      <c r="O234">
        <v>4</v>
      </c>
      <c r="P234">
        <v>2</v>
      </c>
      <c r="Q234">
        <v>18</v>
      </c>
      <c r="R234">
        <v>26</v>
      </c>
    </row>
    <row r="235" spans="1:18">
      <c r="A235" t="s">
        <v>717</v>
      </c>
      <c r="B235" t="s">
        <v>176</v>
      </c>
      <c r="C235" t="s">
        <v>184</v>
      </c>
      <c r="D235">
        <v>8</v>
      </c>
      <c r="E235">
        <v>45</v>
      </c>
      <c r="F235">
        <v>28</v>
      </c>
      <c r="G235">
        <v>22</v>
      </c>
      <c r="H235">
        <v>10</v>
      </c>
      <c r="I235">
        <v>36</v>
      </c>
      <c r="J235">
        <v>50</v>
      </c>
      <c r="K235">
        <v>67</v>
      </c>
      <c r="L235">
        <v>80</v>
      </c>
      <c r="M235">
        <v>53</v>
      </c>
      <c r="N235">
        <v>66</v>
      </c>
      <c r="O235">
        <v>41</v>
      </c>
      <c r="P235">
        <v>31</v>
      </c>
      <c r="Q235">
        <v>30</v>
      </c>
      <c r="R235">
        <v>80</v>
      </c>
    </row>
    <row r="236" spans="1:18">
      <c r="A236" t="s">
        <v>718</v>
      </c>
      <c r="B236" t="s">
        <v>176</v>
      </c>
      <c r="C236" s="4" t="s">
        <v>188</v>
      </c>
      <c r="D236">
        <v>0</v>
      </c>
      <c r="E236">
        <v>1</v>
      </c>
      <c r="F236">
        <v>1</v>
      </c>
      <c r="G236">
        <v>1</v>
      </c>
      <c r="H236">
        <v>0</v>
      </c>
      <c r="I236">
        <v>1</v>
      </c>
      <c r="J236">
        <v>2</v>
      </c>
      <c r="K236">
        <v>5</v>
      </c>
      <c r="L236">
        <v>0</v>
      </c>
      <c r="M236">
        <v>2</v>
      </c>
      <c r="N236">
        <v>4</v>
      </c>
      <c r="O236">
        <v>2</v>
      </c>
      <c r="P236">
        <v>1</v>
      </c>
      <c r="Q236">
        <v>9</v>
      </c>
      <c r="R236">
        <v>9</v>
      </c>
    </row>
    <row r="237" spans="1:18">
      <c r="A237" t="s">
        <v>719</v>
      </c>
      <c r="B237" t="s">
        <v>179</v>
      </c>
      <c r="C237" s="35" t="s">
        <v>189</v>
      </c>
      <c r="D237">
        <v>0</v>
      </c>
      <c r="E237">
        <v>1</v>
      </c>
      <c r="F237">
        <v>0</v>
      </c>
      <c r="G237">
        <v>0</v>
      </c>
      <c r="H237">
        <v>0</v>
      </c>
      <c r="I237">
        <v>2</v>
      </c>
      <c r="J237">
        <v>3</v>
      </c>
      <c r="K237">
        <v>14</v>
      </c>
      <c r="L237">
        <v>3</v>
      </c>
      <c r="M237">
        <v>6</v>
      </c>
      <c r="N237">
        <v>7</v>
      </c>
      <c r="O237">
        <v>1</v>
      </c>
      <c r="P237">
        <v>1</v>
      </c>
      <c r="Q237">
        <v>1</v>
      </c>
      <c r="R237">
        <v>6</v>
      </c>
    </row>
    <row r="238" spans="1:18">
      <c r="A238" t="s">
        <v>720</v>
      </c>
      <c r="B238" t="s">
        <v>176</v>
      </c>
      <c r="C238" t="s">
        <v>172</v>
      </c>
      <c r="D238">
        <v>0</v>
      </c>
      <c r="E238">
        <v>1</v>
      </c>
      <c r="F238">
        <v>0</v>
      </c>
      <c r="G238">
        <v>0</v>
      </c>
      <c r="H238">
        <v>0</v>
      </c>
      <c r="I238">
        <v>2</v>
      </c>
      <c r="J238">
        <v>2</v>
      </c>
      <c r="K238">
        <v>10</v>
      </c>
      <c r="L238">
        <v>2</v>
      </c>
      <c r="M238">
        <v>4</v>
      </c>
      <c r="N238">
        <v>5</v>
      </c>
      <c r="O238">
        <v>1</v>
      </c>
      <c r="P238">
        <v>0</v>
      </c>
      <c r="Q238">
        <v>0</v>
      </c>
      <c r="R238">
        <v>1</v>
      </c>
    </row>
    <row r="239" spans="1:18">
      <c r="A239" t="s">
        <v>721</v>
      </c>
      <c r="B239" t="s">
        <v>176</v>
      </c>
      <c r="C239" t="s">
        <v>30</v>
      </c>
      <c r="D239">
        <v>0</v>
      </c>
      <c r="E239">
        <v>0</v>
      </c>
      <c r="F239">
        <v>0</v>
      </c>
      <c r="G239">
        <v>0</v>
      </c>
      <c r="H239">
        <v>0</v>
      </c>
      <c r="I239">
        <v>0</v>
      </c>
      <c r="J239">
        <v>1</v>
      </c>
      <c r="K239">
        <v>4</v>
      </c>
      <c r="L239">
        <v>1</v>
      </c>
      <c r="M239">
        <v>2</v>
      </c>
      <c r="N239">
        <v>2</v>
      </c>
      <c r="O239">
        <v>0</v>
      </c>
      <c r="P239">
        <v>1</v>
      </c>
      <c r="Q239">
        <v>1</v>
      </c>
      <c r="R239">
        <v>5</v>
      </c>
    </row>
    <row r="240" spans="1:18">
      <c r="A240" t="s">
        <v>722</v>
      </c>
      <c r="B240" t="s">
        <v>176</v>
      </c>
      <c r="C240" t="s">
        <v>177</v>
      </c>
      <c r="D240">
        <v>7</v>
      </c>
      <c r="E240">
        <v>8</v>
      </c>
      <c r="F240">
        <v>13</v>
      </c>
      <c r="G240">
        <v>11</v>
      </c>
      <c r="H240">
        <v>13</v>
      </c>
      <c r="I240">
        <v>11</v>
      </c>
      <c r="J240">
        <v>19</v>
      </c>
      <c r="K240">
        <v>21</v>
      </c>
      <c r="L240">
        <v>24</v>
      </c>
      <c r="M240">
        <v>29</v>
      </c>
      <c r="N240">
        <v>15</v>
      </c>
      <c r="O240">
        <v>26</v>
      </c>
      <c r="P240">
        <v>23</v>
      </c>
      <c r="Q240">
        <v>24</v>
      </c>
      <c r="R240">
        <v>32</v>
      </c>
    </row>
    <row r="241" spans="1:18">
      <c r="A241" t="s">
        <v>723</v>
      </c>
      <c r="B241" t="s">
        <v>176</v>
      </c>
      <c r="C241" t="s">
        <v>178</v>
      </c>
      <c r="D241">
        <v>7</v>
      </c>
      <c r="E241">
        <v>8</v>
      </c>
      <c r="F241">
        <v>12</v>
      </c>
      <c r="G241">
        <v>11</v>
      </c>
      <c r="H241">
        <v>12</v>
      </c>
      <c r="I241">
        <v>11</v>
      </c>
      <c r="J241">
        <v>17</v>
      </c>
      <c r="K241">
        <v>17</v>
      </c>
      <c r="L241">
        <v>22</v>
      </c>
      <c r="M241">
        <v>27</v>
      </c>
      <c r="N241">
        <v>15</v>
      </c>
      <c r="O241">
        <v>26</v>
      </c>
      <c r="P241">
        <v>22</v>
      </c>
      <c r="Q241">
        <v>24</v>
      </c>
      <c r="R241">
        <v>30</v>
      </c>
    </row>
    <row r="242" spans="1:18">
      <c r="A242" t="s">
        <v>724</v>
      </c>
      <c r="B242" t="s">
        <v>173</v>
      </c>
      <c r="C242" t="s">
        <v>32</v>
      </c>
      <c r="D242">
        <v>287</v>
      </c>
      <c r="E242">
        <v>264</v>
      </c>
      <c r="F242">
        <v>347</v>
      </c>
      <c r="G242">
        <v>383</v>
      </c>
      <c r="H242">
        <v>407</v>
      </c>
      <c r="I242">
        <v>343</v>
      </c>
      <c r="J242">
        <v>379</v>
      </c>
      <c r="K242">
        <v>473</v>
      </c>
      <c r="L242">
        <v>453</v>
      </c>
      <c r="M242">
        <v>371</v>
      </c>
      <c r="N242">
        <v>460</v>
      </c>
      <c r="O242">
        <v>494</v>
      </c>
      <c r="P242">
        <v>471</v>
      </c>
      <c r="Q242">
        <v>566</v>
      </c>
      <c r="R242">
        <v>616</v>
      </c>
    </row>
    <row r="243" spans="1:18">
      <c r="A243" t="s">
        <v>725</v>
      </c>
      <c r="B243" t="s">
        <v>173</v>
      </c>
      <c r="C243" s="4" t="s">
        <v>34</v>
      </c>
      <c r="D243">
        <v>251</v>
      </c>
      <c r="E243">
        <v>203</v>
      </c>
      <c r="F243">
        <v>263</v>
      </c>
      <c r="G243">
        <v>289</v>
      </c>
      <c r="H243">
        <v>316</v>
      </c>
      <c r="I243">
        <v>233</v>
      </c>
      <c r="J243">
        <v>312</v>
      </c>
      <c r="K243">
        <v>371</v>
      </c>
      <c r="L243">
        <v>394</v>
      </c>
      <c r="M243">
        <v>296</v>
      </c>
      <c r="N243">
        <v>321</v>
      </c>
      <c r="O243">
        <v>376</v>
      </c>
      <c r="P243">
        <v>354</v>
      </c>
      <c r="Q243">
        <v>466</v>
      </c>
      <c r="R243">
        <v>529</v>
      </c>
    </row>
    <row r="244" spans="1:18">
      <c r="A244" t="s">
        <v>726</v>
      </c>
      <c r="B244" t="s">
        <v>173</v>
      </c>
      <c r="C244" t="s">
        <v>169</v>
      </c>
      <c r="D244">
        <v>36</v>
      </c>
      <c r="E244">
        <v>61</v>
      </c>
      <c r="F244">
        <v>84</v>
      </c>
      <c r="G244">
        <v>94</v>
      </c>
      <c r="H244">
        <v>91</v>
      </c>
      <c r="I244">
        <v>110</v>
      </c>
      <c r="J244">
        <v>67</v>
      </c>
      <c r="K244">
        <v>102</v>
      </c>
      <c r="L244">
        <v>59</v>
      </c>
      <c r="M244">
        <v>75</v>
      </c>
      <c r="N244">
        <v>139</v>
      </c>
      <c r="O244">
        <v>118</v>
      </c>
      <c r="P244">
        <v>117</v>
      </c>
      <c r="Q244">
        <v>100</v>
      </c>
      <c r="R244">
        <v>87</v>
      </c>
    </row>
    <row r="245" spans="1:18">
      <c r="A245" t="s">
        <v>727</v>
      </c>
      <c r="B245" t="s">
        <v>173</v>
      </c>
      <c r="C245" t="s">
        <v>486</v>
      </c>
      <c r="D245">
        <v>5</v>
      </c>
      <c r="E245">
        <v>3</v>
      </c>
      <c r="F245">
        <v>3</v>
      </c>
      <c r="G245">
        <v>3</v>
      </c>
      <c r="H245">
        <v>3</v>
      </c>
      <c r="I245">
        <v>4</v>
      </c>
      <c r="J245">
        <v>2</v>
      </c>
      <c r="K245">
        <v>2</v>
      </c>
      <c r="L245">
        <v>2</v>
      </c>
      <c r="M245">
        <v>4</v>
      </c>
      <c r="N245">
        <v>4</v>
      </c>
      <c r="O245">
        <v>4</v>
      </c>
      <c r="P245">
        <v>5</v>
      </c>
      <c r="Q245">
        <v>5</v>
      </c>
      <c r="R245">
        <v>5</v>
      </c>
    </row>
    <row r="246" spans="1:18">
      <c r="A246" t="s">
        <v>728</v>
      </c>
      <c r="B246" t="s">
        <v>173</v>
      </c>
      <c r="C246" t="s">
        <v>488</v>
      </c>
      <c r="D246">
        <v>31</v>
      </c>
      <c r="E246">
        <v>35</v>
      </c>
      <c r="F246">
        <v>35</v>
      </c>
      <c r="G246">
        <v>43</v>
      </c>
      <c r="H246">
        <v>45</v>
      </c>
      <c r="I246">
        <v>49</v>
      </c>
      <c r="J246">
        <v>46</v>
      </c>
      <c r="K246">
        <v>46</v>
      </c>
      <c r="L246">
        <v>48</v>
      </c>
      <c r="M246">
        <v>47</v>
      </c>
      <c r="N246">
        <v>42</v>
      </c>
      <c r="O246">
        <v>31</v>
      </c>
      <c r="P246">
        <v>29</v>
      </c>
      <c r="Q246">
        <v>27</v>
      </c>
      <c r="R246">
        <v>25</v>
      </c>
    </row>
    <row r="247" spans="1:18">
      <c r="A247" t="s">
        <v>729</v>
      </c>
      <c r="B247" t="s">
        <v>173</v>
      </c>
      <c r="C247" t="s">
        <v>148</v>
      </c>
      <c r="D247">
        <v>9</v>
      </c>
      <c r="E247">
        <v>6</v>
      </c>
      <c r="F247">
        <v>2</v>
      </c>
      <c r="G247">
        <v>3</v>
      </c>
      <c r="H247">
        <v>2</v>
      </c>
      <c r="I247">
        <v>4</v>
      </c>
      <c r="J247">
        <v>3</v>
      </c>
      <c r="K247">
        <v>4</v>
      </c>
      <c r="L247">
        <v>1</v>
      </c>
      <c r="M247">
        <v>4</v>
      </c>
      <c r="N247">
        <v>7</v>
      </c>
      <c r="O247">
        <v>3</v>
      </c>
      <c r="P247">
        <v>4</v>
      </c>
      <c r="Q247">
        <v>6</v>
      </c>
      <c r="R247">
        <v>5</v>
      </c>
    </row>
    <row r="248" spans="1:18">
      <c r="A248" t="s">
        <v>730</v>
      </c>
      <c r="B248" t="s">
        <v>173</v>
      </c>
      <c r="C248" t="s">
        <v>184</v>
      </c>
      <c r="D248">
        <v>20</v>
      </c>
      <c r="E248">
        <v>35</v>
      </c>
      <c r="F248">
        <v>36</v>
      </c>
      <c r="G248">
        <v>35</v>
      </c>
      <c r="H248">
        <v>35</v>
      </c>
      <c r="I248">
        <v>47</v>
      </c>
      <c r="J248">
        <v>46</v>
      </c>
      <c r="K248">
        <v>51</v>
      </c>
      <c r="L248">
        <v>43</v>
      </c>
      <c r="M248">
        <v>48</v>
      </c>
      <c r="N248">
        <v>49</v>
      </c>
      <c r="O248">
        <v>34</v>
      </c>
      <c r="P248">
        <v>31</v>
      </c>
      <c r="Q248">
        <v>29</v>
      </c>
      <c r="R248">
        <v>25</v>
      </c>
    </row>
    <row r="249" spans="1:18">
      <c r="A249" t="s">
        <v>731</v>
      </c>
      <c r="B249" t="s">
        <v>173</v>
      </c>
      <c r="C249" s="4" t="s">
        <v>188</v>
      </c>
      <c r="D249">
        <v>27</v>
      </c>
      <c r="E249">
        <v>35</v>
      </c>
      <c r="F249">
        <v>49</v>
      </c>
      <c r="G249">
        <v>56</v>
      </c>
      <c r="H249">
        <v>51</v>
      </c>
      <c r="I249">
        <v>37</v>
      </c>
      <c r="J249">
        <v>21</v>
      </c>
      <c r="K249">
        <v>17</v>
      </c>
      <c r="L249">
        <v>9</v>
      </c>
      <c r="M249">
        <v>20</v>
      </c>
      <c r="N249">
        <v>41</v>
      </c>
      <c r="O249">
        <v>77</v>
      </c>
      <c r="P249">
        <v>81</v>
      </c>
      <c r="Q249">
        <v>62</v>
      </c>
      <c r="R249">
        <v>45</v>
      </c>
    </row>
    <row r="250" spans="1:18">
      <c r="A250" t="s">
        <v>732</v>
      </c>
      <c r="B250" t="s">
        <v>173</v>
      </c>
      <c r="C250" s="35" t="s">
        <v>189</v>
      </c>
      <c r="D250">
        <v>9</v>
      </c>
      <c r="E250">
        <v>26</v>
      </c>
      <c r="F250">
        <v>35</v>
      </c>
      <c r="G250">
        <v>38</v>
      </c>
      <c r="H250">
        <v>40</v>
      </c>
      <c r="I250">
        <v>73</v>
      </c>
      <c r="J250">
        <v>46</v>
      </c>
      <c r="K250">
        <v>85</v>
      </c>
      <c r="L250">
        <v>50</v>
      </c>
      <c r="M250">
        <v>55</v>
      </c>
      <c r="N250">
        <v>98</v>
      </c>
      <c r="O250">
        <v>41</v>
      </c>
      <c r="P250">
        <v>36</v>
      </c>
      <c r="Q250">
        <v>38</v>
      </c>
      <c r="R250">
        <v>42</v>
      </c>
    </row>
    <row r="251" spans="1:18">
      <c r="A251" t="s">
        <v>733</v>
      </c>
      <c r="B251" t="s">
        <v>173</v>
      </c>
      <c r="C251" t="s">
        <v>172</v>
      </c>
      <c r="D251">
        <v>8</v>
      </c>
      <c r="E251">
        <v>17</v>
      </c>
      <c r="F251">
        <v>24</v>
      </c>
      <c r="G251">
        <v>28</v>
      </c>
      <c r="H251">
        <v>21</v>
      </c>
      <c r="I251">
        <v>57</v>
      </c>
      <c r="J251">
        <v>15</v>
      </c>
      <c r="K251">
        <v>47</v>
      </c>
      <c r="L251">
        <v>33</v>
      </c>
      <c r="M251">
        <v>31</v>
      </c>
      <c r="N251">
        <v>78</v>
      </c>
      <c r="O251">
        <v>17</v>
      </c>
      <c r="P251">
        <v>14</v>
      </c>
      <c r="Q251">
        <v>14</v>
      </c>
      <c r="R251">
        <v>14</v>
      </c>
    </row>
    <row r="252" spans="1:18">
      <c r="A252" t="s">
        <v>734</v>
      </c>
      <c r="B252" t="s">
        <v>173</v>
      </c>
      <c r="C252" t="s">
        <v>30</v>
      </c>
      <c r="D252">
        <v>1</v>
      </c>
      <c r="E252">
        <v>9</v>
      </c>
      <c r="F252">
        <v>11</v>
      </c>
      <c r="G252">
        <v>10</v>
      </c>
      <c r="H252">
        <v>19</v>
      </c>
      <c r="I252">
        <v>16</v>
      </c>
      <c r="J252">
        <v>31</v>
      </c>
      <c r="K252">
        <v>38</v>
      </c>
      <c r="L252">
        <v>17</v>
      </c>
      <c r="M252">
        <v>24</v>
      </c>
      <c r="N252">
        <v>20</v>
      </c>
      <c r="O252">
        <v>24</v>
      </c>
      <c r="P252">
        <v>22</v>
      </c>
      <c r="Q252">
        <v>24</v>
      </c>
      <c r="R252">
        <v>28</v>
      </c>
    </row>
    <row r="253" spans="1:18">
      <c r="A253" t="s">
        <v>735</v>
      </c>
      <c r="B253" t="s">
        <v>174</v>
      </c>
      <c r="C253" t="s">
        <v>32</v>
      </c>
      <c r="D253">
        <v>3</v>
      </c>
      <c r="E253">
        <v>7</v>
      </c>
      <c r="F253">
        <v>8</v>
      </c>
      <c r="G253">
        <v>12</v>
      </c>
      <c r="H253">
        <v>17</v>
      </c>
      <c r="I253">
        <v>6</v>
      </c>
      <c r="J253">
        <v>12</v>
      </c>
      <c r="K253">
        <v>32</v>
      </c>
      <c r="L253">
        <v>14</v>
      </c>
      <c r="M253">
        <v>8</v>
      </c>
      <c r="N253">
        <v>9</v>
      </c>
      <c r="O253">
        <v>22</v>
      </c>
      <c r="P253">
        <v>25</v>
      </c>
      <c r="Q253">
        <v>24</v>
      </c>
      <c r="R253">
        <v>33</v>
      </c>
    </row>
    <row r="254" spans="1:18">
      <c r="A254" t="s">
        <v>736</v>
      </c>
      <c r="B254" t="s">
        <v>174</v>
      </c>
      <c r="C254" s="4" t="s">
        <v>34</v>
      </c>
      <c r="D254">
        <v>3</v>
      </c>
      <c r="E254">
        <v>5</v>
      </c>
      <c r="F254">
        <v>6</v>
      </c>
      <c r="G254">
        <v>6</v>
      </c>
      <c r="H254">
        <v>14</v>
      </c>
      <c r="I254">
        <v>4</v>
      </c>
      <c r="J254">
        <v>10</v>
      </c>
      <c r="K254">
        <v>24</v>
      </c>
      <c r="L254">
        <v>11</v>
      </c>
      <c r="M254">
        <v>7</v>
      </c>
      <c r="N254">
        <v>5</v>
      </c>
      <c r="O254">
        <v>12</v>
      </c>
      <c r="P254">
        <v>14</v>
      </c>
      <c r="Q254">
        <v>22</v>
      </c>
      <c r="R254">
        <v>22</v>
      </c>
    </row>
    <row r="255" spans="1:18">
      <c r="A255" t="s">
        <v>737</v>
      </c>
      <c r="B255" t="s">
        <v>174</v>
      </c>
      <c r="C255" t="s">
        <v>169</v>
      </c>
      <c r="D255">
        <v>0</v>
      </c>
      <c r="E255">
        <v>2</v>
      </c>
      <c r="F255">
        <v>2</v>
      </c>
      <c r="G255">
        <v>6</v>
      </c>
      <c r="H255">
        <v>3</v>
      </c>
      <c r="I255">
        <v>2</v>
      </c>
      <c r="J255">
        <v>2</v>
      </c>
      <c r="K255">
        <v>8</v>
      </c>
      <c r="L255">
        <v>3</v>
      </c>
      <c r="M255">
        <v>1</v>
      </c>
      <c r="N255">
        <v>4</v>
      </c>
      <c r="O255">
        <v>10</v>
      </c>
      <c r="P255">
        <v>11</v>
      </c>
      <c r="Q255">
        <v>2</v>
      </c>
      <c r="R255">
        <v>11</v>
      </c>
    </row>
    <row r="256" spans="1:18">
      <c r="A256" t="s">
        <v>738</v>
      </c>
      <c r="B256" t="s">
        <v>174</v>
      </c>
      <c r="C256" t="s">
        <v>486</v>
      </c>
      <c r="D256">
        <v>14</v>
      </c>
      <c r="E256">
        <v>15</v>
      </c>
      <c r="F256">
        <v>6</v>
      </c>
      <c r="G256">
        <v>3</v>
      </c>
      <c r="H256">
        <v>3</v>
      </c>
      <c r="I256">
        <v>1</v>
      </c>
      <c r="J256">
        <v>1</v>
      </c>
      <c r="K256">
        <v>1</v>
      </c>
      <c r="L256">
        <v>1</v>
      </c>
      <c r="M256">
        <v>8</v>
      </c>
      <c r="N256">
        <v>14</v>
      </c>
      <c r="O256">
        <v>14</v>
      </c>
      <c r="P256">
        <v>6</v>
      </c>
      <c r="Q256">
        <v>6</v>
      </c>
      <c r="R256">
        <v>6</v>
      </c>
    </row>
    <row r="257" spans="1:18">
      <c r="A257" t="s">
        <v>739</v>
      </c>
      <c r="B257" t="s">
        <v>174</v>
      </c>
      <c r="C257" t="s">
        <v>488</v>
      </c>
      <c r="D257">
        <v>36</v>
      </c>
      <c r="E257">
        <v>36</v>
      </c>
      <c r="F257">
        <v>33</v>
      </c>
      <c r="G257">
        <v>35</v>
      </c>
      <c r="H257">
        <v>35</v>
      </c>
      <c r="I257">
        <v>39</v>
      </c>
      <c r="J257">
        <v>43</v>
      </c>
      <c r="K257">
        <v>43</v>
      </c>
      <c r="L257">
        <v>44</v>
      </c>
      <c r="M257">
        <v>34</v>
      </c>
      <c r="N257">
        <v>34</v>
      </c>
      <c r="O257">
        <v>31</v>
      </c>
      <c r="P257">
        <v>35</v>
      </c>
      <c r="Q257">
        <v>39</v>
      </c>
      <c r="R257">
        <v>39</v>
      </c>
    </row>
    <row r="258" spans="1:18">
      <c r="A258" t="s">
        <v>740</v>
      </c>
      <c r="B258" t="s">
        <v>174</v>
      </c>
      <c r="C258" t="s">
        <v>148</v>
      </c>
      <c r="D258">
        <v>5</v>
      </c>
      <c r="E258">
        <v>14</v>
      </c>
      <c r="F258">
        <v>15</v>
      </c>
      <c r="G258">
        <v>18</v>
      </c>
      <c r="H258">
        <v>3</v>
      </c>
      <c r="I258">
        <v>1</v>
      </c>
      <c r="J258">
        <v>1</v>
      </c>
      <c r="K258">
        <v>1</v>
      </c>
      <c r="L258">
        <v>1</v>
      </c>
      <c r="M258">
        <v>1</v>
      </c>
      <c r="N258">
        <v>10</v>
      </c>
      <c r="O258">
        <v>14</v>
      </c>
      <c r="P258">
        <v>16</v>
      </c>
      <c r="Q258">
        <v>4</v>
      </c>
      <c r="R258">
        <v>6</v>
      </c>
    </row>
    <row r="259" spans="1:18">
      <c r="A259" t="s">
        <v>741</v>
      </c>
      <c r="B259" t="s">
        <v>174</v>
      </c>
      <c r="C259" t="s">
        <v>184</v>
      </c>
      <c r="D259">
        <v>7</v>
      </c>
      <c r="E259">
        <v>37</v>
      </c>
      <c r="F259">
        <v>27</v>
      </c>
      <c r="G259">
        <v>33</v>
      </c>
      <c r="H259">
        <v>35</v>
      </c>
      <c r="I259">
        <v>44</v>
      </c>
      <c r="J259">
        <v>21</v>
      </c>
      <c r="K259">
        <v>43</v>
      </c>
      <c r="L259">
        <v>43</v>
      </c>
      <c r="M259">
        <v>48</v>
      </c>
      <c r="N259">
        <v>51</v>
      </c>
      <c r="O259">
        <v>30</v>
      </c>
      <c r="P259">
        <v>33</v>
      </c>
      <c r="Q259">
        <v>17</v>
      </c>
      <c r="R259">
        <v>39</v>
      </c>
    </row>
    <row r="260" spans="1:18">
      <c r="A260" t="s">
        <v>742</v>
      </c>
      <c r="B260" t="s">
        <v>174</v>
      </c>
      <c r="C260" s="4" t="s">
        <v>188</v>
      </c>
      <c r="D260">
        <v>0</v>
      </c>
      <c r="E260">
        <v>0</v>
      </c>
      <c r="F260">
        <v>2</v>
      </c>
      <c r="G260">
        <v>5</v>
      </c>
      <c r="H260">
        <v>3</v>
      </c>
      <c r="I260">
        <v>0</v>
      </c>
      <c r="J260">
        <v>2</v>
      </c>
      <c r="K260">
        <v>4</v>
      </c>
      <c r="L260">
        <v>1</v>
      </c>
      <c r="M260">
        <v>0</v>
      </c>
      <c r="N260">
        <v>2</v>
      </c>
      <c r="O260">
        <v>10</v>
      </c>
      <c r="P260">
        <v>10</v>
      </c>
      <c r="Q260">
        <v>0</v>
      </c>
      <c r="R260">
        <v>6</v>
      </c>
    </row>
    <row r="261" spans="1:18">
      <c r="A261" t="s">
        <v>743</v>
      </c>
      <c r="B261" t="s">
        <v>174</v>
      </c>
      <c r="C261" s="35" t="s">
        <v>189</v>
      </c>
      <c r="D261">
        <v>0</v>
      </c>
      <c r="E261">
        <v>2</v>
      </c>
      <c r="F261">
        <v>0</v>
      </c>
      <c r="G261">
        <v>1</v>
      </c>
      <c r="H261">
        <v>0</v>
      </c>
      <c r="I261">
        <v>2</v>
      </c>
      <c r="J261">
        <v>0</v>
      </c>
      <c r="K261">
        <v>4</v>
      </c>
      <c r="L261">
        <v>2</v>
      </c>
      <c r="M261">
        <v>1</v>
      </c>
      <c r="N261">
        <v>2</v>
      </c>
      <c r="O261">
        <v>0</v>
      </c>
      <c r="P261">
        <v>1</v>
      </c>
      <c r="Q261">
        <v>2</v>
      </c>
      <c r="R261">
        <v>5</v>
      </c>
    </row>
    <row r="262" spans="1:18">
      <c r="A262" t="s">
        <v>744</v>
      </c>
      <c r="B262" t="s">
        <v>174</v>
      </c>
      <c r="C262" t="s">
        <v>172</v>
      </c>
      <c r="D262">
        <v>0</v>
      </c>
      <c r="E262">
        <v>2</v>
      </c>
      <c r="F262">
        <v>0</v>
      </c>
      <c r="G262">
        <v>1</v>
      </c>
      <c r="H262">
        <v>0</v>
      </c>
      <c r="I262">
        <v>2</v>
      </c>
      <c r="J262">
        <v>0</v>
      </c>
      <c r="K262">
        <v>3</v>
      </c>
      <c r="L262">
        <v>1</v>
      </c>
      <c r="M262">
        <v>1</v>
      </c>
      <c r="N262">
        <v>2</v>
      </c>
      <c r="O262">
        <v>0</v>
      </c>
      <c r="P262">
        <v>0</v>
      </c>
      <c r="Q262">
        <v>0</v>
      </c>
      <c r="R262">
        <v>4</v>
      </c>
    </row>
    <row r="263" spans="1:18">
      <c r="A263" t="s">
        <v>745</v>
      </c>
      <c r="B263" t="s">
        <v>174</v>
      </c>
      <c r="C263" t="s">
        <v>30</v>
      </c>
      <c r="D263">
        <v>0</v>
      </c>
      <c r="E263">
        <v>0</v>
      </c>
      <c r="F263">
        <v>0</v>
      </c>
      <c r="G263">
        <v>0</v>
      </c>
      <c r="H263">
        <v>0</v>
      </c>
      <c r="I263">
        <v>0</v>
      </c>
      <c r="J263">
        <v>0</v>
      </c>
      <c r="K263">
        <v>1</v>
      </c>
      <c r="L263">
        <v>1</v>
      </c>
      <c r="M263">
        <v>0</v>
      </c>
      <c r="N263">
        <v>0</v>
      </c>
      <c r="O263">
        <v>0</v>
      </c>
      <c r="P263">
        <v>1</v>
      </c>
      <c r="Q263">
        <v>2</v>
      </c>
      <c r="R263">
        <v>1</v>
      </c>
    </row>
    <row r="264" spans="1:18">
      <c r="A264" t="s">
        <v>746</v>
      </c>
      <c r="B264" t="s">
        <v>175</v>
      </c>
      <c r="C264" t="s">
        <v>32</v>
      </c>
      <c r="D264">
        <v>287</v>
      </c>
      <c r="E264">
        <v>264</v>
      </c>
      <c r="F264">
        <v>347</v>
      </c>
      <c r="G264">
        <v>383</v>
      </c>
      <c r="H264">
        <v>407</v>
      </c>
      <c r="I264">
        <v>343</v>
      </c>
      <c r="J264">
        <v>379</v>
      </c>
      <c r="K264">
        <v>473</v>
      </c>
      <c r="L264">
        <v>453</v>
      </c>
      <c r="M264">
        <v>371</v>
      </c>
      <c r="N264">
        <v>460</v>
      </c>
      <c r="O264">
        <v>494</v>
      </c>
      <c r="P264">
        <v>471</v>
      </c>
      <c r="Q264">
        <v>566</v>
      </c>
      <c r="R264">
        <v>616</v>
      </c>
    </row>
    <row r="265" spans="1:18">
      <c r="A265" t="s">
        <v>747</v>
      </c>
      <c r="B265" t="s">
        <v>175</v>
      </c>
      <c r="C265" s="4" t="s">
        <v>34</v>
      </c>
      <c r="D265">
        <v>250</v>
      </c>
      <c r="E265">
        <v>202</v>
      </c>
      <c r="F265">
        <v>261</v>
      </c>
      <c r="G265">
        <v>286</v>
      </c>
      <c r="H265">
        <v>315</v>
      </c>
      <c r="I265">
        <v>233</v>
      </c>
      <c r="J265">
        <v>312</v>
      </c>
      <c r="K265">
        <v>371</v>
      </c>
      <c r="L265">
        <v>394</v>
      </c>
      <c r="M265">
        <v>295</v>
      </c>
      <c r="N265">
        <v>321</v>
      </c>
      <c r="O265">
        <v>376</v>
      </c>
      <c r="P265">
        <v>351</v>
      </c>
      <c r="Q265">
        <v>463</v>
      </c>
      <c r="R265">
        <v>527</v>
      </c>
    </row>
    <row r="266" spans="1:18">
      <c r="A266" t="s">
        <v>748</v>
      </c>
      <c r="B266" t="s">
        <v>175</v>
      </c>
      <c r="C266" t="s">
        <v>169</v>
      </c>
      <c r="D266">
        <v>37</v>
      </c>
      <c r="E266">
        <v>62</v>
      </c>
      <c r="F266">
        <v>86</v>
      </c>
      <c r="G266">
        <v>97</v>
      </c>
      <c r="H266">
        <v>92</v>
      </c>
      <c r="I266">
        <v>110</v>
      </c>
      <c r="J266">
        <v>67</v>
      </c>
      <c r="K266">
        <v>102</v>
      </c>
      <c r="L266">
        <v>59</v>
      </c>
      <c r="M266">
        <v>76</v>
      </c>
      <c r="N266">
        <v>139</v>
      </c>
      <c r="O266">
        <v>118</v>
      </c>
      <c r="P266">
        <v>120</v>
      </c>
      <c r="Q266">
        <v>103</v>
      </c>
      <c r="R266">
        <v>89</v>
      </c>
    </row>
    <row r="267" spans="1:18">
      <c r="A267" t="s">
        <v>749</v>
      </c>
      <c r="B267" t="s">
        <v>175</v>
      </c>
      <c r="C267" t="s">
        <v>486</v>
      </c>
      <c r="D267">
        <v>6</v>
      </c>
      <c r="E267">
        <v>3</v>
      </c>
      <c r="F267">
        <v>3</v>
      </c>
      <c r="G267">
        <v>3</v>
      </c>
      <c r="H267">
        <v>3</v>
      </c>
      <c r="I267">
        <v>4</v>
      </c>
      <c r="J267">
        <v>2</v>
      </c>
      <c r="K267">
        <v>2</v>
      </c>
      <c r="L267">
        <v>2</v>
      </c>
      <c r="M267">
        <v>5</v>
      </c>
      <c r="N267">
        <v>4</v>
      </c>
      <c r="O267">
        <v>5</v>
      </c>
      <c r="P267">
        <v>5</v>
      </c>
      <c r="Q267">
        <v>6</v>
      </c>
      <c r="R267">
        <v>5</v>
      </c>
    </row>
    <row r="268" spans="1:18">
      <c r="A268" t="s">
        <v>750</v>
      </c>
      <c r="B268" t="s">
        <v>175</v>
      </c>
      <c r="C268" t="s">
        <v>488</v>
      </c>
      <c r="D268">
        <v>31</v>
      </c>
      <c r="E268">
        <v>36</v>
      </c>
      <c r="F268">
        <v>36</v>
      </c>
      <c r="G268">
        <v>43</v>
      </c>
      <c r="H268">
        <v>45</v>
      </c>
      <c r="I268">
        <v>49</v>
      </c>
      <c r="J268">
        <v>46</v>
      </c>
      <c r="K268">
        <v>46</v>
      </c>
      <c r="L268">
        <v>48</v>
      </c>
      <c r="M268">
        <v>47</v>
      </c>
      <c r="N268">
        <v>42</v>
      </c>
      <c r="O268">
        <v>31</v>
      </c>
      <c r="P268">
        <v>29</v>
      </c>
      <c r="Q268">
        <v>27</v>
      </c>
      <c r="R268">
        <v>25</v>
      </c>
    </row>
    <row r="269" spans="1:18">
      <c r="A269" t="s">
        <v>751</v>
      </c>
      <c r="B269" t="s">
        <v>175</v>
      </c>
      <c r="C269" t="s">
        <v>148</v>
      </c>
      <c r="D269">
        <v>10</v>
      </c>
      <c r="E269">
        <v>7</v>
      </c>
      <c r="F269">
        <v>2</v>
      </c>
      <c r="G269">
        <v>4</v>
      </c>
      <c r="H269">
        <v>2</v>
      </c>
      <c r="I269">
        <v>4</v>
      </c>
      <c r="J269">
        <v>3</v>
      </c>
      <c r="K269">
        <v>4</v>
      </c>
      <c r="L269">
        <v>1</v>
      </c>
      <c r="M269">
        <v>4</v>
      </c>
      <c r="N269">
        <v>7</v>
      </c>
      <c r="O269">
        <v>3</v>
      </c>
      <c r="P269">
        <v>4</v>
      </c>
      <c r="Q269">
        <v>7</v>
      </c>
      <c r="R269">
        <v>5</v>
      </c>
    </row>
    <row r="270" spans="1:18">
      <c r="A270" t="s">
        <v>752</v>
      </c>
      <c r="B270" t="s">
        <v>175</v>
      </c>
      <c r="C270" t="s">
        <v>184</v>
      </c>
      <c r="D270">
        <v>20</v>
      </c>
      <c r="E270">
        <v>35</v>
      </c>
      <c r="F270">
        <v>36</v>
      </c>
      <c r="G270">
        <v>36</v>
      </c>
      <c r="H270">
        <v>35</v>
      </c>
      <c r="I270">
        <v>47</v>
      </c>
      <c r="J270">
        <v>46</v>
      </c>
      <c r="K270">
        <v>51</v>
      </c>
      <c r="L270">
        <v>43</v>
      </c>
      <c r="M270">
        <v>48</v>
      </c>
      <c r="N270">
        <v>49</v>
      </c>
      <c r="O270">
        <v>34</v>
      </c>
      <c r="P270">
        <v>31</v>
      </c>
      <c r="Q270">
        <v>29</v>
      </c>
      <c r="R270">
        <v>25</v>
      </c>
    </row>
    <row r="271" spans="1:18">
      <c r="A271" t="s">
        <v>753</v>
      </c>
      <c r="B271" t="s">
        <v>175</v>
      </c>
      <c r="C271" s="4" t="s">
        <v>188</v>
      </c>
      <c r="D271">
        <v>28</v>
      </c>
      <c r="E271">
        <v>36</v>
      </c>
      <c r="F271">
        <v>51</v>
      </c>
      <c r="G271">
        <v>58</v>
      </c>
      <c r="H271">
        <v>52</v>
      </c>
      <c r="I271">
        <v>37</v>
      </c>
      <c r="J271">
        <v>21</v>
      </c>
      <c r="K271">
        <v>17</v>
      </c>
      <c r="L271">
        <v>9</v>
      </c>
      <c r="M271">
        <v>21</v>
      </c>
      <c r="N271">
        <v>41</v>
      </c>
      <c r="O271">
        <v>77</v>
      </c>
      <c r="P271">
        <v>84</v>
      </c>
      <c r="Q271">
        <v>65</v>
      </c>
      <c r="R271">
        <v>47</v>
      </c>
    </row>
    <row r="272" spans="1:18">
      <c r="A272" t="s">
        <v>754</v>
      </c>
      <c r="B272" t="s">
        <v>175</v>
      </c>
      <c r="C272" s="35" t="s">
        <v>189</v>
      </c>
      <c r="D272">
        <v>9</v>
      </c>
      <c r="E272">
        <v>26</v>
      </c>
      <c r="F272">
        <v>35</v>
      </c>
      <c r="G272">
        <v>39</v>
      </c>
      <c r="H272">
        <v>40</v>
      </c>
      <c r="I272">
        <v>73</v>
      </c>
      <c r="J272">
        <v>46</v>
      </c>
      <c r="K272">
        <v>85</v>
      </c>
      <c r="L272">
        <v>50</v>
      </c>
      <c r="M272">
        <v>55</v>
      </c>
      <c r="N272">
        <v>98</v>
      </c>
      <c r="O272">
        <v>41</v>
      </c>
      <c r="P272">
        <v>36</v>
      </c>
      <c r="Q272">
        <v>38</v>
      </c>
      <c r="R272">
        <v>42</v>
      </c>
    </row>
    <row r="273" spans="1:18">
      <c r="A273" t="s">
        <v>755</v>
      </c>
      <c r="B273" t="s">
        <v>175</v>
      </c>
      <c r="C273" t="s">
        <v>172</v>
      </c>
      <c r="D273">
        <v>8</v>
      </c>
      <c r="E273">
        <v>17</v>
      </c>
      <c r="F273">
        <v>24</v>
      </c>
      <c r="G273">
        <v>29</v>
      </c>
      <c r="H273">
        <v>21</v>
      </c>
      <c r="I273">
        <v>57</v>
      </c>
      <c r="J273">
        <v>15</v>
      </c>
      <c r="K273">
        <v>47</v>
      </c>
      <c r="L273">
        <v>33</v>
      </c>
      <c r="M273">
        <v>31</v>
      </c>
      <c r="N273">
        <v>78</v>
      </c>
      <c r="O273">
        <v>17</v>
      </c>
      <c r="P273">
        <v>14</v>
      </c>
      <c r="Q273">
        <v>14</v>
      </c>
      <c r="R273">
        <v>14</v>
      </c>
    </row>
    <row r="274" spans="1:18">
      <c r="A274" t="s">
        <v>756</v>
      </c>
      <c r="B274" t="s">
        <v>175</v>
      </c>
      <c r="C274" t="s">
        <v>30</v>
      </c>
      <c r="D274">
        <v>1</v>
      </c>
      <c r="E274">
        <v>9</v>
      </c>
      <c r="F274">
        <v>11</v>
      </c>
      <c r="G274">
        <v>10</v>
      </c>
      <c r="H274">
        <v>19</v>
      </c>
      <c r="I274">
        <v>16</v>
      </c>
      <c r="J274">
        <v>31</v>
      </c>
      <c r="K274">
        <v>38</v>
      </c>
      <c r="L274">
        <v>17</v>
      </c>
      <c r="M274">
        <v>24</v>
      </c>
      <c r="N274">
        <v>20</v>
      </c>
      <c r="O274">
        <v>24</v>
      </c>
      <c r="P274">
        <v>22</v>
      </c>
      <c r="Q274">
        <v>24</v>
      </c>
      <c r="R274">
        <v>28</v>
      </c>
    </row>
    <row r="275" spans="1:18">
      <c r="A275" t="s">
        <v>757</v>
      </c>
      <c r="B275" t="s">
        <v>175</v>
      </c>
      <c r="C275" t="s">
        <v>177</v>
      </c>
      <c r="D275">
        <v>158</v>
      </c>
      <c r="E275">
        <v>325</v>
      </c>
      <c r="F275">
        <v>457</v>
      </c>
      <c r="G275">
        <v>488</v>
      </c>
      <c r="H275">
        <v>494</v>
      </c>
      <c r="I275">
        <v>588</v>
      </c>
      <c r="J275">
        <v>576</v>
      </c>
      <c r="K275">
        <v>744</v>
      </c>
      <c r="L275">
        <v>697</v>
      </c>
      <c r="M275">
        <v>535</v>
      </c>
      <c r="N275">
        <v>631</v>
      </c>
      <c r="O275">
        <v>848</v>
      </c>
      <c r="P275">
        <v>768</v>
      </c>
      <c r="Q275">
        <v>935</v>
      </c>
      <c r="R275">
        <v>946</v>
      </c>
    </row>
    <row r="276" spans="1:18">
      <c r="A276" t="s">
        <v>758</v>
      </c>
      <c r="B276" t="s">
        <v>175</v>
      </c>
      <c r="C276" t="s">
        <v>178</v>
      </c>
      <c r="D276">
        <v>158</v>
      </c>
      <c r="E276">
        <v>325</v>
      </c>
      <c r="F276">
        <v>457</v>
      </c>
      <c r="G276">
        <v>488</v>
      </c>
      <c r="H276">
        <v>494</v>
      </c>
      <c r="I276">
        <v>588</v>
      </c>
      <c r="J276">
        <v>576</v>
      </c>
      <c r="K276">
        <v>744</v>
      </c>
      <c r="L276">
        <v>697</v>
      </c>
      <c r="M276">
        <v>535</v>
      </c>
      <c r="N276">
        <v>631</v>
      </c>
      <c r="O276">
        <v>848</v>
      </c>
      <c r="P276">
        <v>768</v>
      </c>
      <c r="Q276">
        <v>935</v>
      </c>
      <c r="R276">
        <v>946</v>
      </c>
    </row>
    <row r="277" spans="1:18">
      <c r="A277" t="s">
        <v>759</v>
      </c>
      <c r="B277" t="s">
        <v>176</v>
      </c>
      <c r="C277" t="s">
        <v>32</v>
      </c>
      <c r="D277">
        <v>3</v>
      </c>
      <c r="E277">
        <v>7</v>
      </c>
      <c r="F277">
        <v>8</v>
      </c>
      <c r="G277">
        <v>12</v>
      </c>
      <c r="H277">
        <v>17</v>
      </c>
      <c r="I277">
        <v>6</v>
      </c>
      <c r="J277">
        <v>12</v>
      </c>
      <c r="K277">
        <v>32</v>
      </c>
      <c r="L277">
        <v>14</v>
      </c>
      <c r="M277">
        <v>8</v>
      </c>
      <c r="N277">
        <v>9</v>
      </c>
      <c r="O277">
        <v>22</v>
      </c>
      <c r="P277">
        <v>25</v>
      </c>
      <c r="Q277">
        <v>24</v>
      </c>
      <c r="R277">
        <v>33</v>
      </c>
    </row>
    <row r="278" spans="1:18">
      <c r="A278" t="s">
        <v>760</v>
      </c>
      <c r="B278" t="s">
        <v>176</v>
      </c>
      <c r="C278" s="4" t="s">
        <v>34</v>
      </c>
      <c r="D278">
        <v>3</v>
      </c>
      <c r="E278">
        <v>5</v>
      </c>
      <c r="F278">
        <v>6</v>
      </c>
      <c r="G278">
        <v>6</v>
      </c>
      <c r="H278">
        <v>14</v>
      </c>
      <c r="I278">
        <v>4</v>
      </c>
      <c r="J278">
        <v>10</v>
      </c>
      <c r="K278">
        <v>24</v>
      </c>
      <c r="L278">
        <v>11</v>
      </c>
      <c r="M278">
        <v>7</v>
      </c>
      <c r="N278">
        <v>5</v>
      </c>
      <c r="O278">
        <v>12</v>
      </c>
      <c r="P278">
        <v>14</v>
      </c>
      <c r="Q278">
        <v>22</v>
      </c>
      <c r="R278">
        <v>22</v>
      </c>
    </row>
    <row r="279" spans="1:18">
      <c r="A279" t="s">
        <v>761</v>
      </c>
      <c r="B279" t="s">
        <v>176</v>
      </c>
      <c r="C279" t="s">
        <v>169</v>
      </c>
      <c r="D279">
        <v>0</v>
      </c>
      <c r="E279">
        <v>2</v>
      </c>
      <c r="F279">
        <v>2</v>
      </c>
      <c r="G279">
        <v>6</v>
      </c>
      <c r="H279">
        <v>3</v>
      </c>
      <c r="I279">
        <v>2</v>
      </c>
      <c r="J279">
        <v>2</v>
      </c>
      <c r="K279">
        <v>8</v>
      </c>
      <c r="L279">
        <v>3</v>
      </c>
      <c r="M279">
        <v>1</v>
      </c>
      <c r="N279">
        <v>4</v>
      </c>
      <c r="O279">
        <v>10</v>
      </c>
      <c r="P279">
        <v>11</v>
      </c>
      <c r="Q279">
        <v>2</v>
      </c>
      <c r="R279">
        <v>11</v>
      </c>
    </row>
    <row r="280" spans="1:18">
      <c r="A280" t="s">
        <v>762</v>
      </c>
      <c r="B280" t="s">
        <v>176</v>
      </c>
      <c r="C280" t="s">
        <v>170</v>
      </c>
      <c r="D280">
        <v>158</v>
      </c>
      <c r="E280">
        <v>325</v>
      </c>
      <c r="F280">
        <v>457</v>
      </c>
      <c r="G280">
        <v>488</v>
      </c>
      <c r="H280">
        <v>494</v>
      </c>
      <c r="I280">
        <v>588</v>
      </c>
      <c r="J280">
        <v>576</v>
      </c>
      <c r="K280">
        <v>744</v>
      </c>
      <c r="L280">
        <v>697</v>
      </c>
      <c r="M280">
        <v>535</v>
      </c>
      <c r="N280">
        <v>631</v>
      </c>
      <c r="O280">
        <v>848</v>
      </c>
      <c r="P280">
        <v>768</v>
      </c>
      <c r="Q280">
        <v>935</v>
      </c>
      <c r="R280">
        <v>946</v>
      </c>
    </row>
    <row r="281" spans="1:18">
      <c r="A281" t="s">
        <v>763</v>
      </c>
      <c r="B281" t="s">
        <v>176</v>
      </c>
      <c r="C281" t="s">
        <v>171</v>
      </c>
      <c r="D281">
        <v>158</v>
      </c>
      <c r="E281">
        <v>325</v>
      </c>
      <c r="F281">
        <v>457</v>
      </c>
      <c r="G281">
        <v>488</v>
      </c>
      <c r="H281">
        <v>494</v>
      </c>
      <c r="I281">
        <v>588</v>
      </c>
      <c r="J281">
        <v>576</v>
      </c>
      <c r="K281">
        <v>744</v>
      </c>
      <c r="L281">
        <v>697</v>
      </c>
      <c r="M281">
        <v>535</v>
      </c>
      <c r="N281">
        <v>631</v>
      </c>
      <c r="O281">
        <v>848</v>
      </c>
      <c r="P281">
        <v>768</v>
      </c>
      <c r="Q281">
        <v>935</v>
      </c>
      <c r="R281">
        <v>946</v>
      </c>
    </row>
    <row r="282" spans="1:18">
      <c r="A282" t="s">
        <v>764</v>
      </c>
      <c r="B282" t="s">
        <v>176</v>
      </c>
      <c r="C282" t="s">
        <v>148</v>
      </c>
      <c r="D282">
        <v>5</v>
      </c>
      <c r="E282">
        <v>14</v>
      </c>
      <c r="F282">
        <v>15</v>
      </c>
      <c r="G282">
        <v>18</v>
      </c>
      <c r="H282">
        <v>3</v>
      </c>
      <c r="I282">
        <v>1</v>
      </c>
      <c r="J282">
        <v>1</v>
      </c>
      <c r="K282">
        <v>1</v>
      </c>
      <c r="L282">
        <v>1</v>
      </c>
      <c r="M282">
        <v>1</v>
      </c>
      <c r="N282">
        <v>10</v>
      </c>
      <c r="O282">
        <v>14</v>
      </c>
      <c r="P282">
        <v>16</v>
      </c>
      <c r="Q282">
        <v>4</v>
      </c>
      <c r="R282">
        <v>6</v>
      </c>
    </row>
    <row r="283" spans="1:18">
      <c r="A283" t="s">
        <v>765</v>
      </c>
      <c r="B283" t="s">
        <v>176</v>
      </c>
      <c r="C283" t="s">
        <v>184</v>
      </c>
      <c r="D283">
        <v>7</v>
      </c>
      <c r="E283">
        <v>37</v>
      </c>
      <c r="F283">
        <v>27</v>
      </c>
      <c r="G283">
        <v>33</v>
      </c>
      <c r="H283">
        <v>35</v>
      </c>
      <c r="I283">
        <v>44</v>
      </c>
      <c r="J283">
        <v>21</v>
      </c>
      <c r="K283">
        <v>43</v>
      </c>
      <c r="L283">
        <v>43</v>
      </c>
      <c r="M283">
        <v>48</v>
      </c>
      <c r="N283">
        <v>51</v>
      </c>
      <c r="O283">
        <v>30</v>
      </c>
      <c r="P283">
        <v>33</v>
      </c>
      <c r="Q283">
        <v>17</v>
      </c>
      <c r="R283">
        <v>39</v>
      </c>
    </row>
    <row r="284" spans="1:18">
      <c r="A284" t="s">
        <v>766</v>
      </c>
      <c r="B284" t="s">
        <v>176</v>
      </c>
      <c r="C284" s="4" t="s">
        <v>188</v>
      </c>
      <c r="D284">
        <v>0</v>
      </c>
      <c r="E284">
        <v>0</v>
      </c>
      <c r="F284">
        <v>2</v>
      </c>
      <c r="G284">
        <v>5</v>
      </c>
      <c r="H284">
        <v>3</v>
      </c>
      <c r="I284">
        <v>0</v>
      </c>
      <c r="J284">
        <v>2</v>
      </c>
      <c r="K284">
        <v>4</v>
      </c>
      <c r="L284">
        <v>1</v>
      </c>
      <c r="M284">
        <v>0</v>
      </c>
      <c r="N284">
        <v>2</v>
      </c>
      <c r="O284">
        <v>10</v>
      </c>
      <c r="P284">
        <v>10</v>
      </c>
      <c r="Q284">
        <v>0</v>
      </c>
      <c r="R284">
        <v>6</v>
      </c>
    </row>
    <row r="285" spans="1:18">
      <c r="A285" t="s">
        <v>767</v>
      </c>
      <c r="B285" t="s">
        <v>176</v>
      </c>
      <c r="C285" s="35" t="s">
        <v>189</v>
      </c>
      <c r="D285">
        <v>0</v>
      </c>
      <c r="E285">
        <v>2</v>
      </c>
      <c r="F285">
        <v>0</v>
      </c>
      <c r="G285">
        <v>1</v>
      </c>
      <c r="H285">
        <v>0</v>
      </c>
      <c r="I285">
        <v>2</v>
      </c>
      <c r="J285">
        <v>0</v>
      </c>
      <c r="K285">
        <v>4</v>
      </c>
      <c r="L285">
        <v>2</v>
      </c>
      <c r="M285">
        <v>1</v>
      </c>
      <c r="N285">
        <v>2</v>
      </c>
      <c r="O285">
        <v>0</v>
      </c>
      <c r="P285">
        <v>1</v>
      </c>
      <c r="Q285">
        <v>2</v>
      </c>
      <c r="R285">
        <v>5</v>
      </c>
    </row>
    <row r="286" spans="1:18">
      <c r="A286" t="s">
        <v>768</v>
      </c>
      <c r="B286" t="s">
        <v>176</v>
      </c>
      <c r="C286" t="s">
        <v>172</v>
      </c>
      <c r="D286">
        <v>0</v>
      </c>
      <c r="E286">
        <v>2</v>
      </c>
      <c r="F286">
        <v>0</v>
      </c>
      <c r="G286">
        <v>1</v>
      </c>
      <c r="H286">
        <v>0</v>
      </c>
      <c r="I286">
        <v>2</v>
      </c>
      <c r="J286">
        <v>0</v>
      </c>
      <c r="K286">
        <v>3</v>
      </c>
      <c r="L286">
        <v>1</v>
      </c>
      <c r="M286">
        <v>1</v>
      </c>
      <c r="N286">
        <v>2</v>
      </c>
      <c r="O286">
        <v>0</v>
      </c>
      <c r="P286">
        <v>0</v>
      </c>
      <c r="Q286">
        <v>0</v>
      </c>
      <c r="R286">
        <v>4</v>
      </c>
    </row>
    <row r="287" spans="1:18">
      <c r="A287" t="s">
        <v>769</v>
      </c>
      <c r="B287" t="s">
        <v>176</v>
      </c>
      <c r="C287" t="s">
        <v>30</v>
      </c>
      <c r="D287">
        <v>0</v>
      </c>
      <c r="E287">
        <v>0</v>
      </c>
      <c r="F287">
        <v>0</v>
      </c>
      <c r="G287">
        <v>0</v>
      </c>
      <c r="H287">
        <v>0</v>
      </c>
      <c r="I287">
        <v>0</v>
      </c>
      <c r="J287">
        <v>0</v>
      </c>
      <c r="K287">
        <v>1</v>
      </c>
      <c r="L287">
        <v>1</v>
      </c>
      <c r="M287">
        <v>0</v>
      </c>
      <c r="N287">
        <v>0</v>
      </c>
      <c r="O287">
        <v>0</v>
      </c>
      <c r="P287">
        <v>1</v>
      </c>
      <c r="Q287">
        <v>2</v>
      </c>
      <c r="R287">
        <v>1</v>
      </c>
    </row>
    <row r="288" spans="1:18">
      <c r="A288" t="s">
        <v>770</v>
      </c>
      <c r="B288" t="s">
        <v>176</v>
      </c>
      <c r="C288" t="s">
        <v>177</v>
      </c>
      <c r="D288">
        <v>2</v>
      </c>
      <c r="E288">
        <v>8</v>
      </c>
      <c r="F288">
        <v>8</v>
      </c>
      <c r="G288">
        <v>12</v>
      </c>
      <c r="H288">
        <v>11</v>
      </c>
      <c r="I288">
        <v>11</v>
      </c>
      <c r="J288">
        <v>12</v>
      </c>
      <c r="K288">
        <v>24</v>
      </c>
      <c r="L288">
        <v>14</v>
      </c>
      <c r="M288">
        <v>18</v>
      </c>
      <c r="N288">
        <v>21</v>
      </c>
      <c r="O288">
        <v>18</v>
      </c>
      <c r="P288">
        <v>23</v>
      </c>
      <c r="Q288">
        <v>36</v>
      </c>
      <c r="R288">
        <v>41</v>
      </c>
    </row>
    <row r="289" spans="1:18">
      <c r="A289" t="s">
        <v>771</v>
      </c>
      <c r="B289" t="s">
        <v>176</v>
      </c>
      <c r="C289" t="s">
        <v>178</v>
      </c>
      <c r="D289">
        <v>2</v>
      </c>
      <c r="E289">
        <v>8</v>
      </c>
      <c r="F289">
        <v>8</v>
      </c>
      <c r="G289">
        <v>12</v>
      </c>
      <c r="H289">
        <v>11</v>
      </c>
      <c r="I289">
        <v>11</v>
      </c>
      <c r="J289">
        <v>12</v>
      </c>
      <c r="K289">
        <v>24</v>
      </c>
      <c r="L289">
        <v>14</v>
      </c>
      <c r="M289">
        <v>18</v>
      </c>
      <c r="N289">
        <v>21</v>
      </c>
      <c r="O289">
        <v>18</v>
      </c>
      <c r="P289">
        <v>23</v>
      </c>
      <c r="Q289">
        <v>36</v>
      </c>
      <c r="R289">
        <v>41</v>
      </c>
    </row>
    <row r="290" spans="1:18">
      <c r="A290" t="s">
        <v>772</v>
      </c>
      <c r="B290" t="s">
        <v>173</v>
      </c>
      <c r="C290" t="s">
        <v>32</v>
      </c>
      <c r="D290">
        <v>374</v>
      </c>
      <c r="E290">
        <v>570</v>
      </c>
      <c r="F290">
        <v>939</v>
      </c>
      <c r="G290">
        <v>1139</v>
      </c>
      <c r="H290">
        <v>1028</v>
      </c>
      <c r="I290">
        <v>1283</v>
      </c>
      <c r="J290">
        <v>1349</v>
      </c>
      <c r="K290">
        <v>1513</v>
      </c>
      <c r="L290">
        <v>1091</v>
      </c>
      <c r="M290">
        <v>1361</v>
      </c>
      <c r="N290">
        <v>1365</v>
      </c>
      <c r="O290">
        <v>1511</v>
      </c>
      <c r="P290">
        <v>1434</v>
      </c>
      <c r="Q290">
        <v>1450</v>
      </c>
      <c r="R290">
        <v>1481</v>
      </c>
    </row>
    <row r="291" spans="1:18">
      <c r="A291" t="s">
        <v>773</v>
      </c>
      <c r="B291" t="s">
        <v>173</v>
      </c>
      <c r="C291" s="4" t="s">
        <v>34</v>
      </c>
      <c r="D291">
        <v>352</v>
      </c>
      <c r="E291">
        <v>513</v>
      </c>
      <c r="F291">
        <v>749</v>
      </c>
      <c r="G291">
        <v>910</v>
      </c>
      <c r="H291">
        <v>869</v>
      </c>
      <c r="I291">
        <v>1118</v>
      </c>
      <c r="J291">
        <v>1207</v>
      </c>
      <c r="K291">
        <v>1335</v>
      </c>
      <c r="L291">
        <v>965</v>
      </c>
      <c r="M291">
        <v>1233</v>
      </c>
      <c r="N291">
        <v>1238</v>
      </c>
      <c r="O291">
        <v>1328</v>
      </c>
      <c r="P291">
        <v>1305</v>
      </c>
      <c r="Q291">
        <v>1337</v>
      </c>
      <c r="R291">
        <v>1413</v>
      </c>
    </row>
    <row r="292" spans="1:18">
      <c r="A292" t="s">
        <v>774</v>
      </c>
      <c r="B292" t="s">
        <v>173</v>
      </c>
      <c r="C292" t="s">
        <v>169</v>
      </c>
      <c r="D292">
        <v>22</v>
      </c>
      <c r="E292">
        <v>57</v>
      </c>
      <c r="F292">
        <v>190</v>
      </c>
      <c r="G292">
        <v>229</v>
      </c>
      <c r="H292">
        <v>159</v>
      </c>
      <c r="I292">
        <v>165</v>
      </c>
      <c r="J292">
        <v>142</v>
      </c>
      <c r="K292">
        <v>178</v>
      </c>
      <c r="L292">
        <v>126</v>
      </c>
      <c r="M292">
        <v>128</v>
      </c>
      <c r="N292">
        <v>127</v>
      </c>
      <c r="O292">
        <v>183</v>
      </c>
      <c r="P292">
        <v>129</v>
      </c>
      <c r="Q292">
        <v>113</v>
      </c>
      <c r="R292">
        <v>68</v>
      </c>
    </row>
    <row r="293" spans="1:18">
      <c r="A293" t="s">
        <v>775</v>
      </c>
      <c r="B293" t="s">
        <v>173</v>
      </c>
      <c r="C293" t="s">
        <v>486</v>
      </c>
      <c r="D293">
        <v>1</v>
      </c>
      <c r="E293">
        <v>1</v>
      </c>
      <c r="F293">
        <v>1</v>
      </c>
      <c r="G293">
        <v>1</v>
      </c>
      <c r="H293">
        <v>1</v>
      </c>
      <c r="I293">
        <v>1</v>
      </c>
      <c r="J293">
        <v>1</v>
      </c>
      <c r="K293">
        <v>1</v>
      </c>
      <c r="L293">
        <v>1</v>
      </c>
      <c r="M293">
        <v>1</v>
      </c>
      <c r="N293">
        <v>1</v>
      </c>
      <c r="O293">
        <v>2</v>
      </c>
      <c r="P293">
        <v>2</v>
      </c>
      <c r="Q293">
        <v>2</v>
      </c>
      <c r="R293">
        <v>2</v>
      </c>
    </row>
    <row r="294" spans="1:18">
      <c r="A294" t="s">
        <v>776</v>
      </c>
      <c r="B294" t="s">
        <v>173</v>
      </c>
      <c r="C294" t="s">
        <v>488</v>
      </c>
      <c r="D294">
        <v>23</v>
      </c>
      <c r="E294">
        <v>25</v>
      </c>
      <c r="F294">
        <v>26</v>
      </c>
      <c r="G294">
        <v>26</v>
      </c>
      <c r="H294">
        <v>25</v>
      </c>
      <c r="I294">
        <v>23</v>
      </c>
      <c r="J294">
        <v>21</v>
      </c>
      <c r="K294">
        <v>20</v>
      </c>
      <c r="L294">
        <v>18</v>
      </c>
      <c r="M294">
        <v>19</v>
      </c>
      <c r="N294">
        <v>19</v>
      </c>
      <c r="O294">
        <v>18</v>
      </c>
      <c r="P294">
        <v>16</v>
      </c>
      <c r="Q294">
        <v>15</v>
      </c>
      <c r="R294">
        <v>13</v>
      </c>
    </row>
    <row r="295" spans="1:18">
      <c r="A295" t="s">
        <v>777</v>
      </c>
      <c r="B295" t="s">
        <v>173</v>
      </c>
      <c r="C295" t="s">
        <v>148</v>
      </c>
      <c r="D295">
        <v>2</v>
      </c>
      <c r="E295">
        <v>1</v>
      </c>
      <c r="F295">
        <v>1</v>
      </c>
      <c r="G295">
        <v>1</v>
      </c>
      <c r="H295">
        <v>1</v>
      </c>
      <c r="I295">
        <v>1</v>
      </c>
      <c r="J295">
        <v>1</v>
      </c>
      <c r="K295">
        <v>1</v>
      </c>
      <c r="L295">
        <v>1</v>
      </c>
      <c r="M295">
        <v>2</v>
      </c>
      <c r="N295">
        <v>1</v>
      </c>
      <c r="O295">
        <v>1</v>
      </c>
      <c r="P295">
        <v>2</v>
      </c>
      <c r="Q295">
        <v>2</v>
      </c>
      <c r="R295">
        <v>2</v>
      </c>
    </row>
    <row r="296" spans="1:18">
      <c r="A296" t="s">
        <v>778</v>
      </c>
      <c r="B296" t="s">
        <v>173</v>
      </c>
      <c r="C296" t="s">
        <v>184</v>
      </c>
      <c r="D296">
        <v>13</v>
      </c>
      <c r="E296">
        <v>18</v>
      </c>
      <c r="F296">
        <v>27</v>
      </c>
      <c r="G296">
        <v>25</v>
      </c>
      <c r="H296">
        <v>26</v>
      </c>
      <c r="I296">
        <v>28</v>
      </c>
      <c r="J296">
        <v>19</v>
      </c>
      <c r="K296">
        <v>21</v>
      </c>
      <c r="L296">
        <v>23</v>
      </c>
      <c r="M296">
        <v>17</v>
      </c>
      <c r="N296">
        <v>18</v>
      </c>
      <c r="O296">
        <v>20</v>
      </c>
      <c r="P296">
        <v>18</v>
      </c>
      <c r="Q296">
        <v>16</v>
      </c>
      <c r="R296">
        <v>13</v>
      </c>
    </row>
    <row r="297" spans="1:18">
      <c r="A297" t="s">
        <v>779</v>
      </c>
      <c r="B297" t="s">
        <v>173</v>
      </c>
      <c r="C297" s="4" t="s">
        <v>188</v>
      </c>
      <c r="D297">
        <v>13</v>
      </c>
      <c r="E297">
        <v>48</v>
      </c>
      <c r="F297">
        <v>144</v>
      </c>
      <c r="G297">
        <v>174</v>
      </c>
      <c r="H297">
        <v>118</v>
      </c>
      <c r="I297">
        <v>99</v>
      </c>
      <c r="J297">
        <v>71</v>
      </c>
      <c r="K297">
        <v>60</v>
      </c>
      <c r="L297">
        <v>40</v>
      </c>
      <c r="M297">
        <v>75</v>
      </c>
      <c r="N297">
        <v>80</v>
      </c>
      <c r="O297">
        <v>119</v>
      </c>
      <c r="P297">
        <v>74</v>
      </c>
      <c r="Q297">
        <v>68</v>
      </c>
      <c r="R297">
        <v>41</v>
      </c>
    </row>
    <row r="298" spans="1:18">
      <c r="A298" t="s">
        <v>780</v>
      </c>
      <c r="B298" t="s">
        <v>173</v>
      </c>
      <c r="C298" s="35" t="s">
        <v>189</v>
      </c>
      <c r="D298">
        <v>9</v>
      </c>
      <c r="E298">
        <v>9</v>
      </c>
      <c r="F298">
        <v>46</v>
      </c>
      <c r="G298">
        <v>55</v>
      </c>
      <c r="H298">
        <v>41</v>
      </c>
      <c r="I298">
        <v>66</v>
      </c>
      <c r="J298">
        <v>71</v>
      </c>
      <c r="K298">
        <v>118</v>
      </c>
      <c r="L298">
        <v>86</v>
      </c>
      <c r="M298">
        <v>53</v>
      </c>
      <c r="N298">
        <v>47</v>
      </c>
      <c r="O298">
        <v>64</v>
      </c>
      <c r="P298">
        <v>55</v>
      </c>
      <c r="Q298">
        <v>45</v>
      </c>
      <c r="R298">
        <v>27</v>
      </c>
    </row>
    <row r="299" spans="1:18">
      <c r="A299" t="s">
        <v>781</v>
      </c>
      <c r="B299" t="s">
        <v>173</v>
      </c>
      <c r="C299" t="s">
        <v>172</v>
      </c>
      <c r="D299">
        <v>7</v>
      </c>
      <c r="E299">
        <v>7</v>
      </c>
      <c r="F299">
        <v>33</v>
      </c>
      <c r="G299">
        <v>51</v>
      </c>
      <c r="H299">
        <v>31</v>
      </c>
      <c r="I299">
        <v>53</v>
      </c>
      <c r="J299">
        <v>56</v>
      </c>
      <c r="K299">
        <v>85</v>
      </c>
      <c r="L299">
        <v>72</v>
      </c>
      <c r="M299">
        <v>46</v>
      </c>
      <c r="N299">
        <v>37</v>
      </c>
      <c r="O299">
        <v>43</v>
      </c>
      <c r="P299">
        <v>40</v>
      </c>
      <c r="Q299">
        <v>32</v>
      </c>
      <c r="R299">
        <v>19</v>
      </c>
    </row>
    <row r="300" spans="1:18">
      <c r="A300" t="s">
        <v>782</v>
      </c>
      <c r="B300" t="s">
        <v>173</v>
      </c>
      <c r="C300" t="s">
        <v>30</v>
      </c>
      <c r="D300">
        <v>2</v>
      </c>
      <c r="E300">
        <v>2</v>
      </c>
      <c r="F300">
        <v>13</v>
      </c>
      <c r="G300">
        <v>4</v>
      </c>
      <c r="H300">
        <v>10</v>
      </c>
      <c r="I300">
        <v>13</v>
      </c>
      <c r="J300">
        <v>15</v>
      </c>
      <c r="K300">
        <v>33</v>
      </c>
      <c r="L300">
        <v>14</v>
      </c>
      <c r="M300">
        <v>7</v>
      </c>
      <c r="N300">
        <v>10</v>
      </c>
      <c r="O300">
        <v>21</v>
      </c>
      <c r="P300">
        <v>15</v>
      </c>
      <c r="Q300">
        <v>13</v>
      </c>
      <c r="R300">
        <v>8</v>
      </c>
    </row>
    <row r="301" spans="1:18">
      <c r="A301" t="s">
        <v>783</v>
      </c>
      <c r="B301" t="s">
        <v>174</v>
      </c>
      <c r="C301" t="s">
        <v>32</v>
      </c>
      <c r="D301">
        <v>8</v>
      </c>
      <c r="E301">
        <v>8</v>
      </c>
      <c r="F301">
        <v>15</v>
      </c>
      <c r="G301">
        <v>39</v>
      </c>
      <c r="H301">
        <v>33</v>
      </c>
      <c r="I301">
        <v>31</v>
      </c>
      <c r="J301">
        <v>30</v>
      </c>
      <c r="K301">
        <v>48</v>
      </c>
      <c r="L301">
        <v>39</v>
      </c>
      <c r="M301">
        <v>44</v>
      </c>
      <c r="N301">
        <v>36</v>
      </c>
      <c r="O301">
        <v>41</v>
      </c>
      <c r="P301">
        <v>35</v>
      </c>
      <c r="Q301">
        <v>29</v>
      </c>
      <c r="R301">
        <v>31</v>
      </c>
    </row>
    <row r="302" spans="1:18">
      <c r="A302" t="s">
        <v>784</v>
      </c>
      <c r="B302" t="s">
        <v>174</v>
      </c>
      <c r="C302" s="4" t="s">
        <v>34</v>
      </c>
      <c r="D302">
        <v>8</v>
      </c>
      <c r="E302">
        <v>6</v>
      </c>
      <c r="F302">
        <v>12</v>
      </c>
      <c r="G302">
        <v>34</v>
      </c>
      <c r="H302">
        <v>25</v>
      </c>
      <c r="I302">
        <v>29</v>
      </c>
      <c r="J302">
        <v>24</v>
      </c>
      <c r="K302">
        <v>41</v>
      </c>
      <c r="L302">
        <v>27</v>
      </c>
      <c r="M302">
        <v>38</v>
      </c>
      <c r="N302">
        <v>33</v>
      </c>
      <c r="O302">
        <v>32</v>
      </c>
      <c r="P302">
        <v>29</v>
      </c>
      <c r="Q302">
        <v>25</v>
      </c>
      <c r="R302">
        <v>29</v>
      </c>
    </row>
    <row r="303" spans="1:18">
      <c r="A303" t="s">
        <v>785</v>
      </c>
      <c r="B303" t="s">
        <v>174</v>
      </c>
      <c r="C303" t="s">
        <v>169</v>
      </c>
      <c r="D303">
        <v>0</v>
      </c>
      <c r="E303">
        <v>2</v>
      </c>
      <c r="F303">
        <v>3</v>
      </c>
      <c r="G303">
        <v>5</v>
      </c>
      <c r="H303">
        <v>8</v>
      </c>
      <c r="I303">
        <v>2</v>
      </c>
      <c r="J303">
        <v>6</v>
      </c>
      <c r="K303">
        <v>7</v>
      </c>
      <c r="L303">
        <v>12</v>
      </c>
      <c r="M303">
        <v>6</v>
      </c>
      <c r="N303">
        <v>3</v>
      </c>
      <c r="O303">
        <v>9</v>
      </c>
      <c r="P303">
        <v>6</v>
      </c>
      <c r="Q303">
        <v>4</v>
      </c>
      <c r="R303">
        <v>2</v>
      </c>
    </row>
    <row r="304" spans="1:18">
      <c r="A304" t="s">
        <v>786</v>
      </c>
      <c r="B304" t="s">
        <v>174</v>
      </c>
      <c r="C304" t="s">
        <v>486</v>
      </c>
      <c r="D304">
        <v>5</v>
      </c>
      <c r="E304">
        <v>2</v>
      </c>
      <c r="F304">
        <v>2</v>
      </c>
      <c r="G304">
        <v>2</v>
      </c>
      <c r="H304">
        <v>2</v>
      </c>
      <c r="I304">
        <v>3</v>
      </c>
      <c r="J304">
        <v>4</v>
      </c>
      <c r="K304">
        <v>4</v>
      </c>
      <c r="L304">
        <v>3</v>
      </c>
      <c r="M304">
        <v>3</v>
      </c>
      <c r="N304">
        <v>3</v>
      </c>
      <c r="O304">
        <v>5</v>
      </c>
      <c r="P304">
        <v>4</v>
      </c>
      <c r="Q304">
        <v>3</v>
      </c>
      <c r="R304">
        <v>2</v>
      </c>
    </row>
    <row r="305" spans="1:18">
      <c r="A305" t="s">
        <v>787</v>
      </c>
      <c r="B305" t="s">
        <v>174</v>
      </c>
      <c r="C305" t="s">
        <v>488</v>
      </c>
      <c r="D305">
        <v>23</v>
      </c>
      <c r="E305">
        <v>25</v>
      </c>
      <c r="F305">
        <v>26</v>
      </c>
      <c r="G305">
        <v>25</v>
      </c>
      <c r="H305">
        <v>28</v>
      </c>
      <c r="I305">
        <v>28</v>
      </c>
      <c r="J305">
        <v>37</v>
      </c>
      <c r="K305">
        <v>39</v>
      </c>
      <c r="L305">
        <v>43</v>
      </c>
      <c r="M305">
        <v>24</v>
      </c>
      <c r="N305">
        <v>24</v>
      </c>
      <c r="O305">
        <v>26</v>
      </c>
      <c r="P305">
        <v>21</v>
      </c>
      <c r="Q305">
        <v>17</v>
      </c>
      <c r="R305">
        <v>12</v>
      </c>
    </row>
    <row r="306" spans="1:18">
      <c r="A306" t="s">
        <v>788</v>
      </c>
      <c r="B306" t="s">
        <v>174</v>
      </c>
      <c r="C306" t="s">
        <v>148</v>
      </c>
      <c r="D306">
        <v>5</v>
      </c>
      <c r="E306">
        <v>2</v>
      </c>
      <c r="F306">
        <v>10</v>
      </c>
      <c r="G306">
        <v>1</v>
      </c>
      <c r="H306">
        <v>2</v>
      </c>
      <c r="I306">
        <v>2</v>
      </c>
      <c r="J306">
        <v>4</v>
      </c>
      <c r="K306">
        <v>3</v>
      </c>
      <c r="L306">
        <v>4</v>
      </c>
      <c r="M306">
        <v>4</v>
      </c>
      <c r="N306">
        <v>1</v>
      </c>
      <c r="O306">
        <v>4</v>
      </c>
      <c r="P306">
        <v>5</v>
      </c>
      <c r="Q306">
        <v>6</v>
      </c>
      <c r="R306">
        <v>2</v>
      </c>
    </row>
    <row r="307" spans="1:18">
      <c r="A307" t="s">
        <v>789</v>
      </c>
      <c r="B307" t="s">
        <v>174</v>
      </c>
      <c r="C307" t="s">
        <v>184</v>
      </c>
      <c r="D307">
        <v>8</v>
      </c>
      <c r="E307">
        <v>39</v>
      </c>
      <c r="F307">
        <v>25</v>
      </c>
      <c r="G307">
        <v>26</v>
      </c>
      <c r="H307">
        <v>26</v>
      </c>
      <c r="I307">
        <v>13</v>
      </c>
      <c r="J307">
        <v>33</v>
      </c>
      <c r="K307">
        <v>26</v>
      </c>
      <c r="L307">
        <v>55</v>
      </c>
      <c r="M307">
        <v>26</v>
      </c>
      <c r="N307">
        <v>18</v>
      </c>
      <c r="O307">
        <v>30</v>
      </c>
      <c r="P307">
        <v>35</v>
      </c>
      <c r="Q307">
        <v>24</v>
      </c>
      <c r="R307">
        <v>12</v>
      </c>
    </row>
    <row r="308" spans="1:18">
      <c r="A308" t="s">
        <v>790</v>
      </c>
      <c r="B308" t="s">
        <v>174</v>
      </c>
      <c r="C308" s="4" t="s">
        <v>188</v>
      </c>
      <c r="D308">
        <v>0</v>
      </c>
      <c r="E308">
        <v>1</v>
      </c>
      <c r="F308">
        <v>3</v>
      </c>
      <c r="G308">
        <v>3</v>
      </c>
      <c r="H308">
        <v>7</v>
      </c>
      <c r="I308">
        <v>2</v>
      </c>
      <c r="J308">
        <v>5</v>
      </c>
      <c r="K308">
        <v>3</v>
      </c>
      <c r="L308">
        <v>4</v>
      </c>
      <c r="M308">
        <v>2</v>
      </c>
      <c r="N308">
        <v>1</v>
      </c>
      <c r="O308">
        <v>6</v>
      </c>
      <c r="P308">
        <v>3</v>
      </c>
      <c r="Q308">
        <v>3</v>
      </c>
      <c r="R308">
        <v>1</v>
      </c>
    </row>
    <row r="309" spans="1:18">
      <c r="A309" t="s">
        <v>791</v>
      </c>
      <c r="B309" t="s">
        <v>174</v>
      </c>
      <c r="C309" s="35" t="s">
        <v>189</v>
      </c>
      <c r="D309">
        <v>0</v>
      </c>
      <c r="E309">
        <v>1</v>
      </c>
      <c r="F309">
        <v>0</v>
      </c>
      <c r="G309">
        <v>2</v>
      </c>
      <c r="H309">
        <v>1</v>
      </c>
      <c r="I309">
        <v>0</v>
      </c>
      <c r="J309">
        <v>1</v>
      </c>
      <c r="K309">
        <v>4</v>
      </c>
      <c r="L309">
        <v>8</v>
      </c>
      <c r="M309">
        <v>4</v>
      </c>
      <c r="N309">
        <v>2</v>
      </c>
      <c r="O309">
        <v>3</v>
      </c>
      <c r="P309">
        <v>3</v>
      </c>
      <c r="Q309">
        <v>1</v>
      </c>
      <c r="R309">
        <v>1</v>
      </c>
    </row>
    <row r="310" spans="1:18">
      <c r="A310" t="s">
        <v>792</v>
      </c>
      <c r="B310" t="s">
        <v>174</v>
      </c>
      <c r="C310" t="s">
        <v>172</v>
      </c>
      <c r="D310">
        <v>0</v>
      </c>
      <c r="E310">
        <v>1</v>
      </c>
      <c r="F310">
        <v>0</v>
      </c>
      <c r="G310">
        <v>2</v>
      </c>
      <c r="H310">
        <v>1</v>
      </c>
      <c r="I310">
        <v>0</v>
      </c>
      <c r="J310">
        <v>1</v>
      </c>
      <c r="K310">
        <v>2</v>
      </c>
      <c r="L310">
        <v>3</v>
      </c>
      <c r="M310">
        <v>4</v>
      </c>
      <c r="N310">
        <v>1</v>
      </c>
      <c r="O310">
        <v>0</v>
      </c>
      <c r="P310">
        <v>1</v>
      </c>
      <c r="Q310">
        <v>1</v>
      </c>
      <c r="R310">
        <v>0</v>
      </c>
    </row>
    <row r="311" spans="1:18">
      <c r="A311" t="s">
        <v>793</v>
      </c>
      <c r="B311" t="s">
        <v>174</v>
      </c>
      <c r="C311" t="s">
        <v>30</v>
      </c>
      <c r="D311">
        <v>0</v>
      </c>
      <c r="E311">
        <v>0</v>
      </c>
      <c r="F311">
        <v>0</v>
      </c>
      <c r="G311">
        <v>0</v>
      </c>
      <c r="H311">
        <v>0</v>
      </c>
      <c r="I311">
        <v>0</v>
      </c>
      <c r="J311">
        <v>0</v>
      </c>
      <c r="K311">
        <v>2</v>
      </c>
      <c r="L311">
        <v>5</v>
      </c>
      <c r="M311">
        <v>0</v>
      </c>
      <c r="N311">
        <v>1</v>
      </c>
      <c r="O311">
        <v>3</v>
      </c>
      <c r="P311">
        <v>2</v>
      </c>
      <c r="Q311">
        <v>0</v>
      </c>
      <c r="R311">
        <v>1</v>
      </c>
    </row>
    <row r="312" spans="1:18">
      <c r="A312" t="s">
        <v>794</v>
      </c>
      <c r="B312" t="s">
        <v>175</v>
      </c>
      <c r="C312" t="s">
        <v>32</v>
      </c>
      <c r="D312">
        <v>374</v>
      </c>
      <c r="E312">
        <v>570</v>
      </c>
      <c r="F312">
        <v>939</v>
      </c>
      <c r="G312">
        <v>1139</v>
      </c>
      <c r="H312">
        <v>1028</v>
      </c>
      <c r="I312">
        <v>1283</v>
      </c>
      <c r="J312">
        <v>1349</v>
      </c>
      <c r="K312">
        <v>1513</v>
      </c>
      <c r="L312">
        <v>1091</v>
      </c>
      <c r="M312">
        <v>1361</v>
      </c>
      <c r="N312">
        <v>1365</v>
      </c>
      <c r="O312">
        <v>1511</v>
      </c>
      <c r="P312">
        <v>1434</v>
      </c>
      <c r="Q312">
        <v>1450</v>
      </c>
      <c r="R312">
        <v>1481</v>
      </c>
    </row>
    <row r="313" spans="1:18">
      <c r="A313" t="s">
        <v>795</v>
      </c>
      <c r="B313" t="s">
        <v>175</v>
      </c>
      <c r="C313" s="4" t="s">
        <v>34</v>
      </c>
      <c r="D313">
        <v>340</v>
      </c>
      <c r="E313">
        <v>494</v>
      </c>
      <c r="F313">
        <v>706</v>
      </c>
      <c r="G313">
        <v>870</v>
      </c>
      <c r="H313">
        <v>831</v>
      </c>
      <c r="I313">
        <v>1079</v>
      </c>
      <c r="J313">
        <v>1169</v>
      </c>
      <c r="K313">
        <v>1295</v>
      </c>
      <c r="L313">
        <v>942</v>
      </c>
      <c r="M313">
        <v>1204</v>
      </c>
      <c r="N313">
        <v>1214</v>
      </c>
      <c r="O313">
        <v>1302</v>
      </c>
      <c r="P313">
        <v>1280</v>
      </c>
      <c r="Q313">
        <v>1311</v>
      </c>
      <c r="R313">
        <v>1392</v>
      </c>
    </row>
    <row r="314" spans="1:18">
      <c r="A314" t="s">
        <v>796</v>
      </c>
      <c r="B314" t="s">
        <v>175</v>
      </c>
      <c r="C314" t="s">
        <v>169</v>
      </c>
      <c r="D314">
        <v>34</v>
      </c>
      <c r="E314">
        <v>76</v>
      </c>
      <c r="F314">
        <v>233</v>
      </c>
      <c r="G314">
        <v>269</v>
      </c>
      <c r="H314">
        <v>197</v>
      </c>
      <c r="I314">
        <v>204</v>
      </c>
      <c r="J314">
        <v>180</v>
      </c>
      <c r="K314">
        <v>218</v>
      </c>
      <c r="L314">
        <v>149</v>
      </c>
      <c r="M314">
        <v>157</v>
      </c>
      <c r="N314">
        <v>151</v>
      </c>
      <c r="O314">
        <v>209</v>
      </c>
      <c r="P314">
        <v>154</v>
      </c>
      <c r="Q314">
        <v>139</v>
      </c>
      <c r="R314">
        <v>89</v>
      </c>
    </row>
    <row r="315" spans="1:18">
      <c r="A315" t="s">
        <v>797</v>
      </c>
      <c r="B315" t="s">
        <v>175</v>
      </c>
      <c r="C315" t="s">
        <v>486</v>
      </c>
      <c r="D315">
        <v>1</v>
      </c>
      <c r="E315">
        <v>1</v>
      </c>
      <c r="F315">
        <v>1</v>
      </c>
      <c r="G315">
        <v>1</v>
      </c>
      <c r="H315">
        <v>1</v>
      </c>
      <c r="I315">
        <v>1</v>
      </c>
      <c r="J315">
        <v>1</v>
      </c>
      <c r="K315">
        <v>2</v>
      </c>
      <c r="L315">
        <v>1</v>
      </c>
      <c r="M315">
        <v>1</v>
      </c>
      <c r="N315">
        <v>1</v>
      </c>
      <c r="O315">
        <v>2</v>
      </c>
      <c r="P315">
        <v>2</v>
      </c>
      <c r="Q315">
        <v>2</v>
      </c>
      <c r="R315">
        <v>2</v>
      </c>
    </row>
    <row r="316" spans="1:18">
      <c r="A316" t="s">
        <v>798</v>
      </c>
      <c r="B316" t="s">
        <v>175</v>
      </c>
      <c r="C316" t="s">
        <v>488</v>
      </c>
      <c r="D316">
        <v>27</v>
      </c>
      <c r="E316">
        <v>30</v>
      </c>
      <c r="F316">
        <v>32</v>
      </c>
      <c r="G316">
        <v>32</v>
      </c>
      <c r="H316">
        <v>31</v>
      </c>
      <c r="I316">
        <v>33</v>
      </c>
      <c r="J316">
        <v>34</v>
      </c>
      <c r="K316">
        <v>26</v>
      </c>
      <c r="L316">
        <v>21</v>
      </c>
      <c r="M316">
        <v>21</v>
      </c>
      <c r="N316">
        <v>20</v>
      </c>
      <c r="O316">
        <v>20</v>
      </c>
      <c r="P316">
        <v>17</v>
      </c>
      <c r="Q316">
        <v>16</v>
      </c>
      <c r="R316">
        <v>14</v>
      </c>
    </row>
    <row r="317" spans="1:18">
      <c r="A317" t="s">
        <v>799</v>
      </c>
      <c r="B317" t="s">
        <v>175</v>
      </c>
      <c r="C317" t="s">
        <v>148</v>
      </c>
      <c r="D317">
        <v>2</v>
      </c>
      <c r="E317">
        <v>1</v>
      </c>
      <c r="F317">
        <v>1</v>
      </c>
      <c r="G317">
        <v>1</v>
      </c>
      <c r="H317">
        <v>1</v>
      </c>
      <c r="I317">
        <v>1</v>
      </c>
      <c r="J317">
        <v>1</v>
      </c>
      <c r="K317">
        <v>2</v>
      </c>
      <c r="L317">
        <v>1</v>
      </c>
      <c r="M317">
        <v>2</v>
      </c>
      <c r="N317">
        <v>1</v>
      </c>
      <c r="O317">
        <v>1</v>
      </c>
      <c r="P317">
        <v>2</v>
      </c>
      <c r="Q317">
        <v>2</v>
      </c>
      <c r="R317">
        <v>2</v>
      </c>
    </row>
    <row r="318" spans="1:18">
      <c r="A318" t="s">
        <v>800</v>
      </c>
      <c r="B318" t="s">
        <v>175</v>
      </c>
      <c r="C318" t="s">
        <v>184</v>
      </c>
      <c r="D318">
        <v>17</v>
      </c>
      <c r="E318">
        <v>24</v>
      </c>
      <c r="F318">
        <v>32</v>
      </c>
      <c r="G318">
        <v>33</v>
      </c>
      <c r="H318">
        <v>31</v>
      </c>
      <c r="I318">
        <v>31</v>
      </c>
      <c r="J318">
        <v>30</v>
      </c>
      <c r="K318">
        <v>36</v>
      </c>
      <c r="L318">
        <v>34</v>
      </c>
      <c r="M318">
        <v>21</v>
      </c>
      <c r="N318">
        <v>20</v>
      </c>
      <c r="O318">
        <v>21</v>
      </c>
      <c r="P318">
        <v>19</v>
      </c>
      <c r="Q318">
        <v>18</v>
      </c>
      <c r="R318">
        <v>14</v>
      </c>
    </row>
    <row r="319" spans="1:18">
      <c r="A319" t="s">
        <v>801</v>
      </c>
      <c r="B319" t="s">
        <v>175</v>
      </c>
      <c r="C319" s="4" t="s">
        <v>188</v>
      </c>
      <c r="D319">
        <v>22</v>
      </c>
      <c r="E319">
        <v>62</v>
      </c>
      <c r="F319">
        <v>165</v>
      </c>
      <c r="G319">
        <v>179</v>
      </c>
      <c r="H319">
        <v>122</v>
      </c>
      <c r="I319">
        <v>114</v>
      </c>
      <c r="J319">
        <v>79</v>
      </c>
      <c r="K319">
        <v>64</v>
      </c>
      <c r="L319">
        <v>42</v>
      </c>
      <c r="M319">
        <v>84</v>
      </c>
      <c r="N319">
        <v>93</v>
      </c>
      <c r="O319">
        <v>134</v>
      </c>
      <c r="P319">
        <v>88</v>
      </c>
      <c r="Q319">
        <v>82</v>
      </c>
      <c r="R319">
        <v>47</v>
      </c>
    </row>
    <row r="320" spans="1:18">
      <c r="A320" t="s">
        <v>802</v>
      </c>
      <c r="B320" t="s">
        <v>175</v>
      </c>
      <c r="C320" s="35" t="s">
        <v>189</v>
      </c>
      <c r="D320">
        <v>12</v>
      </c>
      <c r="E320">
        <v>14</v>
      </c>
      <c r="F320">
        <v>68</v>
      </c>
      <c r="G320">
        <v>90</v>
      </c>
      <c r="H320">
        <v>75</v>
      </c>
      <c r="I320">
        <v>90</v>
      </c>
      <c r="J320">
        <v>101</v>
      </c>
      <c r="K320">
        <v>154</v>
      </c>
      <c r="L320">
        <v>107</v>
      </c>
      <c r="M320">
        <v>73</v>
      </c>
      <c r="N320">
        <v>58</v>
      </c>
      <c r="O320">
        <v>75</v>
      </c>
      <c r="P320">
        <v>66</v>
      </c>
      <c r="Q320">
        <v>57</v>
      </c>
      <c r="R320">
        <v>42</v>
      </c>
    </row>
    <row r="321" spans="1:18">
      <c r="A321" t="s">
        <v>803</v>
      </c>
      <c r="B321" t="s">
        <v>175</v>
      </c>
      <c r="C321" t="s">
        <v>172</v>
      </c>
      <c r="D321">
        <v>10</v>
      </c>
      <c r="E321">
        <v>11</v>
      </c>
      <c r="F321">
        <v>51</v>
      </c>
      <c r="G321">
        <v>79</v>
      </c>
      <c r="H321">
        <v>59</v>
      </c>
      <c r="I321">
        <v>74</v>
      </c>
      <c r="J321">
        <v>77</v>
      </c>
      <c r="K321">
        <v>108</v>
      </c>
      <c r="L321">
        <v>83</v>
      </c>
      <c r="M321">
        <v>58</v>
      </c>
      <c r="N321">
        <v>41</v>
      </c>
      <c r="O321">
        <v>42</v>
      </c>
      <c r="P321">
        <v>39</v>
      </c>
      <c r="Q321">
        <v>38</v>
      </c>
      <c r="R321">
        <v>24</v>
      </c>
    </row>
    <row r="322" spans="1:18">
      <c r="A322" t="s">
        <v>804</v>
      </c>
      <c r="B322" t="s">
        <v>175</v>
      </c>
      <c r="C322" t="s">
        <v>30</v>
      </c>
      <c r="D322">
        <v>2</v>
      </c>
      <c r="E322">
        <v>3</v>
      </c>
      <c r="F322">
        <v>17</v>
      </c>
      <c r="G322">
        <v>11</v>
      </c>
      <c r="H322">
        <v>16</v>
      </c>
      <c r="I322">
        <v>16</v>
      </c>
      <c r="J322">
        <v>24</v>
      </c>
      <c r="K322">
        <v>46</v>
      </c>
      <c r="L322">
        <v>24</v>
      </c>
      <c r="M322">
        <v>15</v>
      </c>
      <c r="N322">
        <v>17</v>
      </c>
      <c r="O322">
        <v>33</v>
      </c>
      <c r="P322">
        <v>27</v>
      </c>
      <c r="Q322">
        <v>19</v>
      </c>
      <c r="R322">
        <v>18</v>
      </c>
    </row>
    <row r="323" spans="1:18">
      <c r="A323" t="s">
        <v>805</v>
      </c>
      <c r="B323" t="s">
        <v>175</v>
      </c>
      <c r="C323" t="s">
        <v>177</v>
      </c>
      <c r="D323">
        <v>2464</v>
      </c>
      <c r="E323">
        <v>3460</v>
      </c>
      <c r="F323">
        <v>4717</v>
      </c>
      <c r="G323">
        <v>5331</v>
      </c>
      <c r="H323">
        <v>5623</v>
      </c>
      <c r="I323">
        <v>6142</v>
      </c>
      <c r="J323">
        <v>6272</v>
      </c>
      <c r="K323">
        <v>6205</v>
      </c>
      <c r="L323">
        <v>5974</v>
      </c>
      <c r="M323">
        <v>5777</v>
      </c>
      <c r="N323">
        <v>5224</v>
      </c>
      <c r="O323">
        <v>6777</v>
      </c>
      <c r="P323">
        <v>5917</v>
      </c>
      <c r="Q323">
        <v>6187</v>
      </c>
      <c r="R323">
        <v>6556</v>
      </c>
    </row>
    <row r="324" spans="1:18">
      <c r="A324" t="s">
        <v>806</v>
      </c>
      <c r="B324" t="s">
        <v>175</v>
      </c>
      <c r="C324" t="s">
        <v>178</v>
      </c>
      <c r="D324">
        <v>2464</v>
      </c>
      <c r="E324">
        <v>3460</v>
      </c>
      <c r="F324">
        <v>4717</v>
      </c>
      <c r="G324">
        <v>5331</v>
      </c>
      <c r="H324">
        <v>5623</v>
      </c>
      <c r="I324">
        <v>6142</v>
      </c>
      <c r="J324">
        <v>6272</v>
      </c>
      <c r="K324">
        <v>6205</v>
      </c>
      <c r="L324">
        <v>5974</v>
      </c>
      <c r="M324">
        <v>5777</v>
      </c>
      <c r="N324">
        <v>5224</v>
      </c>
      <c r="O324">
        <v>6777</v>
      </c>
      <c r="P324">
        <v>5917</v>
      </c>
      <c r="Q324">
        <v>6187</v>
      </c>
      <c r="R324">
        <v>6556</v>
      </c>
    </row>
    <row r="325" spans="1:18">
      <c r="A325" t="s">
        <v>807</v>
      </c>
      <c r="B325" t="s">
        <v>176</v>
      </c>
      <c r="C325" t="s">
        <v>32</v>
      </c>
      <c r="D325">
        <v>8</v>
      </c>
      <c r="E325">
        <v>8</v>
      </c>
      <c r="F325">
        <v>15</v>
      </c>
      <c r="G325">
        <v>39</v>
      </c>
      <c r="H325">
        <v>33</v>
      </c>
      <c r="I325">
        <v>31</v>
      </c>
      <c r="J325">
        <v>30</v>
      </c>
      <c r="K325">
        <v>48</v>
      </c>
      <c r="L325">
        <v>39</v>
      </c>
      <c r="M325">
        <v>44</v>
      </c>
      <c r="N325">
        <v>36</v>
      </c>
      <c r="O325">
        <v>41</v>
      </c>
      <c r="P325">
        <v>35</v>
      </c>
      <c r="Q325">
        <v>29</v>
      </c>
      <c r="R325">
        <v>31</v>
      </c>
    </row>
    <row r="326" spans="1:18">
      <c r="A326" t="s">
        <v>808</v>
      </c>
      <c r="B326" t="s">
        <v>176</v>
      </c>
      <c r="C326" s="4" t="s">
        <v>34</v>
      </c>
      <c r="D326">
        <v>8</v>
      </c>
      <c r="E326">
        <v>6</v>
      </c>
      <c r="F326">
        <v>12</v>
      </c>
      <c r="G326">
        <v>34</v>
      </c>
      <c r="H326">
        <v>25</v>
      </c>
      <c r="I326">
        <v>29</v>
      </c>
      <c r="J326">
        <v>24</v>
      </c>
      <c r="K326">
        <v>41</v>
      </c>
      <c r="L326">
        <v>27</v>
      </c>
      <c r="M326">
        <v>38</v>
      </c>
      <c r="N326">
        <v>33</v>
      </c>
      <c r="O326">
        <v>32</v>
      </c>
      <c r="P326">
        <v>29</v>
      </c>
      <c r="Q326">
        <v>25</v>
      </c>
      <c r="R326">
        <v>29</v>
      </c>
    </row>
    <row r="327" spans="1:18">
      <c r="A327" t="s">
        <v>809</v>
      </c>
      <c r="B327" t="s">
        <v>176</v>
      </c>
      <c r="C327" t="s">
        <v>169</v>
      </c>
      <c r="D327">
        <v>0</v>
      </c>
      <c r="E327">
        <v>2</v>
      </c>
      <c r="F327">
        <v>3</v>
      </c>
      <c r="G327">
        <v>5</v>
      </c>
      <c r="H327">
        <v>8</v>
      </c>
      <c r="I327">
        <v>2</v>
      </c>
      <c r="J327">
        <v>6</v>
      </c>
      <c r="K327">
        <v>7</v>
      </c>
      <c r="L327">
        <v>12</v>
      </c>
      <c r="M327">
        <v>6</v>
      </c>
      <c r="N327">
        <v>3</v>
      </c>
      <c r="O327">
        <v>9</v>
      </c>
      <c r="P327">
        <v>6</v>
      </c>
      <c r="Q327">
        <v>4</v>
      </c>
      <c r="R327">
        <v>2</v>
      </c>
    </row>
    <row r="328" spans="1:18">
      <c r="A328" t="s">
        <v>810</v>
      </c>
      <c r="B328" t="s">
        <v>176</v>
      </c>
      <c r="C328" t="s">
        <v>170</v>
      </c>
      <c r="D328">
        <v>2464</v>
      </c>
      <c r="E328">
        <v>3460</v>
      </c>
      <c r="F328">
        <v>4717</v>
      </c>
      <c r="G328">
        <v>5331</v>
      </c>
      <c r="H328">
        <v>5623</v>
      </c>
      <c r="I328">
        <v>6142</v>
      </c>
      <c r="J328">
        <v>6272</v>
      </c>
      <c r="K328">
        <v>6205</v>
      </c>
      <c r="L328">
        <v>5974</v>
      </c>
      <c r="M328">
        <v>5777</v>
      </c>
      <c r="N328">
        <v>5224</v>
      </c>
      <c r="O328">
        <v>6777</v>
      </c>
      <c r="P328">
        <v>5917</v>
      </c>
      <c r="Q328">
        <v>6187</v>
      </c>
      <c r="R328">
        <v>6556</v>
      </c>
    </row>
    <row r="329" spans="1:18">
      <c r="A329" t="s">
        <v>811</v>
      </c>
      <c r="B329" t="s">
        <v>176</v>
      </c>
      <c r="C329" t="s">
        <v>171</v>
      </c>
      <c r="D329">
        <v>2464</v>
      </c>
      <c r="E329">
        <v>3460</v>
      </c>
      <c r="F329">
        <v>4717</v>
      </c>
      <c r="G329">
        <v>5331</v>
      </c>
      <c r="H329">
        <v>5623</v>
      </c>
      <c r="I329">
        <v>6142</v>
      </c>
      <c r="J329">
        <v>6272</v>
      </c>
      <c r="K329">
        <v>6205</v>
      </c>
      <c r="L329">
        <v>5974</v>
      </c>
      <c r="M329">
        <v>5777</v>
      </c>
      <c r="N329">
        <v>5224</v>
      </c>
      <c r="O329">
        <v>6777</v>
      </c>
      <c r="P329">
        <v>5917</v>
      </c>
      <c r="Q329">
        <v>6187</v>
      </c>
      <c r="R329">
        <v>6556</v>
      </c>
    </row>
    <row r="330" spans="1:18">
      <c r="A330" t="s">
        <v>812</v>
      </c>
      <c r="B330" t="s">
        <v>176</v>
      </c>
      <c r="C330" t="s">
        <v>148</v>
      </c>
      <c r="D330">
        <v>5</v>
      </c>
      <c r="E330">
        <v>2</v>
      </c>
      <c r="F330">
        <v>10</v>
      </c>
      <c r="G330">
        <v>1</v>
      </c>
      <c r="H330">
        <v>2</v>
      </c>
      <c r="I330">
        <v>2</v>
      </c>
      <c r="J330">
        <v>4</v>
      </c>
      <c r="K330">
        <v>3</v>
      </c>
      <c r="L330">
        <v>4</v>
      </c>
      <c r="M330">
        <v>4</v>
      </c>
      <c r="N330">
        <v>1</v>
      </c>
      <c r="O330">
        <v>4</v>
      </c>
      <c r="P330">
        <v>5</v>
      </c>
      <c r="Q330">
        <v>6</v>
      </c>
      <c r="R330">
        <v>2</v>
      </c>
    </row>
    <row r="331" spans="1:18">
      <c r="A331" t="s">
        <v>813</v>
      </c>
      <c r="B331" t="s">
        <v>176</v>
      </c>
      <c r="C331" t="s">
        <v>184</v>
      </c>
      <c r="D331">
        <v>8</v>
      </c>
      <c r="E331">
        <v>39</v>
      </c>
      <c r="F331">
        <v>25</v>
      </c>
      <c r="G331">
        <v>26</v>
      </c>
      <c r="H331">
        <v>26</v>
      </c>
      <c r="I331">
        <v>13</v>
      </c>
      <c r="J331">
        <v>33</v>
      </c>
      <c r="K331">
        <v>26</v>
      </c>
      <c r="L331">
        <v>55</v>
      </c>
      <c r="M331">
        <v>26</v>
      </c>
      <c r="N331">
        <v>18</v>
      </c>
      <c r="O331">
        <v>30</v>
      </c>
      <c r="P331">
        <v>35</v>
      </c>
      <c r="Q331">
        <v>24</v>
      </c>
      <c r="R331">
        <v>12</v>
      </c>
    </row>
    <row r="332" spans="1:18">
      <c r="A332" t="s">
        <v>814</v>
      </c>
      <c r="B332" t="s">
        <v>176</v>
      </c>
      <c r="C332" s="4" t="s">
        <v>188</v>
      </c>
      <c r="D332">
        <v>0</v>
      </c>
      <c r="E332">
        <v>1</v>
      </c>
      <c r="F332">
        <v>3</v>
      </c>
      <c r="G332">
        <v>3</v>
      </c>
      <c r="H332">
        <v>7</v>
      </c>
      <c r="I332">
        <v>2</v>
      </c>
      <c r="J332">
        <v>5</v>
      </c>
      <c r="K332">
        <v>3</v>
      </c>
      <c r="L332">
        <v>4</v>
      </c>
      <c r="M332">
        <v>2</v>
      </c>
      <c r="N332">
        <v>1</v>
      </c>
      <c r="O332">
        <v>6</v>
      </c>
      <c r="P332">
        <v>3</v>
      </c>
      <c r="Q332">
        <v>3</v>
      </c>
      <c r="R332">
        <v>1</v>
      </c>
    </row>
    <row r="333" spans="1:18">
      <c r="A333" t="s">
        <v>815</v>
      </c>
      <c r="B333" t="s">
        <v>176</v>
      </c>
      <c r="C333" s="35" t="s">
        <v>189</v>
      </c>
      <c r="D333">
        <v>0</v>
      </c>
      <c r="E333">
        <v>1</v>
      </c>
      <c r="F333">
        <v>0</v>
      </c>
      <c r="G333">
        <v>2</v>
      </c>
      <c r="H333">
        <v>1</v>
      </c>
      <c r="I333">
        <v>0</v>
      </c>
      <c r="J333">
        <v>1</v>
      </c>
      <c r="K333">
        <v>4</v>
      </c>
      <c r="L333">
        <v>8</v>
      </c>
      <c r="M333">
        <v>4</v>
      </c>
      <c r="N333">
        <v>2</v>
      </c>
      <c r="O333">
        <v>3</v>
      </c>
      <c r="P333">
        <v>3</v>
      </c>
      <c r="Q333">
        <v>1</v>
      </c>
      <c r="R333">
        <v>1</v>
      </c>
    </row>
    <row r="334" spans="1:18">
      <c r="A334" t="s">
        <v>816</v>
      </c>
      <c r="B334" t="s">
        <v>176</v>
      </c>
      <c r="C334" t="s">
        <v>172</v>
      </c>
      <c r="D334">
        <v>0</v>
      </c>
      <c r="E334">
        <v>1</v>
      </c>
      <c r="F334">
        <v>0</v>
      </c>
      <c r="G334">
        <v>2</v>
      </c>
      <c r="H334">
        <v>1</v>
      </c>
      <c r="I334">
        <v>0</v>
      </c>
      <c r="J334">
        <v>1</v>
      </c>
      <c r="K334">
        <v>2</v>
      </c>
      <c r="L334">
        <v>3</v>
      </c>
      <c r="M334">
        <v>4</v>
      </c>
      <c r="N334">
        <v>1</v>
      </c>
      <c r="O334">
        <v>0</v>
      </c>
      <c r="P334">
        <v>1</v>
      </c>
      <c r="Q334">
        <v>1</v>
      </c>
      <c r="R334">
        <v>0</v>
      </c>
    </row>
    <row r="335" spans="1:18">
      <c r="A335" t="s">
        <v>817</v>
      </c>
      <c r="B335" t="s">
        <v>176</v>
      </c>
      <c r="C335" t="s">
        <v>30</v>
      </c>
      <c r="D335">
        <v>0</v>
      </c>
      <c r="E335">
        <v>0</v>
      </c>
      <c r="F335">
        <v>0</v>
      </c>
      <c r="G335">
        <v>0</v>
      </c>
      <c r="H335">
        <v>0</v>
      </c>
      <c r="I335">
        <v>0</v>
      </c>
      <c r="J335">
        <v>0</v>
      </c>
      <c r="K335">
        <v>2</v>
      </c>
      <c r="L335">
        <v>5</v>
      </c>
      <c r="M335">
        <v>0</v>
      </c>
      <c r="N335">
        <v>1</v>
      </c>
      <c r="O335">
        <v>3</v>
      </c>
      <c r="P335">
        <v>2</v>
      </c>
      <c r="Q335">
        <v>0</v>
      </c>
      <c r="R335">
        <v>1</v>
      </c>
    </row>
    <row r="336" spans="1:18">
      <c r="A336" t="s">
        <v>818</v>
      </c>
      <c r="B336" t="s">
        <v>176</v>
      </c>
      <c r="C336" t="s">
        <v>177</v>
      </c>
      <c r="D336">
        <v>413</v>
      </c>
      <c r="E336">
        <v>711</v>
      </c>
      <c r="F336">
        <v>937</v>
      </c>
      <c r="G336">
        <v>1020</v>
      </c>
      <c r="H336">
        <v>956</v>
      </c>
      <c r="I336">
        <v>985</v>
      </c>
      <c r="J336">
        <v>980</v>
      </c>
      <c r="K336">
        <v>934</v>
      </c>
      <c r="L336">
        <v>882</v>
      </c>
      <c r="M336">
        <v>826</v>
      </c>
      <c r="N336">
        <v>902</v>
      </c>
      <c r="O336">
        <v>1091</v>
      </c>
      <c r="P336">
        <v>1026</v>
      </c>
      <c r="Q336">
        <v>986</v>
      </c>
      <c r="R336">
        <v>1099</v>
      </c>
    </row>
    <row r="337" spans="1:18">
      <c r="A337" t="s">
        <v>819</v>
      </c>
      <c r="B337" t="s">
        <v>176</v>
      </c>
      <c r="C337" t="s">
        <v>178</v>
      </c>
      <c r="D337">
        <v>413</v>
      </c>
      <c r="E337">
        <v>711</v>
      </c>
      <c r="F337">
        <v>937</v>
      </c>
      <c r="G337">
        <v>1020</v>
      </c>
      <c r="H337">
        <v>956</v>
      </c>
      <c r="I337">
        <v>985</v>
      </c>
      <c r="J337">
        <v>980</v>
      </c>
      <c r="K337">
        <v>934</v>
      </c>
      <c r="L337">
        <v>882</v>
      </c>
      <c r="M337">
        <v>826</v>
      </c>
      <c r="N337">
        <v>902</v>
      </c>
      <c r="O337">
        <v>1091</v>
      </c>
      <c r="P337">
        <v>1026</v>
      </c>
      <c r="Q337">
        <v>986</v>
      </c>
      <c r="R337">
        <v>1099</v>
      </c>
    </row>
    <row r="338" spans="1:18">
      <c r="A338" t="s">
        <v>820</v>
      </c>
      <c r="B338" t="s">
        <v>173</v>
      </c>
      <c r="C338" t="s">
        <v>32</v>
      </c>
      <c r="D338">
        <v>189</v>
      </c>
      <c r="E338">
        <v>166</v>
      </c>
      <c r="F338">
        <v>150</v>
      </c>
      <c r="G338">
        <v>167</v>
      </c>
      <c r="H338">
        <v>122</v>
      </c>
      <c r="I338">
        <v>173</v>
      </c>
      <c r="J338">
        <v>180</v>
      </c>
      <c r="K338">
        <v>184</v>
      </c>
      <c r="L338">
        <v>114</v>
      </c>
      <c r="M338">
        <v>177</v>
      </c>
      <c r="N338">
        <v>179</v>
      </c>
      <c r="O338">
        <v>160</v>
      </c>
      <c r="P338">
        <v>243</v>
      </c>
      <c r="Q338">
        <v>217</v>
      </c>
      <c r="R338">
        <v>249</v>
      </c>
    </row>
    <row r="339" spans="1:18">
      <c r="A339" t="s">
        <v>821</v>
      </c>
      <c r="B339" t="s">
        <v>173</v>
      </c>
      <c r="C339" s="4" t="s">
        <v>34</v>
      </c>
      <c r="D339">
        <v>135</v>
      </c>
      <c r="E339">
        <v>109</v>
      </c>
      <c r="F339">
        <v>115</v>
      </c>
      <c r="G339">
        <v>142</v>
      </c>
      <c r="H339">
        <v>104</v>
      </c>
      <c r="I339">
        <v>134</v>
      </c>
      <c r="J339">
        <v>140</v>
      </c>
      <c r="K339">
        <v>122</v>
      </c>
      <c r="L339">
        <v>91</v>
      </c>
      <c r="M339">
        <v>140</v>
      </c>
      <c r="N339">
        <v>109</v>
      </c>
      <c r="O339">
        <v>123</v>
      </c>
      <c r="P339">
        <v>190</v>
      </c>
      <c r="Q339">
        <v>184</v>
      </c>
      <c r="R339">
        <v>207</v>
      </c>
    </row>
    <row r="340" spans="1:18">
      <c r="A340" t="s">
        <v>822</v>
      </c>
      <c r="B340" t="s">
        <v>173</v>
      </c>
      <c r="C340" t="s">
        <v>169</v>
      </c>
      <c r="D340">
        <v>54</v>
      </c>
      <c r="E340">
        <v>57</v>
      </c>
      <c r="F340">
        <v>35</v>
      </c>
      <c r="G340">
        <v>25</v>
      </c>
      <c r="H340">
        <v>18</v>
      </c>
      <c r="I340">
        <v>39</v>
      </c>
      <c r="J340">
        <v>40</v>
      </c>
      <c r="K340">
        <v>62</v>
      </c>
      <c r="L340">
        <v>23</v>
      </c>
      <c r="M340">
        <v>37</v>
      </c>
      <c r="N340">
        <v>70</v>
      </c>
      <c r="O340">
        <v>37</v>
      </c>
      <c r="P340">
        <v>53</v>
      </c>
      <c r="Q340">
        <v>33</v>
      </c>
      <c r="R340">
        <v>42</v>
      </c>
    </row>
    <row r="341" spans="1:18">
      <c r="A341" t="s">
        <v>823</v>
      </c>
      <c r="B341" t="s">
        <v>173</v>
      </c>
      <c r="C341" t="s">
        <v>486</v>
      </c>
      <c r="D341">
        <v>10</v>
      </c>
      <c r="E341">
        <v>5</v>
      </c>
      <c r="F341">
        <v>3</v>
      </c>
      <c r="G341">
        <v>2</v>
      </c>
      <c r="H341">
        <v>3</v>
      </c>
      <c r="I341">
        <v>3</v>
      </c>
      <c r="J341">
        <v>4</v>
      </c>
      <c r="K341">
        <v>4</v>
      </c>
      <c r="L341">
        <v>5</v>
      </c>
      <c r="M341">
        <v>6</v>
      </c>
      <c r="N341">
        <v>5</v>
      </c>
      <c r="O341">
        <v>4</v>
      </c>
      <c r="P341">
        <v>3</v>
      </c>
      <c r="Q341">
        <v>3</v>
      </c>
      <c r="R341">
        <v>3</v>
      </c>
    </row>
    <row r="342" spans="1:18">
      <c r="A342" t="s">
        <v>824</v>
      </c>
      <c r="B342" t="s">
        <v>173</v>
      </c>
      <c r="C342" t="s">
        <v>488</v>
      </c>
      <c r="D342">
        <v>56</v>
      </c>
      <c r="E342">
        <v>59</v>
      </c>
      <c r="F342">
        <v>38</v>
      </c>
      <c r="G342">
        <v>31</v>
      </c>
      <c r="H342">
        <v>39</v>
      </c>
      <c r="I342">
        <v>51</v>
      </c>
      <c r="J342">
        <v>58</v>
      </c>
      <c r="K342">
        <v>52</v>
      </c>
      <c r="L342">
        <v>58</v>
      </c>
      <c r="M342">
        <v>66</v>
      </c>
      <c r="N342">
        <v>67</v>
      </c>
      <c r="O342">
        <v>46</v>
      </c>
      <c r="P342">
        <v>40</v>
      </c>
      <c r="Q342">
        <v>33</v>
      </c>
      <c r="R342">
        <v>35</v>
      </c>
    </row>
    <row r="343" spans="1:18">
      <c r="A343" t="s">
        <v>825</v>
      </c>
      <c r="B343" t="s">
        <v>173</v>
      </c>
      <c r="C343" t="s">
        <v>148</v>
      </c>
      <c r="D343">
        <v>8</v>
      </c>
      <c r="E343">
        <v>13</v>
      </c>
      <c r="F343">
        <v>8</v>
      </c>
      <c r="G343">
        <v>2</v>
      </c>
      <c r="H343">
        <v>2</v>
      </c>
      <c r="I343">
        <v>2</v>
      </c>
      <c r="J343">
        <v>4</v>
      </c>
      <c r="K343">
        <v>4</v>
      </c>
      <c r="L343">
        <v>3</v>
      </c>
      <c r="M343">
        <v>5</v>
      </c>
      <c r="N343">
        <v>11</v>
      </c>
      <c r="O343">
        <v>4</v>
      </c>
      <c r="P343">
        <v>4</v>
      </c>
      <c r="Q343">
        <v>4</v>
      </c>
      <c r="R343">
        <v>3</v>
      </c>
    </row>
    <row r="344" spans="1:18">
      <c r="A344" t="s">
        <v>826</v>
      </c>
      <c r="B344" t="s">
        <v>173</v>
      </c>
      <c r="C344" t="s">
        <v>184</v>
      </c>
      <c r="D344">
        <v>28</v>
      </c>
      <c r="E344">
        <v>75</v>
      </c>
      <c r="F344">
        <v>52</v>
      </c>
      <c r="G344">
        <v>22</v>
      </c>
      <c r="H344">
        <v>23</v>
      </c>
      <c r="I344">
        <v>33</v>
      </c>
      <c r="J344">
        <v>52</v>
      </c>
      <c r="K344">
        <v>82</v>
      </c>
      <c r="L344">
        <v>38</v>
      </c>
      <c r="M344">
        <v>46</v>
      </c>
      <c r="N344">
        <v>69</v>
      </c>
      <c r="O344">
        <v>66</v>
      </c>
      <c r="P344">
        <v>65</v>
      </c>
      <c r="Q344">
        <v>29</v>
      </c>
      <c r="R344">
        <v>35</v>
      </c>
    </row>
    <row r="345" spans="1:18">
      <c r="A345" t="s">
        <v>827</v>
      </c>
      <c r="B345" t="s">
        <v>173</v>
      </c>
      <c r="C345" s="4" t="s">
        <v>188</v>
      </c>
      <c r="D345">
        <v>40</v>
      </c>
      <c r="E345">
        <v>20</v>
      </c>
      <c r="F345">
        <v>11</v>
      </c>
      <c r="G345">
        <v>9</v>
      </c>
      <c r="H345">
        <v>10</v>
      </c>
      <c r="I345">
        <v>24</v>
      </c>
      <c r="J345">
        <v>11</v>
      </c>
      <c r="K345">
        <v>16</v>
      </c>
      <c r="L345">
        <v>11</v>
      </c>
      <c r="M345">
        <v>15</v>
      </c>
      <c r="N345">
        <v>32</v>
      </c>
      <c r="O345">
        <v>15</v>
      </c>
      <c r="P345">
        <v>9</v>
      </c>
      <c r="Q345">
        <v>14</v>
      </c>
      <c r="R345">
        <v>18</v>
      </c>
    </row>
    <row r="346" spans="1:18">
      <c r="A346" t="s">
        <v>828</v>
      </c>
      <c r="B346" t="s">
        <v>173</v>
      </c>
      <c r="C346" s="35" t="s">
        <v>189</v>
      </c>
      <c r="D346">
        <v>14</v>
      </c>
      <c r="E346">
        <v>37</v>
      </c>
      <c r="F346">
        <v>24</v>
      </c>
      <c r="G346">
        <v>16</v>
      </c>
      <c r="H346">
        <v>8</v>
      </c>
      <c r="I346">
        <v>15</v>
      </c>
      <c r="J346">
        <v>29</v>
      </c>
      <c r="K346">
        <v>46</v>
      </c>
      <c r="L346">
        <v>12</v>
      </c>
      <c r="M346">
        <v>22</v>
      </c>
      <c r="N346">
        <v>38</v>
      </c>
      <c r="O346">
        <v>22</v>
      </c>
      <c r="P346">
        <v>44</v>
      </c>
      <c r="Q346">
        <v>19</v>
      </c>
      <c r="R346">
        <v>24</v>
      </c>
    </row>
    <row r="347" spans="1:18">
      <c r="A347" t="s">
        <v>829</v>
      </c>
      <c r="B347" t="s">
        <v>173</v>
      </c>
      <c r="C347" t="s">
        <v>172</v>
      </c>
      <c r="D347">
        <v>3</v>
      </c>
      <c r="E347">
        <v>7</v>
      </c>
      <c r="F347">
        <v>10</v>
      </c>
      <c r="G347">
        <v>4</v>
      </c>
      <c r="H347">
        <v>4</v>
      </c>
      <c r="I347">
        <v>7</v>
      </c>
      <c r="J347">
        <v>11</v>
      </c>
      <c r="K347">
        <v>22</v>
      </c>
      <c r="L347">
        <v>5</v>
      </c>
      <c r="M347">
        <v>6</v>
      </c>
      <c r="N347">
        <v>10</v>
      </c>
      <c r="O347">
        <v>4</v>
      </c>
      <c r="P347">
        <v>13</v>
      </c>
      <c r="Q347">
        <v>11</v>
      </c>
      <c r="R347">
        <v>15</v>
      </c>
    </row>
    <row r="348" spans="1:18">
      <c r="A348" t="s">
        <v>830</v>
      </c>
      <c r="B348" t="s">
        <v>173</v>
      </c>
      <c r="C348" t="s">
        <v>30</v>
      </c>
      <c r="D348">
        <v>11</v>
      </c>
      <c r="E348">
        <v>30</v>
      </c>
      <c r="F348">
        <v>14</v>
      </c>
      <c r="G348">
        <v>12</v>
      </c>
      <c r="H348">
        <v>4</v>
      </c>
      <c r="I348">
        <v>8</v>
      </c>
      <c r="J348">
        <v>18</v>
      </c>
      <c r="K348">
        <v>24</v>
      </c>
      <c r="L348">
        <v>7</v>
      </c>
      <c r="M348">
        <v>16</v>
      </c>
      <c r="N348">
        <v>28</v>
      </c>
      <c r="O348">
        <v>18</v>
      </c>
      <c r="P348">
        <v>31</v>
      </c>
      <c r="Q348">
        <v>8</v>
      </c>
      <c r="R348">
        <v>9</v>
      </c>
    </row>
    <row r="349" spans="1:18">
      <c r="A349" t="s">
        <v>831</v>
      </c>
      <c r="B349" t="s">
        <v>174</v>
      </c>
      <c r="C349" t="s">
        <v>32</v>
      </c>
      <c r="D349">
        <v>17</v>
      </c>
      <c r="E349">
        <v>11</v>
      </c>
      <c r="F349">
        <v>11</v>
      </c>
      <c r="G349">
        <v>16</v>
      </c>
      <c r="H349">
        <v>8</v>
      </c>
      <c r="I349">
        <v>9</v>
      </c>
      <c r="J349">
        <v>8</v>
      </c>
      <c r="K349">
        <v>21</v>
      </c>
      <c r="L349">
        <v>15</v>
      </c>
      <c r="M349">
        <v>17</v>
      </c>
      <c r="N349">
        <v>17</v>
      </c>
      <c r="O349">
        <v>16</v>
      </c>
      <c r="P349">
        <v>13</v>
      </c>
      <c r="Q349">
        <v>22</v>
      </c>
      <c r="R349">
        <v>25</v>
      </c>
    </row>
    <row r="350" spans="1:18">
      <c r="A350" t="s">
        <v>832</v>
      </c>
      <c r="B350" t="s">
        <v>174</v>
      </c>
      <c r="C350" s="4" t="s">
        <v>34</v>
      </c>
      <c r="D350">
        <v>15</v>
      </c>
      <c r="E350">
        <v>8</v>
      </c>
      <c r="F350">
        <v>8</v>
      </c>
      <c r="G350">
        <v>13</v>
      </c>
      <c r="H350">
        <v>6</v>
      </c>
      <c r="I350">
        <v>6</v>
      </c>
      <c r="J350">
        <v>7</v>
      </c>
      <c r="K350">
        <v>14</v>
      </c>
      <c r="L350">
        <v>12</v>
      </c>
      <c r="M350">
        <v>15</v>
      </c>
      <c r="N350">
        <v>10</v>
      </c>
      <c r="O350">
        <v>11</v>
      </c>
      <c r="P350">
        <v>12</v>
      </c>
      <c r="Q350">
        <v>16</v>
      </c>
      <c r="R350">
        <v>22</v>
      </c>
    </row>
    <row r="351" spans="1:18">
      <c r="A351" t="s">
        <v>833</v>
      </c>
      <c r="B351" t="s">
        <v>174</v>
      </c>
      <c r="C351" t="s">
        <v>169</v>
      </c>
      <c r="D351">
        <v>2</v>
      </c>
      <c r="E351">
        <v>3</v>
      </c>
      <c r="F351">
        <v>3</v>
      </c>
      <c r="G351">
        <v>3</v>
      </c>
      <c r="H351">
        <v>2</v>
      </c>
      <c r="I351">
        <v>3</v>
      </c>
      <c r="J351">
        <v>1</v>
      </c>
      <c r="K351">
        <v>7</v>
      </c>
      <c r="L351">
        <v>3</v>
      </c>
      <c r="M351">
        <v>2</v>
      </c>
      <c r="N351">
        <v>7</v>
      </c>
      <c r="O351">
        <v>5</v>
      </c>
      <c r="P351">
        <v>1</v>
      </c>
      <c r="Q351">
        <v>6</v>
      </c>
      <c r="R351">
        <v>3</v>
      </c>
    </row>
    <row r="352" spans="1:18">
      <c r="A352" t="s">
        <v>834</v>
      </c>
      <c r="B352" t="s">
        <v>174</v>
      </c>
      <c r="C352" t="s">
        <v>486</v>
      </c>
      <c r="D352">
        <v>7</v>
      </c>
      <c r="E352">
        <v>4</v>
      </c>
      <c r="F352">
        <v>5</v>
      </c>
      <c r="G352">
        <v>4</v>
      </c>
      <c r="H352">
        <v>3</v>
      </c>
      <c r="I352">
        <v>8</v>
      </c>
      <c r="J352">
        <v>8</v>
      </c>
      <c r="K352">
        <v>8</v>
      </c>
      <c r="L352">
        <v>12</v>
      </c>
      <c r="M352">
        <v>12</v>
      </c>
      <c r="N352">
        <v>12</v>
      </c>
      <c r="O352">
        <v>8</v>
      </c>
      <c r="P352">
        <v>5</v>
      </c>
      <c r="Q352">
        <v>5</v>
      </c>
      <c r="R352">
        <v>4</v>
      </c>
    </row>
    <row r="353" spans="1:18">
      <c r="A353" t="s">
        <v>835</v>
      </c>
      <c r="B353" t="s">
        <v>174</v>
      </c>
      <c r="C353" t="s">
        <v>488</v>
      </c>
      <c r="D353">
        <v>28</v>
      </c>
      <c r="E353">
        <v>38</v>
      </c>
      <c r="F353">
        <v>28</v>
      </c>
      <c r="G353">
        <v>38</v>
      </c>
      <c r="H353">
        <v>33</v>
      </c>
      <c r="I353">
        <v>33</v>
      </c>
      <c r="J353">
        <v>23</v>
      </c>
      <c r="K353">
        <v>22</v>
      </c>
      <c r="L353">
        <v>22</v>
      </c>
      <c r="M353">
        <v>22</v>
      </c>
      <c r="N353">
        <v>30</v>
      </c>
      <c r="O353">
        <v>23</v>
      </c>
      <c r="P353">
        <v>20</v>
      </c>
      <c r="Q353">
        <v>21</v>
      </c>
      <c r="R353">
        <v>21</v>
      </c>
    </row>
    <row r="354" spans="1:18">
      <c r="A354" t="s">
        <v>836</v>
      </c>
      <c r="B354" t="s">
        <v>174</v>
      </c>
      <c r="C354" t="s">
        <v>148</v>
      </c>
      <c r="D354">
        <v>11</v>
      </c>
      <c r="E354">
        <v>3</v>
      </c>
      <c r="F354">
        <v>5</v>
      </c>
      <c r="G354">
        <v>4</v>
      </c>
      <c r="H354">
        <v>1</v>
      </c>
      <c r="I354">
        <v>4</v>
      </c>
      <c r="J354">
        <v>3</v>
      </c>
      <c r="K354">
        <v>11</v>
      </c>
      <c r="L354">
        <v>2</v>
      </c>
      <c r="M354">
        <v>5</v>
      </c>
      <c r="N354">
        <v>18</v>
      </c>
      <c r="O354">
        <v>12</v>
      </c>
      <c r="P354">
        <v>2</v>
      </c>
      <c r="Q354">
        <v>9</v>
      </c>
      <c r="R354">
        <v>4</v>
      </c>
    </row>
    <row r="355" spans="1:18">
      <c r="A355" t="s">
        <v>837</v>
      </c>
      <c r="B355" t="s">
        <v>174</v>
      </c>
      <c r="C355" t="s">
        <v>184</v>
      </c>
      <c r="D355">
        <v>19</v>
      </c>
      <c r="E355">
        <v>38</v>
      </c>
      <c r="F355">
        <v>21</v>
      </c>
      <c r="G355">
        <v>84</v>
      </c>
      <c r="H355">
        <v>38</v>
      </c>
      <c r="I355">
        <v>44</v>
      </c>
      <c r="J355">
        <v>29</v>
      </c>
      <c r="K355">
        <v>22</v>
      </c>
      <c r="L355">
        <v>23</v>
      </c>
      <c r="M355">
        <v>19</v>
      </c>
      <c r="N355">
        <v>30</v>
      </c>
      <c r="O355">
        <v>74</v>
      </c>
      <c r="P355">
        <v>13</v>
      </c>
      <c r="Q355">
        <v>20</v>
      </c>
      <c r="R355">
        <v>21</v>
      </c>
    </row>
    <row r="356" spans="1:18">
      <c r="A356" t="s">
        <v>838</v>
      </c>
      <c r="B356" t="s">
        <v>174</v>
      </c>
      <c r="C356" s="4" t="s">
        <v>188</v>
      </c>
      <c r="D356">
        <v>2</v>
      </c>
      <c r="E356">
        <v>1</v>
      </c>
      <c r="F356">
        <v>3</v>
      </c>
      <c r="G356">
        <v>1</v>
      </c>
      <c r="H356">
        <v>1</v>
      </c>
      <c r="I356">
        <v>2</v>
      </c>
      <c r="J356">
        <v>1</v>
      </c>
      <c r="K356">
        <v>5</v>
      </c>
      <c r="L356">
        <v>3</v>
      </c>
      <c r="M356">
        <v>2</v>
      </c>
      <c r="N356">
        <v>6</v>
      </c>
      <c r="O356">
        <v>3</v>
      </c>
      <c r="P356">
        <v>0</v>
      </c>
      <c r="Q356">
        <v>6</v>
      </c>
      <c r="R356">
        <v>3</v>
      </c>
    </row>
    <row r="357" spans="1:18">
      <c r="A357" t="s">
        <v>839</v>
      </c>
      <c r="B357" t="s">
        <v>174</v>
      </c>
      <c r="C357" s="35" t="s">
        <v>189</v>
      </c>
      <c r="D357">
        <v>0</v>
      </c>
      <c r="E357">
        <v>2</v>
      </c>
      <c r="F357">
        <v>0</v>
      </c>
      <c r="G357">
        <v>2</v>
      </c>
      <c r="H357">
        <v>1</v>
      </c>
      <c r="I357">
        <v>1</v>
      </c>
      <c r="J357">
        <v>0</v>
      </c>
      <c r="K357">
        <v>2</v>
      </c>
      <c r="L357">
        <v>0</v>
      </c>
      <c r="M357">
        <v>0</v>
      </c>
      <c r="N357">
        <v>1</v>
      </c>
      <c r="O357">
        <v>2</v>
      </c>
      <c r="P357">
        <v>1</v>
      </c>
      <c r="Q357">
        <v>0</v>
      </c>
      <c r="R357">
        <v>0</v>
      </c>
    </row>
    <row r="358" spans="1:18">
      <c r="A358" t="s">
        <v>840</v>
      </c>
      <c r="B358" t="s">
        <v>174</v>
      </c>
      <c r="C358" t="s">
        <v>172</v>
      </c>
      <c r="D358">
        <v>0</v>
      </c>
      <c r="E358">
        <v>2</v>
      </c>
      <c r="F358">
        <v>0</v>
      </c>
      <c r="G358">
        <v>0</v>
      </c>
      <c r="H358">
        <v>1</v>
      </c>
      <c r="I358">
        <v>1</v>
      </c>
      <c r="J358">
        <v>0</v>
      </c>
      <c r="K358">
        <v>1</v>
      </c>
      <c r="L358">
        <v>0</v>
      </c>
      <c r="M358">
        <v>0</v>
      </c>
      <c r="N358">
        <v>0</v>
      </c>
      <c r="O358">
        <v>0</v>
      </c>
      <c r="P358">
        <v>1</v>
      </c>
      <c r="Q358">
        <v>0</v>
      </c>
      <c r="R358">
        <v>0</v>
      </c>
    </row>
    <row r="359" spans="1:18">
      <c r="A359" t="s">
        <v>841</v>
      </c>
      <c r="B359" t="s">
        <v>174</v>
      </c>
      <c r="C359" t="s">
        <v>30</v>
      </c>
      <c r="D359">
        <v>0</v>
      </c>
      <c r="E359">
        <v>0</v>
      </c>
      <c r="F359">
        <v>0</v>
      </c>
      <c r="G359">
        <v>2</v>
      </c>
      <c r="H359">
        <v>0</v>
      </c>
      <c r="I359">
        <v>0</v>
      </c>
      <c r="J359">
        <v>0</v>
      </c>
      <c r="K359">
        <v>1</v>
      </c>
      <c r="L359">
        <v>0</v>
      </c>
      <c r="M359">
        <v>0</v>
      </c>
      <c r="N359">
        <v>1</v>
      </c>
      <c r="O359">
        <v>2</v>
      </c>
      <c r="P359">
        <v>0</v>
      </c>
      <c r="Q359">
        <v>0</v>
      </c>
      <c r="R359">
        <v>0</v>
      </c>
    </row>
    <row r="360" spans="1:18">
      <c r="A360" t="s">
        <v>842</v>
      </c>
      <c r="B360" t="s">
        <v>175</v>
      </c>
      <c r="C360" t="s">
        <v>32</v>
      </c>
      <c r="D360">
        <v>189</v>
      </c>
      <c r="E360">
        <v>166</v>
      </c>
      <c r="F360">
        <v>150</v>
      </c>
      <c r="G360">
        <v>167</v>
      </c>
      <c r="H360">
        <v>122</v>
      </c>
      <c r="I360">
        <v>173</v>
      </c>
      <c r="J360">
        <v>180</v>
      </c>
      <c r="K360">
        <v>184</v>
      </c>
      <c r="L360">
        <v>114</v>
      </c>
      <c r="M360">
        <v>177</v>
      </c>
      <c r="N360">
        <v>179</v>
      </c>
      <c r="O360">
        <v>160</v>
      </c>
      <c r="P360">
        <v>243</v>
      </c>
      <c r="Q360">
        <v>217</v>
      </c>
      <c r="R360">
        <v>249</v>
      </c>
    </row>
    <row r="361" spans="1:18">
      <c r="A361" t="s">
        <v>843</v>
      </c>
      <c r="B361" t="s">
        <v>175</v>
      </c>
      <c r="C361" s="4" t="s">
        <v>34</v>
      </c>
      <c r="D361">
        <v>126</v>
      </c>
      <c r="E361">
        <v>107</v>
      </c>
      <c r="F361">
        <v>107</v>
      </c>
      <c r="G361">
        <v>135</v>
      </c>
      <c r="H361">
        <v>102</v>
      </c>
      <c r="I361">
        <v>133</v>
      </c>
      <c r="J361">
        <v>135</v>
      </c>
      <c r="K361">
        <v>118</v>
      </c>
      <c r="L361">
        <v>88</v>
      </c>
      <c r="M361">
        <v>134</v>
      </c>
      <c r="N361">
        <v>103</v>
      </c>
      <c r="O361">
        <v>120</v>
      </c>
      <c r="P361">
        <v>187</v>
      </c>
      <c r="Q361">
        <v>179</v>
      </c>
      <c r="R361">
        <v>205</v>
      </c>
    </row>
    <row r="362" spans="1:18">
      <c r="A362" t="s">
        <v>844</v>
      </c>
      <c r="B362" t="s">
        <v>175</v>
      </c>
      <c r="C362" t="s">
        <v>169</v>
      </c>
      <c r="D362">
        <v>63</v>
      </c>
      <c r="E362">
        <v>59</v>
      </c>
      <c r="F362">
        <v>43</v>
      </c>
      <c r="G362">
        <v>32</v>
      </c>
      <c r="H362">
        <v>20</v>
      </c>
      <c r="I362">
        <v>40</v>
      </c>
      <c r="J362">
        <v>45</v>
      </c>
      <c r="K362">
        <v>66</v>
      </c>
      <c r="L362">
        <v>26</v>
      </c>
      <c r="M362">
        <v>43</v>
      </c>
      <c r="N362">
        <v>76</v>
      </c>
      <c r="O362">
        <v>40</v>
      </c>
      <c r="P362">
        <v>56</v>
      </c>
      <c r="Q362">
        <v>38</v>
      </c>
      <c r="R362">
        <v>44</v>
      </c>
    </row>
    <row r="363" spans="1:18">
      <c r="A363" t="s">
        <v>845</v>
      </c>
      <c r="B363" t="s">
        <v>175</v>
      </c>
      <c r="C363" t="s">
        <v>486</v>
      </c>
      <c r="D363">
        <v>12</v>
      </c>
      <c r="E363">
        <v>7</v>
      </c>
      <c r="F363">
        <v>4</v>
      </c>
      <c r="G363">
        <v>3</v>
      </c>
      <c r="H363">
        <v>3</v>
      </c>
      <c r="I363">
        <v>4</v>
      </c>
      <c r="J363">
        <v>4</v>
      </c>
      <c r="K363">
        <v>5</v>
      </c>
      <c r="L363">
        <v>6</v>
      </c>
      <c r="M363">
        <v>7</v>
      </c>
      <c r="N363">
        <v>5</v>
      </c>
      <c r="O363">
        <v>5</v>
      </c>
      <c r="P363">
        <v>4</v>
      </c>
      <c r="Q363">
        <v>4</v>
      </c>
      <c r="R363">
        <v>3</v>
      </c>
    </row>
    <row r="364" spans="1:18">
      <c r="A364" t="s">
        <v>846</v>
      </c>
      <c r="B364" t="s">
        <v>175</v>
      </c>
      <c r="C364" t="s">
        <v>488</v>
      </c>
      <c r="D364">
        <v>62</v>
      </c>
      <c r="E364">
        <v>62</v>
      </c>
      <c r="F364">
        <v>42</v>
      </c>
      <c r="G364">
        <v>34</v>
      </c>
      <c r="H364">
        <v>43</v>
      </c>
      <c r="I364">
        <v>54</v>
      </c>
      <c r="J364">
        <v>61</v>
      </c>
      <c r="K364">
        <v>57</v>
      </c>
      <c r="L364">
        <v>64</v>
      </c>
      <c r="M364">
        <v>69</v>
      </c>
      <c r="N364">
        <v>71</v>
      </c>
      <c r="O364">
        <v>53</v>
      </c>
      <c r="P364">
        <v>45</v>
      </c>
      <c r="Q364">
        <v>38</v>
      </c>
      <c r="R364">
        <v>39</v>
      </c>
    </row>
    <row r="365" spans="1:18">
      <c r="A365" t="s">
        <v>847</v>
      </c>
      <c r="B365" t="s">
        <v>175</v>
      </c>
      <c r="C365" t="s">
        <v>148</v>
      </c>
      <c r="D365">
        <v>9</v>
      </c>
      <c r="E365">
        <v>15</v>
      </c>
      <c r="F365">
        <v>15</v>
      </c>
      <c r="G365">
        <v>3</v>
      </c>
      <c r="H365">
        <v>3</v>
      </c>
      <c r="I365">
        <v>3</v>
      </c>
      <c r="J365">
        <v>4</v>
      </c>
      <c r="K365">
        <v>4</v>
      </c>
      <c r="L365">
        <v>4</v>
      </c>
      <c r="M365">
        <v>5</v>
      </c>
      <c r="N365">
        <v>13</v>
      </c>
      <c r="O365">
        <v>5</v>
      </c>
      <c r="P365">
        <v>4</v>
      </c>
      <c r="Q365">
        <v>5</v>
      </c>
      <c r="R365">
        <v>3</v>
      </c>
    </row>
    <row r="366" spans="1:18">
      <c r="A366" t="s">
        <v>848</v>
      </c>
      <c r="B366" t="s">
        <v>175</v>
      </c>
      <c r="C366" t="s">
        <v>184</v>
      </c>
      <c r="D366">
        <v>33</v>
      </c>
      <c r="E366">
        <v>77</v>
      </c>
      <c r="F366">
        <v>57</v>
      </c>
      <c r="G366">
        <v>32</v>
      </c>
      <c r="H366">
        <v>25</v>
      </c>
      <c r="I366">
        <v>36</v>
      </c>
      <c r="J366">
        <v>64</v>
      </c>
      <c r="K366">
        <v>83</v>
      </c>
      <c r="L366">
        <v>41</v>
      </c>
      <c r="M366">
        <v>49</v>
      </c>
      <c r="N366">
        <v>74</v>
      </c>
      <c r="O366">
        <v>67</v>
      </c>
      <c r="P366">
        <v>69</v>
      </c>
      <c r="Q366">
        <v>38</v>
      </c>
      <c r="R366">
        <v>39</v>
      </c>
    </row>
    <row r="367" spans="1:18">
      <c r="A367" t="s">
        <v>849</v>
      </c>
      <c r="B367" t="s">
        <v>175</v>
      </c>
      <c r="C367" s="4" t="s">
        <v>188</v>
      </c>
      <c r="D367">
        <v>46</v>
      </c>
      <c r="E367">
        <v>20</v>
      </c>
      <c r="F367">
        <v>16</v>
      </c>
      <c r="G367">
        <v>16</v>
      </c>
      <c r="H367">
        <v>11</v>
      </c>
      <c r="I367">
        <v>21</v>
      </c>
      <c r="J367">
        <v>8</v>
      </c>
      <c r="K367">
        <v>17</v>
      </c>
      <c r="L367">
        <v>12</v>
      </c>
      <c r="M367">
        <v>20</v>
      </c>
      <c r="N367">
        <v>32</v>
      </c>
      <c r="O367">
        <v>16</v>
      </c>
      <c r="P367">
        <v>7</v>
      </c>
      <c r="Q367">
        <v>15</v>
      </c>
      <c r="R367">
        <v>15</v>
      </c>
    </row>
    <row r="368" spans="1:18">
      <c r="A368" t="s">
        <v>850</v>
      </c>
      <c r="B368" t="s">
        <v>175</v>
      </c>
      <c r="C368" s="35" t="s">
        <v>189</v>
      </c>
      <c r="D368">
        <v>17</v>
      </c>
      <c r="E368">
        <v>39</v>
      </c>
      <c r="F368">
        <v>27</v>
      </c>
      <c r="G368">
        <v>16</v>
      </c>
      <c r="H368">
        <v>9</v>
      </c>
      <c r="I368">
        <v>19</v>
      </c>
      <c r="J368">
        <v>37</v>
      </c>
      <c r="K368">
        <v>49</v>
      </c>
      <c r="L368">
        <v>14</v>
      </c>
      <c r="M368">
        <v>23</v>
      </c>
      <c r="N368">
        <v>44</v>
      </c>
      <c r="O368">
        <v>24</v>
      </c>
      <c r="P368">
        <v>49</v>
      </c>
      <c r="Q368">
        <v>23</v>
      </c>
      <c r="R368">
        <v>29</v>
      </c>
    </row>
    <row r="369" spans="1:18">
      <c r="A369" t="s">
        <v>851</v>
      </c>
      <c r="B369" t="s">
        <v>175</v>
      </c>
      <c r="C369" t="s">
        <v>172</v>
      </c>
      <c r="D369">
        <v>4</v>
      </c>
      <c r="E369">
        <v>8</v>
      </c>
      <c r="F369">
        <v>9</v>
      </c>
      <c r="G369">
        <v>3</v>
      </c>
      <c r="H369">
        <v>5</v>
      </c>
      <c r="I369">
        <v>11</v>
      </c>
      <c r="J369">
        <v>15</v>
      </c>
      <c r="K369">
        <v>22</v>
      </c>
      <c r="L369">
        <v>7</v>
      </c>
      <c r="M369">
        <v>6</v>
      </c>
      <c r="N369">
        <v>12</v>
      </c>
      <c r="O369">
        <v>4</v>
      </c>
      <c r="P369">
        <v>17</v>
      </c>
      <c r="Q369">
        <v>12</v>
      </c>
      <c r="R369">
        <v>18</v>
      </c>
    </row>
    <row r="370" spans="1:18">
      <c r="A370" t="s">
        <v>852</v>
      </c>
      <c r="B370" t="s">
        <v>175</v>
      </c>
      <c r="C370" t="s">
        <v>30</v>
      </c>
      <c r="D370">
        <v>13</v>
      </c>
      <c r="E370">
        <v>31</v>
      </c>
      <c r="F370">
        <v>18</v>
      </c>
      <c r="G370">
        <v>13</v>
      </c>
      <c r="H370">
        <v>4</v>
      </c>
      <c r="I370">
        <v>8</v>
      </c>
      <c r="J370">
        <v>22</v>
      </c>
      <c r="K370">
        <v>27</v>
      </c>
      <c r="L370">
        <v>7</v>
      </c>
      <c r="M370">
        <v>17</v>
      </c>
      <c r="N370">
        <v>32</v>
      </c>
      <c r="O370">
        <v>20</v>
      </c>
      <c r="P370">
        <v>32</v>
      </c>
      <c r="Q370">
        <v>11</v>
      </c>
      <c r="R370">
        <v>11</v>
      </c>
    </row>
    <row r="371" spans="1:18">
      <c r="A371" t="s">
        <v>853</v>
      </c>
      <c r="B371" t="s">
        <v>175</v>
      </c>
      <c r="C371" t="s">
        <v>177</v>
      </c>
      <c r="D371">
        <v>169</v>
      </c>
      <c r="E371">
        <v>145</v>
      </c>
      <c r="F371">
        <v>275</v>
      </c>
      <c r="G371">
        <v>298</v>
      </c>
      <c r="H371">
        <v>295</v>
      </c>
      <c r="I371">
        <v>279</v>
      </c>
      <c r="J371">
        <v>225</v>
      </c>
      <c r="K371">
        <v>344</v>
      </c>
      <c r="L371">
        <v>238</v>
      </c>
      <c r="M371">
        <v>259</v>
      </c>
      <c r="N371">
        <v>297</v>
      </c>
      <c r="O371">
        <v>500</v>
      </c>
      <c r="P371">
        <v>557</v>
      </c>
      <c r="Q371">
        <v>541</v>
      </c>
      <c r="R371">
        <v>693</v>
      </c>
    </row>
    <row r="372" spans="1:18">
      <c r="A372" t="s">
        <v>854</v>
      </c>
      <c r="B372" t="s">
        <v>175</v>
      </c>
      <c r="C372" t="s">
        <v>178</v>
      </c>
      <c r="D372">
        <v>168</v>
      </c>
      <c r="E372">
        <v>145</v>
      </c>
      <c r="F372">
        <v>272</v>
      </c>
      <c r="G372">
        <v>298</v>
      </c>
      <c r="H372">
        <v>295</v>
      </c>
      <c r="I372">
        <v>272</v>
      </c>
      <c r="J372">
        <v>218</v>
      </c>
      <c r="K372">
        <v>342</v>
      </c>
      <c r="L372">
        <v>237</v>
      </c>
      <c r="M372">
        <v>255</v>
      </c>
      <c r="N372">
        <v>291</v>
      </c>
      <c r="O372">
        <v>492</v>
      </c>
      <c r="P372">
        <v>557</v>
      </c>
      <c r="Q372">
        <v>540</v>
      </c>
      <c r="R372">
        <v>684</v>
      </c>
    </row>
    <row r="373" spans="1:18">
      <c r="A373" t="s">
        <v>855</v>
      </c>
      <c r="B373" t="s">
        <v>176</v>
      </c>
      <c r="C373" t="s">
        <v>32</v>
      </c>
      <c r="D373">
        <v>17</v>
      </c>
      <c r="E373">
        <v>11</v>
      </c>
      <c r="F373">
        <v>11</v>
      </c>
      <c r="G373">
        <v>16</v>
      </c>
      <c r="H373">
        <v>8</v>
      </c>
      <c r="I373">
        <v>9</v>
      </c>
      <c r="J373">
        <v>8</v>
      </c>
      <c r="K373">
        <v>21</v>
      </c>
      <c r="L373">
        <v>15</v>
      </c>
      <c r="M373">
        <v>17</v>
      </c>
      <c r="N373">
        <v>17</v>
      </c>
      <c r="O373">
        <v>16</v>
      </c>
      <c r="P373">
        <v>13</v>
      </c>
      <c r="Q373">
        <v>22</v>
      </c>
      <c r="R373">
        <v>25</v>
      </c>
    </row>
    <row r="374" spans="1:18">
      <c r="A374" t="s">
        <v>856</v>
      </c>
      <c r="B374" t="s">
        <v>176</v>
      </c>
      <c r="C374" s="4" t="s">
        <v>34</v>
      </c>
      <c r="D374">
        <v>15</v>
      </c>
      <c r="E374">
        <v>8</v>
      </c>
      <c r="F374">
        <v>8</v>
      </c>
      <c r="G374">
        <v>13</v>
      </c>
      <c r="H374">
        <v>6</v>
      </c>
      <c r="I374">
        <v>6</v>
      </c>
      <c r="J374">
        <v>7</v>
      </c>
      <c r="K374">
        <v>14</v>
      </c>
      <c r="L374">
        <v>12</v>
      </c>
      <c r="M374">
        <v>15</v>
      </c>
      <c r="N374">
        <v>10</v>
      </c>
      <c r="O374">
        <v>11</v>
      </c>
      <c r="P374">
        <v>12</v>
      </c>
      <c r="Q374">
        <v>16</v>
      </c>
      <c r="R374">
        <v>22</v>
      </c>
    </row>
    <row r="375" spans="1:18">
      <c r="A375" t="s">
        <v>857</v>
      </c>
      <c r="B375" t="s">
        <v>176</v>
      </c>
      <c r="C375" t="s">
        <v>169</v>
      </c>
      <c r="D375">
        <v>2</v>
      </c>
      <c r="E375">
        <v>3</v>
      </c>
      <c r="F375">
        <v>3</v>
      </c>
      <c r="G375">
        <v>3</v>
      </c>
      <c r="H375">
        <v>2</v>
      </c>
      <c r="I375">
        <v>3</v>
      </c>
      <c r="J375">
        <v>1</v>
      </c>
      <c r="K375">
        <v>7</v>
      </c>
      <c r="L375">
        <v>3</v>
      </c>
      <c r="M375">
        <v>2</v>
      </c>
      <c r="N375">
        <v>7</v>
      </c>
      <c r="O375">
        <v>5</v>
      </c>
      <c r="P375">
        <v>1</v>
      </c>
      <c r="Q375">
        <v>6</v>
      </c>
      <c r="R375">
        <v>3</v>
      </c>
    </row>
    <row r="376" spans="1:18">
      <c r="A376" t="s">
        <v>858</v>
      </c>
      <c r="B376" t="s">
        <v>176</v>
      </c>
      <c r="C376" t="s">
        <v>170</v>
      </c>
      <c r="D376">
        <v>168</v>
      </c>
      <c r="E376">
        <v>145</v>
      </c>
      <c r="F376">
        <v>272</v>
      </c>
      <c r="G376">
        <v>298</v>
      </c>
      <c r="H376">
        <v>295</v>
      </c>
      <c r="I376">
        <v>272</v>
      </c>
      <c r="J376">
        <v>218</v>
      </c>
      <c r="K376">
        <v>342</v>
      </c>
      <c r="L376">
        <v>237</v>
      </c>
      <c r="M376">
        <v>255</v>
      </c>
      <c r="N376">
        <v>291</v>
      </c>
      <c r="O376">
        <v>492</v>
      </c>
      <c r="P376">
        <v>557</v>
      </c>
      <c r="Q376">
        <v>540</v>
      </c>
      <c r="R376">
        <v>684</v>
      </c>
    </row>
    <row r="377" spans="1:18">
      <c r="A377" t="s">
        <v>859</v>
      </c>
      <c r="B377" t="s">
        <v>176</v>
      </c>
      <c r="C377" t="s">
        <v>171</v>
      </c>
      <c r="D377">
        <v>169</v>
      </c>
      <c r="E377">
        <v>145</v>
      </c>
      <c r="F377">
        <v>275</v>
      </c>
      <c r="G377">
        <v>298</v>
      </c>
      <c r="H377">
        <v>295</v>
      </c>
      <c r="I377">
        <v>279</v>
      </c>
      <c r="J377">
        <v>225</v>
      </c>
      <c r="K377">
        <v>344</v>
      </c>
      <c r="L377">
        <v>238</v>
      </c>
      <c r="M377">
        <v>259</v>
      </c>
      <c r="N377">
        <v>297</v>
      </c>
      <c r="O377">
        <v>500</v>
      </c>
      <c r="P377">
        <v>557</v>
      </c>
      <c r="Q377">
        <v>541</v>
      </c>
      <c r="R377">
        <v>693</v>
      </c>
    </row>
    <row r="378" spans="1:18">
      <c r="A378" t="s">
        <v>860</v>
      </c>
      <c r="B378" t="s">
        <v>176</v>
      </c>
      <c r="C378" t="s">
        <v>148</v>
      </c>
      <c r="D378">
        <v>11</v>
      </c>
      <c r="E378">
        <v>3</v>
      </c>
      <c r="F378">
        <v>5</v>
      </c>
      <c r="G378">
        <v>4</v>
      </c>
      <c r="H378">
        <v>1</v>
      </c>
      <c r="I378">
        <v>4</v>
      </c>
      <c r="J378">
        <v>3</v>
      </c>
      <c r="K378">
        <v>11</v>
      </c>
      <c r="L378">
        <v>2</v>
      </c>
      <c r="M378">
        <v>5</v>
      </c>
      <c r="N378">
        <v>18</v>
      </c>
      <c r="O378">
        <v>12</v>
      </c>
      <c r="P378">
        <v>2</v>
      </c>
      <c r="Q378">
        <v>9</v>
      </c>
      <c r="R378">
        <v>4</v>
      </c>
    </row>
    <row r="379" spans="1:18">
      <c r="A379" t="s">
        <v>861</v>
      </c>
      <c r="B379" t="s">
        <v>176</v>
      </c>
      <c r="C379" t="s">
        <v>184</v>
      </c>
      <c r="D379">
        <v>19</v>
      </c>
      <c r="E379">
        <v>38</v>
      </c>
      <c r="F379">
        <v>21</v>
      </c>
      <c r="G379">
        <v>84</v>
      </c>
      <c r="H379">
        <v>38</v>
      </c>
      <c r="I379">
        <v>44</v>
      </c>
      <c r="J379">
        <v>29</v>
      </c>
      <c r="K379">
        <v>22</v>
      </c>
      <c r="L379">
        <v>23</v>
      </c>
      <c r="M379">
        <v>19</v>
      </c>
      <c r="N379">
        <v>30</v>
      </c>
      <c r="O379">
        <v>74</v>
      </c>
      <c r="P379">
        <v>13</v>
      </c>
      <c r="Q379">
        <v>20</v>
      </c>
      <c r="R379">
        <v>21</v>
      </c>
    </row>
    <row r="380" spans="1:18">
      <c r="A380" t="s">
        <v>862</v>
      </c>
      <c r="B380" t="s">
        <v>176</v>
      </c>
      <c r="C380" s="4" t="s">
        <v>188</v>
      </c>
      <c r="D380">
        <v>2</v>
      </c>
      <c r="E380">
        <v>1</v>
      </c>
      <c r="F380">
        <v>3</v>
      </c>
      <c r="G380">
        <v>1</v>
      </c>
      <c r="H380">
        <v>1</v>
      </c>
      <c r="I380">
        <v>2</v>
      </c>
      <c r="J380">
        <v>1</v>
      </c>
      <c r="K380">
        <v>5</v>
      </c>
      <c r="L380">
        <v>3</v>
      </c>
      <c r="M380">
        <v>2</v>
      </c>
      <c r="N380">
        <v>6</v>
      </c>
      <c r="O380">
        <v>3</v>
      </c>
      <c r="P380">
        <v>0</v>
      </c>
      <c r="Q380">
        <v>6</v>
      </c>
      <c r="R380">
        <v>3</v>
      </c>
    </row>
    <row r="381" spans="1:18">
      <c r="A381" t="s">
        <v>863</v>
      </c>
      <c r="B381" t="s">
        <v>176</v>
      </c>
      <c r="C381" s="35" t="s">
        <v>189</v>
      </c>
      <c r="D381">
        <v>0</v>
      </c>
      <c r="E381">
        <v>2</v>
      </c>
      <c r="F381">
        <v>0</v>
      </c>
      <c r="G381">
        <v>2</v>
      </c>
      <c r="H381">
        <v>1</v>
      </c>
      <c r="I381">
        <v>1</v>
      </c>
      <c r="J381">
        <v>0</v>
      </c>
      <c r="K381">
        <v>2</v>
      </c>
      <c r="L381">
        <v>0</v>
      </c>
      <c r="M381">
        <v>0</v>
      </c>
      <c r="N381">
        <v>1</v>
      </c>
      <c r="O381">
        <v>2</v>
      </c>
      <c r="P381">
        <v>1</v>
      </c>
      <c r="Q381">
        <v>0</v>
      </c>
      <c r="R381">
        <v>0</v>
      </c>
    </row>
    <row r="382" spans="1:18">
      <c r="A382" t="s">
        <v>864</v>
      </c>
      <c r="B382" t="s">
        <v>176</v>
      </c>
      <c r="C382" t="s">
        <v>172</v>
      </c>
      <c r="D382">
        <v>0</v>
      </c>
      <c r="E382">
        <v>2</v>
      </c>
      <c r="F382">
        <v>0</v>
      </c>
      <c r="G382">
        <v>0</v>
      </c>
      <c r="H382">
        <v>1</v>
      </c>
      <c r="I382">
        <v>1</v>
      </c>
      <c r="J382">
        <v>0</v>
      </c>
      <c r="K382">
        <v>1</v>
      </c>
      <c r="L382">
        <v>0</v>
      </c>
      <c r="M382">
        <v>0</v>
      </c>
      <c r="N382">
        <v>0</v>
      </c>
      <c r="O382">
        <v>0</v>
      </c>
      <c r="P382">
        <v>1</v>
      </c>
      <c r="Q382">
        <v>0</v>
      </c>
      <c r="R382">
        <v>0</v>
      </c>
    </row>
    <row r="383" spans="1:18">
      <c r="A383" t="s">
        <v>865</v>
      </c>
      <c r="B383" t="s">
        <v>176</v>
      </c>
      <c r="C383" t="s">
        <v>30</v>
      </c>
      <c r="D383">
        <v>0</v>
      </c>
      <c r="E383">
        <v>0</v>
      </c>
      <c r="F383">
        <v>0</v>
      </c>
      <c r="G383">
        <v>2</v>
      </c>
      <c r="H383">
        <v>0</v>
      </c>
      <c r="I383">
        <v>0</v>
      </c>
      <c r="J383">
        <v>0</v>
      </c>
      <c r="K383">
        <v>1</v>
      </c>
      <c r="L383">
        <v>0</v>
      </c>
      <c r="M383">
        <v>0</v>
      </c>
      <c r="N383">
        <v>1</v>
      </c>
      <c r="O383">
        <v>2</v>
      </c>
      <c r="P383">
        <v>0</v>
      </c>
      <c r="Q383">
        <v>0</v>
      </c>
      <c r="R383">
        <v>0</v>
      </c>
    </row>
    <row r="384" spans="1:18">
      <c r="A384" t="s">
        <v>866</v>
      </c>
      <c r="B384" t="s">
        <v>176</v>
      </c>
      <c r="C384" t="s">
        <v>177</v>
      </c>
      <c r="D384">
        <v>13</v>
      </c>
      <c r="E384">
        <v>19</v>
      </c>
      <c r="F384">
        <v>28</v>
      </c>
      <c r="G384">
        <v>25</v>
      </c>
      <c r="H384">
        <v>26</v>
      </c>
      <c r="I384">
        <v>27</v>
      </c>
      <c r="J384">
        <v>20</v>
      </c>
      <c r="K384">
        <v>29</v>
      </c>
      <c r="L384">
        <v>29</v>
      </c>
      <c r="M384">
        <v>21</v>
      </c>
      <c r="N384">
        <v>23</v>
      </c>
      <c r="O384">
        <v>39</v>
      </c>
      <c r="P384">
        <v>48</v>
      </c>
      <c r="Q384">
        <v>34</v>
      </c>
      <c r="R384">
        <v>53</v>
      </c>
    </row>
    <row r="385" spans="1:18">
      <c r="A385" t="s">
        <v>867</v>
      </c>
      <c r="B385" t="s">
        <v>176</v>
      </c>
      <c r="C385" t="s">
        <v>178</v>
      </c>
      <c r="D385">
        <v>13</v>
      </c>
      <c r="E385">
        <v>19</v>
      </c>
      <c r="F385">
        <v>28</v>
      </c>
      <c r="G385">
        <v>25</v>
      </c>
      <c r="H385">
        <v>26</v>
      </c>
      <c r="I385">
        <v>26</v>
      </c>
      <c r="J385">
        <v>17</v>
      </c>
      <c r="K385">
        <v>29</v>
      </c>
      <c r="L385">
        <v>29</v>
      </c>
      <c r="M385">
        <v>21</v>
      </c>
      <c r="N385">
        <v>23</v>
      </c>
      <c r="O385">
        <v>39</v>
      </c>
      <c r="P385">
        <v>48</v>
      </c>
      <c r="Q385">
        <v>32</v>
      </c>
      <c r="R385">
        <v>53</v>
      </c>
    </row>
    <row r="386" spans="1:18">
      <c r="A386" t="s">
        <v>868</v>
      </c>
      <c r="B386" t="s">
        <v>173</v>
      </c>
      <c r="C386" t="s">
        <v>32</v>
      </c>
      <c r="D386">
        <v>212</v>
      </c>
      <c r="E386">
        <v>308</v>
      </c>
      <c r="F386">
        <v>411</v>
      </c>
      <c r="G386">
        <v>528</v>
      </c>
      <c r="H386">
        <v>474</v>
      </c>
      <c r="I386">
        <v>471</v>
      </c>
      <c r="J386">
        <v>527</v>
      </c>
      <c r="K386">
        <v>677</v>
      </c>
      <c r="L386">
        <v>501</v>
      </c>
      <c r="M386">
        <v>574</v>
      </c>
      <c r="N386">
        <v>674</v>
      </c>
      <c r="O386">
        <v>716</v>
      </c>
      <c r="P386">
        <v>855</v>
      </c>
      <c r="Q386">
        <v>879</v>
      </c>
      <c r="R386">
        <v>667</v>
      </c>
    </row>
    <row r="387" spans="1:18">
      <c r="A387" t="s">
        <v>869</v>
      </c>
      <c r="B387" t="s">
        <v>173</v>
      </c>
      <c r="C387" s="4" t="s">
        <v>34</v>
      </c>
      <c r="D387">
        <v>170</v>
      </c>
      <c r="E387">
        <v>247</v>
      </c>
      <c r="F387">
        <v>291</v>
      </c>
      <c r="G387">
        <v>305</v>
      </c>
      <c r="H387">
        <v>297</v>
      </c>
      <c r="I387">
        <v>332</v>
      </c>
      <c r="J387">
        <v>363</v>
      </c>
      <c r="K387">
        <v>490</v>
      </c>
      <c r="L387">
        <v>404</v>
      </c>
      <c r="M387">
        <v>439</v>
      </c>
      <c r="N387">
        <v>519</v>
      </c>
      <c r="O387">
        <v>510</v>
      </c>
      <c r="P387">
        <v>692</v>
      </c>
      <c r="Q387">
        <v>737</v>
      </c>
      <c r="R387">
        <v>559</v>
      </c>
    </row>
    <row r="388" spans="1:18">
      <c r="A388" t="s">
        <v>870</v>
      </c>
      <c r="B388" t="s">
        <v>173</v>
      </c>
      <c r="C388" t="s">
        <v>169</v>
      </c>
      <c r="D388">
        <v>42</v>
      </c>
      <c r="E388">
        <v>61</v>
      </c>
      <c r="F388">
        <v>120</v>
      </c>
      <c r="G388">
        <v>223</v>
      </c>
      <c r="H388">
        <v>177</v>
      </c>
      <c r="I388">
        <v>139</v>
      </c>
      <c r="J388">
        <v>164</v>
      </c>
      <c r="K388">
        <v>187</v>
      </c>
      <c r="L388">
        <v>97</v>
      </c>
      <c r="M388">
        <v>135</v>
      </c>
      <c r="N388">
        <v>155</v>
      </c>
      <c r="O388">
        <v>206</v>
      </c>
      <c r="P388">
        <v>163</v>
      </c>
      <c r="Q388">
        <v>142</v>
      </c>
      <c r="R388">
        <v>108</v>
      </c>
    </row>
    <row r="389" spans="1:18">
      <c r="A389" t="s">
        <v>871</v>
      </c>
      <c r="B389" t="s">
        <v>173</v>
      </c>
      <c r="C389" t="s">
        <v>486</v>
      </c>
      <c r="D389">
        <v>3</v>
      </c>
      <c r="E389">
        <v>4</v>
      </c>
      <c r="F389">
        <v>5</v>
      </c>
      <c r="G389">
        <v>5</v>
      </c>
      <c r="H389">
        <v>4</v>
      </c>
      <c r="I389">
        <v>4</v>
      </c>
      <c r="J389">
        <v>4</v>
      </c>
      <c r="K389">
        <v>4</v>
      </c>
      <c r="L389">
        <v>4</v>
      </c>
      <c r="M389">
        <v>5</v>
      </c>
      <c r="N389">
        <v>3</v>
      </c>
      <c r="O389">
        <v>2</v>
      </c>
      <c r="P389">
        <v>1</v>
      </c>
      <c r="Q389">
        <v>2</v>
      </c>
      <c r="R389">
        <v>2</v>
      </c>
    </row>
    <row r="390" spans="1:18">
      <c r="A390" t="s">
        <v>872</v>
      </c>
      <c r="B390" t="s">
        <v>173</v>
      </c>
      <c r="C390" t="s">
        <v>488</v>
      </c>
      <c r="D390">
        <v>28</v>
      </c>
      <c r="E390">
        <v>33</v>
      </c>
      <c r="F390">
        <v>35</v>
      </c>
      <c r="G390">
        <v>39</v>
      </c>
      <c r="H390">
        <v>45</v>
      </c>
      <c r="I390">
        <v>46</v>
      </c>
      <c r="J390">
        <v>46</v>
      </c>
      <c r="K390">
        <v>46</v>
      </c>
      <c r="L390">
        <v>44</v>
      </c>
      <c r="M390">
        <v>47</v>
      </c>
      <c r="N390">
        <v>39</v>
      </c>
      <c r="O390">
        <v>33</v>
      </c>
      <c r="P390">
        <v>27</v>
      </c>
      <c r="Q390">
        <v>25</v>
      </c>
      <c r="R390">
        <v>26</v>
      </c>
    </row>
    <row r="391" spans="1:18">
      <c r="A391" t="s">
        <v>873</v>
      </c>
      <c r="B391" t="s">
        <v>173</v>
      </c>
      <c r="C391" t="s">
        <v>148</v>
      </c>
      <c r="D391">
        <v>2</v>
      </c>
      <c r="E391">
        <v>2</v>
      </c>
      <c r="F391">
        <v>3</v>
      </c>
      <c r="G391">
        <v>7</v>
      </c>
      <c r="H391">
        <v>5</v>
      </c>
      <c r="I391">
        <v>3</v>
      </c>
      <c r="J391">
        <v>5</v>
      </c>
      <c r="K391">
        <v>4</v>
      </c>
      <c r="L391">
        <v>3</v>
      </c>
      <c r="M391">
        <v>4</v>
      </c>
      <c r="N391">
        <v>4</v>
      </c>
      <c r="O391">
        <v>5</v>
      </c>
      <c r="P391">
        <v>1</v>
      </c>
      <c r="Q391">
        <v>1</v>
      </c>
      <c r="R391">
        <v>2</v>
      </c>
    </row>
    <row r="392" spans="1:18">
      <c r="A392" t="s">
        <v>874</v>
      </c>
      <c r="B392" t="s">
        <v>173</v>
      </c>
      <c r="C392" t="s">
        <v>184</v>
      </c>
      <c r="D392">
        <v>24</v>
      </c>
      <c r="E392">
        <v>28</v>
      </c>
      <c r="F392">
        <v>31</v>
      </c>
      <c r="G392">
        <v>37</v>
      </c>
      <c r="H392">
        <v>38</v>
      </c>
      <c r="I392">
        <v>45</v>
      </c>
      <c r="J392">
        <v>47</v>
      </c>
      <c r="K392">
        <v>46</v>
      </c>
      <c r="L392">
        <v>42</v>
      </c>
      <c r="M392">
        <v>47</v>
      </c>
      <c r="N392">
        <v>38</v>
      </c>
      <c r="O392">
        <v>53</v>
      </c>
      <c r="P392">
        <v>32</v>
      </c>
      <c r="Q392">
        <v>24</v>
      </c>
      <c r="R392">
        <v>26</v>
      </c>
    </row>
    <row r="393" spans="1:18">
      <c r="A393" t="s">
        <v>875</v>
      </c>
      <c r="B393" t="s">
        <v>173</v>
      </c>
      <c r="C393" s="4" t="s">
        <v>188</v>
      </c>
      <c r="D393">
        <v>39</v>
      </c>
      <c r="E393">
        <v>44</v>
      </c>
      <c r="F393">
        <v>96</v>
      </c>
      <c r="G393">
        <v>162</v>
      </c>
      <c r="H393">
        <v>121</v>
      </c>
      <c r="I393">
        <v>71</v>
      </c>
      <c r="J393">
        <v>64</v>
      </c>
      <c r="K393">
        <v>45</v>
      </c>
      <c r="L393">
        <v>29</v>
      </c>
      <c r="M393">
        <v>41</v>
      </c>
      <c r="N393">
        <v>79</v>
      </c>
      <c r="O393">
        <v>94</v>
      </c>
      <c r="P393">
        <v>90</v>
      </c>
      <c r="Q393">
        <v>107</v>
      </c>
      <c r="R393">
        <v>63</v>
      </c>
    </row>
    <row r="394" spans="1:18">
      <c r="A394" t="s">
        <v>876</v>
      </c>
      <c r="B394" t="s">
        <v>173</v>
      </c>
      <c r="C394" s="35" t="s">
        <v>189</v>
      </c>
      <c r="D394">
        <v>3</v>
      </c>
      <c r="E394">
        <v>17</v>
      </c>
      <c r="F394">
        <v>24</v>
      </c>
      <c r="G394">
        <v>61</v>
      </c>
      <c r="H394">
        <v>56</v>
      </c>
      <c r="I394">
        <v>68</v>
      </c>
      <c r="J394">
        <v>100</v>
      </c>
      <c r="K394">
        <v>142</v>
      </c>
      <c r="L394">
        <v>68</v>
      </c>
      <c r="M394">
        <v>94</v>
      </c>
      <c r="N394">
        <v>76</v>
      </c>
      <c r="O394">
        <v>112</v>
      </c>
      <c r="P394">
        <v>73</v>
      </c>
      <c r="Q394">
        <v>35</v>
      </c>
      <c r="R394">
        <v>45</v>
      </c>
    </row>
    <row r="395" spans="1:18">
      <c r="A395" t="s">
        <v>877</v>
      </c>
      <c r="B395" t="s">
        <v>173</v>
      </c>
      <c r="C395" t="s">
        <v>172</v>
      </c>
      <c r="D395">
        <v>3</v>
      </c>
      <c r="E395">
        <v>15</v>
      </c>
      <c r="F395">
        <v>24</v>
      </c>
      <c r="G395">
        <v>42</v>
      </c>
      <c r="H395">
        <v>44</v>
      </c>
      <c r="I395">
        <v>42</v>
      </c>
      <c r="J395">
        <v>68</v>
      </c>
      <c r="K395">
        <v>107</v>
      </c>
      <c r="L395">
        <v>50</v>
      </c>
      <c r="M395">
        <v>68</v>
      </c>
      <c r="N395">
        <v>51</v>
      </c>
      <c r="O395">
        <v>36</v>
      </c>
      <c r="P395">
        <v>39</v>
      </c>
      <c r="Q395">
        <v>25</v>
      </c>
      <c r="R395">
        <v>30</v>
      </c>
    </row>
    <row r="396" spans="1:18">
      <c r="A396" t="s">
        <v>878</v>
      </c>
      <c r="B396" t="s">
        <v>173</v>
      </c>
      <c r="C396" t="s">
        <v>30</v>
      </c>
      <c r="D396">
        <v>0</v>
      </c>
      <c r="E396">
        <v>2</v>
      </c>
      <c r="F396">
        <v>0</v>
      </c>
      <c r="G396">
        <v>19</v>
      </c>
      <c r="H396">
        <v>12</v>
      </c>
      <c r="I396">
        <v>26</v>
      </c>
      <c r="J396">
        <v>32</v>
      </c>
      <c r="K396">
        <v>35</v>
      </c>
      <c r="L396">
        <v>18</v>
      </c>
      <c r="M396">
        <v>26</v>
      </c>
      <c r="N396">
        <v>25</v>
      </c>
      <c r="O396">
        <v>76</v>
      </c>
      <c r="P396">
        <v>34</v>
      </c>
      <c r="Q396">
        <v>10</v>
      </c>
      <c r="R396">
        <v>15</v>
      </c>
    </row>
    <row r="397" spans="1:18">
      <c r="A397" t="s">
        <v>879</v>
      </c>
      <c r="B397" t="s">
        <v>174</v>
      </c>
      <c r="C397" t="s">
        <v>32</v>
      </c>
      <c r="D397">
        <v>8</v>
      </c>
      <c r="E397">
        <v>7</v>
      </c>
      <c r="F397">
        <v>12</v>
      </c>
      <c r="G397">
        <v>34</v>
      </c>
      <c r="H397">
        <v>40</v>
      </c>
      <c r="I397">
        <v>31</v>
      </c>
      <c r="J397">
        <v>14</v>
      </c>
      <c r="K397">
        <v>47</v>
      </c>
      <c r="L397">
        <v>34</v>
      </c>
      <c r="M397">
        <v>34</v>
      </c>
      <c r="N397">
        <v>34</v>
      </c>
      <c r="O397">
        <v>36</v>
      </c>
      <c r="P397">
        <v>25</v>
      </c>
      <c r="Q397">
        <v>60</v>
      </c>
      <c r="R397">
        <v>55</v>
      </c>
    </row>
    <row r="398" spans="1:18">
      <c r="A398" t="s">
        <v>880</v>
      </c>
      <c r="B398" t="s">
        <v>174</v>
      </c>
      <c r="C398" s="4" t="s">
        <v>34</v>
      </c>
      <c r="D398">
        <v>8</v>
      </c>
      <c r="E398">
        <v>7</v>
      </c>
      <c r="F398">
        <v>8</v>
      </c>
      <c r="G398">
        <v>12</v>
      </c>
      <c r="H398">
        <v>12</v>
      </c>
      <c r="I398">
        <v>19</v>
      </c>
      <c r="J398">
        <v>8</v>
      </c>
      <c r="K398">
        <v>27</v>
      </c>
      <c r="L398">
        <v>22</v>
      </c>
      <c r="M398">
        <v>25</v>
      </c>
      <c r="N398">
        <v>34</v>
      </c>
      <c r="O398">
        <v>36</v>
      </c>
      <c r="P398">
        <v>24</v>
      </c>
      <c r="Q398">
        <v>60</v>
      </c>
      <c r="R398">
        <v>55</v>
      </c>
    </row>
    <row r="399" spans="1:18">
      <c r="A399" t="s">
        <v>881</v>
      </c>
      <c r="B399" t="s">
        <v>174</v>
      </c>
      <c r="C399" t="s">
        <v>169</v>
      </c>
      <c r="D399">
        <v>0</v>
      </c>
      <c r="E399">
        <v>0</v>
      </c>
      <c r="F399">
        <v>4</v>
      </c>
      <c r="G399">
        <v>22</v>
      </c>
      <c r="H399">
        <v>28</v>
      </c>
      <c r="I399">
        <v>12</v>
      </c>
      <c r="J399">
        <v>6</v>
      </c>
      <c r="K399">
        <v>20</v>
      </c>
      <c r="L399">
        <v>12</v>
      </c>
      <c r="M399">
        <v>9</v>
      </c>
      <c r="N399">
        <v>0</v>
      </c>
      <c r="O399">
        <v>0</v>
      </c>
      <c r="P399">
        <v>1</v>
      </c>
      <c r="Q399">
        <v>0</v>
      </c>
      <c r="R399">
        <v>0</v>
      </c>
    </row>
    <row r="400" spans="1:18">
      <c r="A400" t="s">
        <v>882</v>
      </c>
      <c r="B400" t="s">
        <v>174</v>
      </c>
      <c r="C400" t="s">
        <v>486</v>
      </c>
      <c r="D400">
        <v>2</v>
      </c>
      <c r="E400">
        <v>18</v>
      </c>
      <c r="F400">
        <v>23</v>
      </c>
      <c r="G400">
        <v>22</v>
      </c>
      <c r="H400">
        <v>22</v>
      </c>
      <c r="I400">
        <v>12</v>
      </c>
      <c r="J400">
        <v>14</v>
      </c>
      <c r="K400">
        <v>14</v>
      </c>
      <c r="L400">
        <v>13</v>
      </c>
      <c r="M400">
        <v>12</v>
      </c>
      <c r="N400">
        <v>10</v>
      </c>
      <c r="O400">
        <v>5</v>
      </c>
      <c r="P400">
        <v>2</v>
      </c>
      <c r="Q400">
        <v>2</v>
      </c>
      <c r="R400">
        <v>2</v>
      </c>
    </row>
    <row r="401" spans="1:18">
      <c r="A401" t="s">
        <v>883</v>
      </c>
      <c r="B401" t="s">
        <v>174</v>
      </c>
      <c r="C401" t="s">
        <v>488</v>
      </c>
      <c r="D401">
        <v>25</v>
      </c>
      <c r="E401">
        <v>28</v>
      </c>
      <c r="F401">
        <v>31</v>
      </c>
      <c r="G401">
        <v>31</v>
      </c>
      <c r="H401">
        <v>35</v>
      </c>
      <c r="I401">
        <v>40</v>
      </c>
      <c r="J401">
        <v>43</v>
      </c>
      <c r="K401">
        <v>46</v>
      </c>
      <c r="L401">
        <v>46</v>
      </c>
      <c r="M401">
        <v>18</v>
      </c>
      <c r="N401">
        <v>17</v>
      </c>
      <c r="O401">
        <v>16</v>
      </c>
      <c r="P401">
        <v>16</v>
      </c>
      <c r="Q401">
        <v>16</v>
      </c>
      <c r="R401">
        <v>16</v>
      </c>
    </row>
    <row r="402" spans="1:18">
      <c r="A402" t="s">
        <v>884</v>
      </c>
      <c r="B402" t="s">
        <v>174</v>
      </c>
      <c r="C402" t="s">
        <v>148</v>
      </c>
      <c r="D402">
        <v>1</v>
      </c>
      <c r="E402">
        <v>2</v>
      </c>
      <c r="F402">
        <v>1</v>
      </c>
      <c r="G402">
        <v>22</v>
      </c>
      <c r="H402">
        <v>24</v>
      </c>
      <c r="I402">
        <v>9</v>
      </c>
      <c r="J402">
        <v>11</v>
      </c>
      <c r="K402">
        <v>14</v>
      </c>
      <c r="L402">
        <v>14</v>
      </c>
      <c r="M402">
        <v>13</v>
      </c>
      <c r="N402">
        <v>9</v>
      </c>
      <c r="O402">
        <v>10</v>
      </c>
      <c r="P402">
        <v>11</v>
      </c>
      <c r="Q402">
        <v>2</v>
      </c>
      <c r="R402">
        <v>2</v>
      </c>
    </row>
    <row r="403" spans="1:18">
      <c r="A403" t="s">
        <v>885</v>
      </c>
      <c r="B403" t="s">
        <v>174</v>
      </c>
      <c r="C403" t="s">
        <v>184</v>
      </c>
      <c r="D403">
        <v>8</v>
      </c>
      <c r="E403">
        <v>2</v>
      </c>
      <c r="F403">
        <v>27</v>
      </c>
      <c r="G403">
        <v>28</v>
      </c>
      <c r="H403">
        <v>35</v>
      </c>
      <c r="I403">
        <v>31</v>
      </c>
      <c r="J403">
        <v>42</v>
      </c>
      <c r="K403">
        <v>42</v>
      </c>
      <c r="L403">
        <v>46</v>
      </c>
      <c r="M403">
        <v>50</v>
      </c>
      <c r="N403">
        <v>16</v>
      </c>
      <c r="O403">
        <v>16</v>
      </c>
      <c r="P403">
        <v>18</v>
      </c>
      <c r="Q403">
        <v>15</v>
      </c>
      <c r="R403">
        <v>16</v>
      </c>
    </row>
    <row r="404" spans="1:18">
      <c r="A404" t="s">
        <v>886</v>
      </c>
      <c r="B404" t="s">
        <v>174</v>
      </c>
      <c r="C404" s="4" t="s">
        <v>188</v>
      </c>
      <c r="D404">
        <v>0</v>
      </c>
      <c r="E404">
        <v>0</v>
      </c>
      <c r="F404">
        <v>4</v>
      </c>
      <c r="G404">
        <v>22</v>
      </c>
      <c r="H404">
        <v>24</v>
      </c>
      <c r="I404">
        <v>11</v>
      </c>
      <c r="J404">
        <v>4</v>
      </c>
      <c r="K404">
        <v>9</v>
      </c>
      <c r="L404">
        <v>3</v>
      </c>
      <c r="M404">
        <v>1</v>
      </c>
      <c r="N404">
        <v>0</v>
      </c>
      <c r="O404">
        <v>0</v>
      </c>
      <c r="P404">
        <v>1</v>
      </c>
      <c r="Q404">
        <v>0</v>
      </c>
      <c r="R404">
        <v>0</v>
      </c>
    </row>
    <row r="405" spans="1:18">
      <c r="A405" t="s">
        <v>887</v>
      </c>
      <c r="B405" t="s">
        <v>174</v>
      </c>
      <c r="C405" s="35" t="s">
        <v>189</v>
      </c>
      <c r="D405">
        <v>0</v>
      </c>
      <c r="E405">
        <v>0</v>
      </c>
      <c r="F405">
        <v>0</v>
      </c>
      <c r="G405">
        <v>0</v>
      </c>
      <c r="H405">
        <v>4</v>
      </c>
      <c r="I405">
        <v>1</v>
      </c>
      <c r="J405">
        <v>2</v>
      </c>
      <c r="K405">
        <v>11</v>
      </c>
      <c r="L405">
        <v>9</v>
      </c>
      <c r="M405">
        <v>8</v>
      </c>
      <c r="N405">
        <v>0</v>
      </c>
      <c r="O405">
        <v>0</v>
      </c>
      <c r="P405">
        <v>0</v>
      </c>
      <c r="Q405">
        <v>0</v>
      </c>
      <c r="R405">
        <v>0</v>
      </c>
    </row>
    <row r="406" spans="1:18">
      <c r="A406" t="s">
        <v>888</v>
      </c>
      <c r="B406" t="s">
        <v>174</v>
      </c>
      <c r="C406" t="s">
        <v>172</v>
      </c>
      <c r="D406">
        <v>0</v>
      </c>
      <c r="E406">
        <v>0</v>
      </c>
      <c r="F406">
        <v>0</v>
      </c>
      <c r="G406">
        <v>0</v>
      </c>
      <c r="H406">
        <v>4</v>
      </c>
      <c r="I406">
        <v>1</v>
      </c>
      <c r="J406">
        <v>2</v>
      </c>
      <c r="K406">
        <v>10</v>
      </c>
      <c r="L406">
        <v>9</v>
      </c>
      <c r="M406">
        <v>6</v>
      </c>
      <c r="N406">
        <v>0</v>
      </c>
      <c r="O406">
        <v>0</v>
      </c>
      <c r="P406">
        <v>0</v>
      </c>
      <c r="Q406">
        <v>0</v>
      </c>
      <c r="R406">
        <v>0</v>
      </c>
    </row>
    <row r="407" spans="1:18">
      <c r="A407" t="s">
        <v>889</v>
      </c>
      <c r="B407" t="s">
        <v>174</v>
      </c>
      <c r="C407" t="s">
        <v>30</v>
      </c>
      <c r="D407">
        <v>0</v>
      </c>
      <c r="E407">
        <v>0</v>
      </c>
      <c r="F407">
        <v>0</v>
      </c>
      <c r="G407">
        <v>0</v>
      </c>
      <c r="H407">
        <v>0</v>
      </c>
      <c r="I407">
        <v>0</v>
      </c>
      <c r="J407">
        <v>0</v>
      </c>
      <c r="K407">
        <v>1</v>
      </c>
      <c r="L407">
        <v>0</v>
      </c>
      <c r="M407">
        <v>2</v>
      </c>
      <c r="N407">
        <v>0</v>
      </c>
      <c r="O407">
        <v>0</v>
      </c>
      <c r="P407">
        <v>0</v>
      </c>
      <c r="Q407">
        <v>0</v>
      </c>
      <c r="R407">
        <v>0</v>
      </c>
    </row>
    <row r="408" spans="1:18">
      <c r="A408" t="s">
        <v>890</v>
      </c>
      <c r="B408" t="s">
        <v>175</v>
      </c>
      <c r="C408" t="s">
        <v>32</v>
      </c>
      <c r="D408">
        <v>212</v>
      </c>
      <c r="E408">
        <v>308</v>
      </c>
      <c r="F408">
        <v>411</v>
      </c>
      <c r="G408">
        <v>528</v>
      </c>
      <c r="H408">
        <v>474</v>
      </c>
      <c r="I408">
        <v>471</v>
      </c>
      <c r="J408">
        <v>527</v>
      </c>
      <c r="K408">
        <v>677</v>
      </c>
      <c r="L408">
        <v>501</v>
      </c>
      <c r="M408">
        <v>574</v>
      </c>
      <c r="N408">
        <v>674</v>
      </c>
      <c r="O408">
        <v>716</v>
      </c>
      <c r="P408">
        <v>855</v>
      </c>
      <c r="Q408">
        <v>879</v>
      </c>
      <c r="R408">
        <v>667</v>
      </c>
    </row>
    <row r="409" spans="1:18">
      <c r="A409" t="s">
        <v>891</v>
      </c>
      <c r="B409" t="s">
        <v>175</v>
      </c>
      <c r="C409" s="4" t="s">
        <v>34</v>
      </c>
      <c r="D409">
        <v>164</v>
      </c>
      <c r="E409">
        <v>242</v>
      </c>
      <c r="F409">
        <v>285</v>
      </c>
      <c r="G409">
        <v>300</v>
      </c>
      <c r="H409">
        <v>293</v>
      </c>
      <c r="I409">
        <v>326</v>
      </c>
      <c r="J409">
        <v>359</v>
      </c>
      <c r="K409">
        <v>485</v>
      </c>
      <c r="L409">
        <v>402</v>
      </c>
      <c r="M409">
        <v>431</v>
      </c>
      <c r="N409">
        <v>508</v>
      </c>
      <c r="O409">
        <v>504</v>
      </c>
      <c r="P409">
        <v>686</v>
      </c>
      <c r="Q409">
        <v>732</v>
      </c>
      <c r="R409">
        <v>549</v>
      </c>
    </row>
    <row r="410" spans="1:18">
      <c r="A410" t="s">
        <v>892</v>
      </c>
      <c r="B410" t="s">
        <v>175</v>
      </c>
      <c r="C410" t="s">
        <v>169</v>
      </c>
      <c r="D410">
        <v>48</v>
      </c>
      <c r="E410">
        <v>66</v>
      </c>
      <c r="F410">
        <v>126</v>
      </c>
      <c r="G410">
        <v>228</v>
      </c>
      <c r="H410">
        <v>181</v>
      </c>
      <c r="I410">
        <v>145</v>
      </c>
      <c r="J410">
        <v>168</v>
      </c>
      <c r="K410">
        <v>192</v>
      </c>
      <c r="L410">
        <v>99</v>
      </c>
      <c r="M410">
        <v>143</v>
      </c>
      <c r="N410">
        <v>166</v>
      </c>
      <c r="O410">
        <v>212</v>
      </c>
      <c r="P410">
        <v>169</v>
      </c>
      <c r="Q410">
        <v>147</v>
      </c>
      <c r="R410">
        <v>118</v>
      </c>
    </row>
    <row r="411" spans="1:18">
      <c r="A411" t="s">
        <v>893</v>
      </c>
      <c r="B411" t="s">
        <v>175</v>
      </c>
      <c r="C411" t="s">
        <v>486</v>
      </c>
      <c r="D411">
        <v>3</v>
      </c>
      <c r="E411">
        <v>5</v>
      </c>
      <c r="F411">
        <v>6</v>
      </c>
      <c r="G411">
        <v>5</v>
      </c>
      <c r="H411">
        <v>5</v>
      </c>
      <c r="I411">
        <v>4</v>
      </c>
      <c r="J411">
        <v>4</v>
      </c>
      <c r="K411">
        <v>4</v>
      </c>
      <c r="L411">
        <v>4</v>
      </c>
      <c r="M411">
        <v>5</v>
      </c>
      <c r="N411">
        <v>4</v>
      </c>
      <c r="O411">
        <v>2</v>
      </c>
      <c r="P411">
        <v>2</v>
      </c>
      <c r="Q411">
        <v>2</v>
      </c>
      <c r="R411">
        <v>3</v>
      </c>
    </row>
    <row r="412" spans="1:18">
      <c r="A412" t="s">
        <v>894</v>
      </c>
      <c r="B412" t="s">
        <v>175</v>
      </c>
      <c r="C412" t="s">
        <v>488</v>
      </c>
      <c r="D412">
        <v>28</v>
      </c>
      <c r="E412">
        <v>33</v>
      </c>
      <c r="F412">
        <v>36</v>
      </c>
      <c r="G412">
        <v>40</v>
      </c>
      <c r="H412">
        <v>46</v>
      </c>
      <c r="I412">
        <v>47</v>
      </c>
      <c r="J412">
        <v>47</v>
      </c>
      <c r="K412">
        <v>46</v>
      </c>
      <c r="L412">
        <v>45</v>
      </c>
      <c r="M412">
        <v>47</v>
      </c>
      <c r="N412">
        <v>40</v>
      </c>
      <c r="O412">
        <v>34</v>
      </c>
      <c r="P412">
        <v>28</v>
      </c>
      <c r="Q412">
        <v>26</v>
      </c>
      <c r="R412">
        <v>27</v>
      </c>
    </row>
    <row r="413" spans="1:18">
      <c r="A413" t="s">
        <v>895</v>
      </c>
      <c r="B413" t="s">
        <v>175</v>
      </c>
      <c r="C413" t="s">
        <v>148</v>
      </c>
      <c r="D413">
        <v>3</v>
      </c>
      <c r="E413">
        <v>3</v>
      </c>
      <c r="F413">
        <v>3</v>
      </c>
      <c r="G413">
        <v>8</v>
      </c>
      <c r="H413">
        <v>6</v>
      </c>
      <c r="I413">
        <v>3</v>
      </c>
      <c r="J413">
        <v>5</v>
      </c>
      <c r="K413">
        <v>4</v>
      </c>
      <c r="L413">
        <v>3</v>
      </c>
      <c r="M413">
        <v>5</v>
      </c>
      <c r="N413">
        <v>5</v>
      </c>
      <c r="O413">
        <v>5</v>
      </c>
      <c r="P413">
        <v>1</v>
      </c>
      <c r="Q413">
        <v>2</v>
      </c>
      <c r="R413">
        <v>3</v>
      </c>
    </row>
    <row r="414" spans="1:18">
      <c r="A414" t="s">
        <v>896</v>
      </c>
      <c r="B414" t="s">
        <v>175</v>
      </c>
      <c r="C414" t="s">
        <v>184</v>
      </c>
      <c r="D414">
        <v>24</v>
      </c>
      <c r="E414">
        <v>27</v>
      </c>
      <c r="F414">
        <v>31</v>
      </c>
      <c r="G414">
        <v>38</v>
      </c>
      <c r="H414">
        <v>38</v>
      </c>
      <c r="I414">
        <v>46</v>
      </c>
      <c r="J414">
        <v>48</v>
      </c>
      <c r="K414">
        <v>47</v>
      </c>
      <c r="L414">
        <v>43</v>
      </c>
      <c r="M414">
        <v>47</v>
      </c>
      <c r="N414">
        <v>38</v>
      </c>
      <c r="O414">
        <v>54</v>
      </c>
      <c r="P414">
        <v>33</v>
      </c>
      <c r="Q414">
        <v>25</v>
      </c>
      <c r="R414">
        <v>27</v>
      </c>
    </row>
    <row r="415" spans="1:18">
      <c r="A415" t="s">
        <v>897</v>
      </c>
      <c r="B415" t="s">
        <v>175</v>
      </c>
      <c r="C415" s="4" t="s">
        <v>188</v>
      </c>
      <c r="D415">
        <v>45</v>
      </c>
      <c r="E415">
        <v>50</v>
      </c>
      <c r="F415">
        <v>99</v>
      </c>
      <c r="G415">
        <v>162</v>
      </c>
      <c r="H415">
        <v>122</v>
      </c>
      <c r="I415">
        <v>75</v>
      </c>
      <c r="J415">
        <v>59</v>
      </c>
      <c r="K415">
        <v>46</v>
      </c>
      <c r="L415">
        <v>29</v>
      </c>
      <c r="M415">
        <v>49</v>
      </c>
      <c r="N415">
        <v>89</v>
      </c>
      <c r="O415">
        <v>98</v>
      </c>
      <c r="P415">
        <v>92</v>
      </c>
      <c r="Q415">
        <v>110</v>
      </c>
      <c r="R415">
        <v>65</v>
      </c>
    </row>
    <row r="416" spans="1:18">
      <c r="A416" t="s">
        <v>898</v>
      </c>
      <c r="B416" t="s">
        <v>175</v>
      </c>
      <c r="C416" s="35" t="s">
        <v>189</v>
      </c>
      <c r="D416">
        <v>3</v>
      </c>
      <c r="E416">
        <v>16</v>
      </c>
      <c r="F416">
        <v>27</v>
      </c>
      <c r="G416">
        <v>66</v>
      </c>
      <c r="H416">
        <v>59</v>
      </c>
      <c r="I416">
        <v>70</v>
      </c>
      <c r="J416">
        <v>109</v>
      </c>
      <c r="K416">
        <v>146</v>
      </c>
      <c r="L416">
        <v>70</v>
      </c>
      <c r="M416">
        <v>94</v>
      </c>
      <c r="N416">
        <v>77</v>
      </c>
      <c r="O416">
        <v>114</v>
      </c>
      <c r="P416">
        <v>77</v>
      </c>
      <c r="Q416">
        <v>37</v>
      </c>
      <c r="R416">
        <v>53</v>
      </c>
    </row>
    <row r="417" spans="1:18">
      <c r="A417" t="s">
        <v>899</v>
      </c>
      <c r="B417" t="s">
        <v>175</v>
      </c>
      <c r="C417" t="s">
        <v>172</v>
      </c>
      <c r="D417">
        <v>3</v>
      </c>
      <c r="E417">
        <v>14</v>
      </c>
      <c r="F417">
        <v>26</v>
      </c>
      <c r="G417">
        <v>47</v>
      </c>
      <c r="H417">
        <v>47</v>
      </c>
      <c r="I417">
        <v>43</v>
      </c>
      <c r="J417">
        <v>76</v>
      </c>
      <c r="K417">
        <v>107</v>
      </c>
      <c r="L417">
        <v>52</v>
      </c>
      <c r="M417">
        <v>64</v>
      </c>
      <c r="N417">
        <v>49</v>
      </c>
      <c r="O417">
        <v>33</v>
      </c>
      <c r="P417">
        <v>42</v>
      </c>
      <c r="Q417">
        <v>27</v>
      </c>
      <c r="R417">
        <v>35</v>
      </c>
    </row>
    <row r="418" spans="1:18">
      <c r="A418" t="s">
        <v>900</v>
      </c>
      <c r="B418" t="s">
        <v>175</v>
      </c>
      <c r="C418" t="s">
        <v>30</v>
      </c>
      <c r="D418">
        <v>0</v>
      </c>
      <c r="E418">
        <v>2</v>
      </c>
      <c r="F418">
        <v>1</v>
      </c>
      <c r="G418">
        <v>19</v>
      </c>
      <c r="H418">
        <v>12</v>
      </c>
      <c r="I418">
        <v>27</v>
      </c>
      <c r="J418">
        <v>33</v>
      </c>
      <c r="K418">
        <v>39</v>
      </c>
      <c r="L418">
        <v>18</v>
      </c>
      <c r="M418">
        <v>30</v>
      </c>
      <c r="N418">
        <v>28</v>
      </c>
      <c r="O418">
        <v>81</v>
      </c>
      <c r="P418">
        <v>35</v>
      </c>
      <c r="Q418">
        <v>10</v>
      </c>
      <c r="R418">
        <v>18</v>
      </c>
    </row>
    <row r="419" spans="1:18">
      <c r="A419" t="s">
        <v>901</v>
      </c>
      <c r="B419" t="s">
        <v>175</v>
      </c>
      <c r="C419" t="s">
        <v>177</v>
      </c>
      <c r="D419">
        <v>447</v>
      </c>
      <c r="E419">
        <v>670</v>
      </c>
      <c r="F419">
        <v>861</v>
      </c>
      <c r="G419">
        <v>956</v>
      </c>
      <c r="H419">
        <v>1107</v>
      </c>
      <c r="I419">
        <v>1296</v>
      </c>
      <c r="J419">
        <v>1126</v>
      </c>
      <c r="K419">
        <v>1401</v>
      </c>
      <c r="L419">
        <v>1282</v>
      </c>
      <c r="M419">
        <v>1060</v>
      </c>
      <c r="N419">
        <v>1116</v>
      </c>
      <c r="O419">
        <v>1407</v>
      </c>
      <c r="P419">
        <v>1296</v>
      </c>
      <c r="Q419">
        <v>1353</v>
      </c>
      <c r="R419">
        <v>1316</v>
      </c>
    </row>
    <row r="420" spans="1:18">
      <c r="A420" t="s">
        <v>902</v>
      </c>
      <c r="B420" t="s">
        <v>175</v>
      </c>
      <c r="C420" t="s">
        <v>178</v>
      </c>
      <c r="D420">
        <v>330</v>
      </c>
      <c r="E420">
        <v>566</v>
      </c>
      <c r="F420">
        <v>715</v>
      </c>
      <c r="G420">
        <v>834</v>
      </c>
      <c r="H420">
        <v>963</v>
      </c>
      <c r="I420">
        <v>1051</v>
      </c>
      <c r="J420">
        <v>960</v>
      </c>
      <c r="K420">
        <v>1201</v>
      </c>
      <c r="L420">
        <v>1050</v>
      </c>
      <c r="M420">
        <v>926</v>
      </c>
      <c r="N420">
        <v>995</v>
      </c>
      <c r="O420">
        <v>1242</v>
      </c>
      <c r="P420">
        <v>1251</v>
      </c>
      <c r="Q420">
        <v>1292</v>
      </c>
      <c r="R420">
        <v>1224</v>
      </c>
    </row>
    <row r="421" spans="1:18">
      <c r="A421" t="s">
        <v>903</v>
      </c>
      <c r="B421" t="s">
        <v>176</v>
      </c>
      <c r="C421" t="s">
        <v>32</v>
      </c>
      <c r="D421">
        <v>8</v>
      </c>
      <c r="E421">
        <v>7</v>
      </c>
      <c r="F421">
        <v>12</v>
      </c>
      <c r="G421">
        <v>34</v>
      </c>
      <c r="H421">
        <v>40</v>
      </c>
      <c r="I421">
        <v>31</v>
      </c>
      <c r="J421">
        <v>14</v>
      </c>
      <c r="K421">
        <v>47</v>
      </c>
      <c r="L421">
        <v>34</v>
      </c>
      <c r="M421">
        <v>34</v>
      </c>
      <c r="N421">
        <v>34</v>
      </c>
      <c r="O421">
        <v>36</v>
      </c>
      <c r="P421">
        <v>25</v>
      </c>
      <c r="Q421">
        <v>60</v>
      </c>
      <c r="R421">
        <v>55</v>
      </c>
    </row>
    <row r="422" spans="1:18">
      <c r="A422" t="s">
        <v>904</v>
      </c>
      <c r="B422" t="s">
        <v>176</v>
      </c>
      <c r="C422" s="4" t="s">
        <v>34</v>
      </c>
      <c r="D422">
        <v>8</v>
      </c>
      <c r="E422">
        <v>7</v>
      </c>
      <c r="F422">
        <v>8</v>
      </c>
      <c r="G422">
        <v>12</v>
      </c>
      <c r="H422">
        <v>12</v>
      </c>
      <c r="I422">
        <v>19</v>
      </c>
      <c r="J422">
        <v>8</v>
      </c>
      <c r="K422">
        <v>27</v>
      </c>
      <c r="L422">
        <v>22</v>
      </c>
      <c r="M422">
        <v>25</v>
      </c>
      <c r="N422">
        <v>34</v>
      </c>
      <c r="O422">
        <v>36</v>
      </c>
      <c r="P422">
        <v>24</v>
      </c>
      <c r="Q422">
        <v>60</v>
      </c>
      <c r="R422">
        <v>55</v>
      </c>
    </row>
    <row r="423" spans="1:18">
      <c r="A423" t="s">
        <v>905</v>
      </c>
      <c r="B423" t="s">
        <v>176</v>
      </c>
      <c r="C423" t="s">
        <v>169</v>
      </c>
      <c r="D423">
        <v>0</v>
      </c>
      <c r="E423">
        <v>0</v>
      </c>
      <c r="F423">
        <v>4</v>
      </c>
      <c r="G423">
        <v>22</v>
      </c>
      <c r="H423">
        <v>28</v>
      </c>
      <c r="I423">
        <v>12</v>
      </c>
      <c r="J423">
        <v>6</v>
      </c>
      <c r="K423">
        <v>20</v>
      </c>
      <c r="L423">
        <v>12</v>
      </c>
      <c r="M423">
        <v>9</v>
      </c>
      <c r="N423">
        <v>0</v>
      </c>
      <c r="O423">
        <v>0</v>
      </c>
      <c r="P423">
        <v>1</v>
      </c>
      <c r="Q423">
        <v>0</v>
      </c>
      <c r="R423">
        <v>0</v>
      </c>
    </row>
    <row r="424" spans="1:18">
      <c r="A424" t="s">
        <v>906</v>
      </c>
      <c r="B424" t="s">
        <v>176</v>
      </c>
      <c r="C424" t="s">
        <v>170</v>
      </c>
      <c r="D424">
        <v>330</v>
      </c>
      <c r="E424">
        <v>566</v>
      </c>
      <c r="F424">
        <v>715</v>
      </c>
      <c r="G424">
        <v>834</v>
      </c>
      <c r="H424">
        <v>963</v>
      </c>
      <c r="I424">
        <v>1051</v>
      </c>
      <c r="J424">
        <v>960</v>
      </c>
      <c r="K424">
        <v>1201</v>
      </c>
      <c r="L424">
        <v>1050</v>
      </c>
      <c r="M424">
        <v>926</v>
      </c>
      <c r="N424">
        <v>995</v>
      </c>
      <c r="O424">
        <v>1242</v>
      </c>
      <c r="P424">
        <v>1251</v>
      </c>
      <c r="Q424">
        <v>1292</v>
      </c>
      <c r="R424">
        <v>1224</v>
      </c>
    </row>
    <row r="425" spans="1:18">
      <c r="A425" t="s">
        <v>907</v>
      </c>
      <c r="B425" t="s">
        <v>176</v>
      </c>
      <c r="C425" t="s">
        <v>171</v>
      </c>
      <c r="D425">
        <v>447</v>
      </c>
      <c r="E425">
        <v>670</v>
      </c>
      <c r="F425">
        <v>861</v>
      </c>
      <c r="G425">
        <v>956</v>
      </c>
      <c r="H425">
        <v>1107</v>
      </c>
      <c r="I425">
        <v>1296</v>
      </c>
      <c r="J425">
        <v>1126</v>
      </c>
      <c r="K425">
        <v>1401</v>
      </c>
      <c r="L425">
        <v>1282</v>
      </c>
      <c r="M425">
        <v>1060</v>
      </c>
      <c r="N425">
        <v>1116</v>
      </c>
      <c r="O425">
        <v>1407</v>
      </c>
      <c r="P425">
        <v>1296</v>
      </c>
      <c r="Q425">
        <v>1353</v>
      </c>
      <c r="R425">
        <v>1316</v>
      </c>
    </row>
    <row r="426" spans="1:18">
      <c r="A426" t="s">
        <v>908</v>
      </c>
      <c r="B426" t="s">
        <v>176</v>
      </c>
      <c r="C426" t="s">
        <v>148</v>
      </c>
      <c r="D426">
        <v>1</v>
      </c>
      <c r="E426">
        <v>2</v>
      </c>
      <c r="F426">
        <v>1</v>
      </c>
      <c r="G426">
        <v>22</v>
      </c>
      <c r="H426">
        <v>24</v>
      </c>
      <c r="I426">
        <v>9</v>
      </c>
      <c r="J426">
        <v>11</v>
      </c>
      <c r="K426">
        <v>14</v>
      </c>
      <c r="L426">
        <v>14</v>
      </c>
      <c r="M426">
        <v>13</v>
      </c>
      <c r="N426">
        <v>9</v>
      </c>
      <c r="O426">
        <v>10</v>
      </c>
      <c r="P426">
        <v>11</v>
      </c>
      <c r="Q426">
        <v>2</v>
      </c>
      <c r="R426">
        <v>2</v>
      </c>
    </row>
    <row r="427" spans="1:18">
      <c r="A427" t="s">
        <v>909</v>
      </c>
      <c r="B427" t="s">
        <v>176</v>
      </c>
      <c r="C427" t="s">
        <v>184</v>
      </c>
      <c r="D427">
        <v>8</v>
      </c>
      <c r="E427">
        <v>2</v>
      </c>
      <c r="F427">
        <v>27</v>
      </c>
      <c r="G427">
        <v>28</v>
      </c>
      <c r="H427">
        <v>35</v>
      </c>
      <c r="I427">
        <v>31</v>
      </c>
      <c r="J427">
        <v>42</v>
      </c>
      <c r="K427">
        <v>42</v>
      </c>
      <c r="L427">
        <v>46</v>
      </c>
      <c r="M427">
        <v>50</v>
      </c>
      <c r="N427">
        <v>16</v>
      </c>
      <c r="O427">
        <v>16</v>
      </c>
      <c r="P427">
        <v>18</v>
      </c>
      <c r="Q427">
        <v>15</v>
      </c>
      <c r="R427">
        <v>16</v>
      </c>
    </row>
    <row r="428" spans="1:18">
      <c r="A428" t="s">
        <v>910</v>
      </c>
      <c r="B428" t="s">
        <v>176</v>
      </c>
      <c r="C428" s="4" t="s">
        <v>188</v>
      </c>
      <c r="D428">
        <v>0</v>
      </c>
      <c r="E428">
        <v>0</v>
      </c>
      <c r="F428">
        <v>4</v>
      </c>
      <c r="G428">
        <v>22</v>
      </c>
      <c r="H428">
        <v>24</v>
      </c>
      <c r="I428">
        <v>11</v>
      </c>
      <c r="J428">
        <v>4</v>
      </c>
      <c r="K428">
        <v>9</v>
      </c>
      <c r="L428">
        <v>3</v>
      </c>
      <c r="M428">
        <v>1</v>
      </c>
      <c r="N428">
        <v>0</v>
      </c>
      <c r="O428">
        <v>0</v>
      </c>
      <c r="P428">
        <v>1</v>
      </c>
      <c r="Q428">
        <v>0</v>
      </c>
      <c r="R428">
        <v>0</v>
      </c>
    </row>
    <row r="429" spans="1:18">
      <c r="A429" t="s">
        <v>911</v>
      </c>
      <c r="B429" t="s">
        <v>176</v>
      </c>
      <c r="C429" s="35" t="s">
        <v>189</v>
      </c>
      <c r="D429">
        <v>0</v>
      </c>
      <c r="E429">
        <v>0</v>
      </c>
      <c r="F429">
        <v>0</v>
      </c>
      <c r="G429">
        <v>0</v>
      </c>
      <c r="H429">
        <v>4</v>
      </c>
      <c r="I429">
        <v>1</v>
      </c>
      <c r="J429">
        <v>2</v>
      </c>
      <c r="K429">
        <v>11</v>
      </c>
      <c r="L429">
        <v>9</v>
      </c>
      <c r="M429">
        <v>8</v>
      </c>
      <c r="N429">
        <v>0</v>
      </c>
      <c r="O429">
        <v>0</v>
      </c>
      <c r="P429">
        <v>0</v>
      </c>
      <c r="Q429">
        <v>0</v>
      </c>
      <c r="R429">
        <v>0</v>
      </c>
    </row>
    <row r="430" spans="1:18">
      <c r="A430" t="s">
        <v>912</v>
      </c>
      <c r="B430" t="s">
        <v>176</v>
      </c>
      <c r="C430" t="s">
        <v>172</v>
      </c>
      <c r="D430">
        <v>0</v>
      </c>
      <c r="E430">
        <v>0</v>
      </c>
      <c r="F430">
        <v>0</v>
      </c>
      <c r="G430">
        <v>0</v>
      </c>
      <c r="H430">
        <v>4</v>
      </c>
      <c r="I430">
        <v>1</v>
      </c>
      <c r="J430">
        <v>2</v>
      </c>
      <c r="K430">
        <v>10</v>
      </c>
      <c r="L430">
        <v>9</v>
      </c>
      <c r="M430">
        <v>6</v>
      </c>
      <c r="N430">
        <v>0</v>
      </c>
      <c r="O430">
        <v>0</v>
      </c>
      <c r="P430">
        <v>0</v>
      </c>
      <c r="Q430">
        <v>0</v>
      </c>
      <c r="R430">
        <v>0</v>
      </c>
    </row>
    <row r="431" spans="1:18">
      <c r="A431" t="s">
        <v>913</v>
      </c>
      <c r="B431" t="s">
        <v>176</v>
      </c>
      <c r="C431" t="s">
        <v>30</v>
      </c>
      <c r="D431">
        <v>0</v>
      </c>
      <c r="E431">
        <v>0</v>
      </c>
      <c r="F431">
        <v>0</v>
      </c>
      <c r="G431">
        <v>0</v>
      </c>
      <c r="H431">
        <v>0</v>
      </c>
      <c r="I431">
        <v>0</v>
      </c>
      <c r="J431">
        <v>0</v>
      </c>
      <c r="K431">
        <v>1</v>
      </c>
      <c r="L431">
        <v>0</v>
      </c>
      <c r="M431">
        <v>2</v>
      </c>
      <c r="N431">
        <v>0</v>
      </c>
      <c r="O431">
        <v>0</v>
      </c>
      <c r="P431">
        <v>0</v>
      </c>
      <c r="Q431">
        <v>0</v>
      </c>
      <c r="R431">
        <v>0</v>
      </c>
    </row>
    <row r="432" spans="1:18">
      <c r="A432" t="s">
        <v>914</v>
      </c>
      <c r="B432" t="s">
        <v>176</v>
      </c>
      <c r="C432" t="s">
        <v>177</v>
      </c>
      <c r="D432">
        <v>18</v>
      </c>
      <c r="E432">
        <v>19</v>
      </c>
      <c r="F432">
        <v>19</v>
      </c>
      <c r="G432">
        <v>33</v>
      </c>
      <c r="H432">
        <v>34</v>
      </c>
      <c r="I432">
        <v>57</v>
      </c>
      <c r="J432">
        <v>40</v>
      </c>
      <c r="K432">
        <v>49</v>
      </c>
      <c r="L432">
        <v>39</v>
      </c>
      <c r="M432">
        <v>36</v>
      </c>
      <c r="N432">
        <v>45</v>
      </c>
      <c r="O432">
        <v>64</v>
      </c>
      <c r="P432">
        <v>42</v>
      </c>
      <c r="Q432">
        <v>91</v>
      </c>
      <c r="R432">
        <v>80</v>
      </c>
    </row>
    <row r="433" spans="1:18">
      <c r="A433" t="s">
        <v>915</v>
      </c>
      <c r="B433" t="s">
        <v>176</v>
      </c>
      <c r="C433" t="s">
        <v>178</v>
      </c>
      <c r="D433">
        <v>18</v>
      </c>
      <c r="E433">
        <v>18</v>
      </c>
      <c r="F433">
        <v>19</v>
      </c>
      <c r="G433">
        <v>33</v>
      </c>
      <c r="H433">
        <v>32</v>
      </c>
      <c r="I433">
        <v>54</v>
      </c>
      <c r="J433">
        <v>37</v>
      </c>
      <c r="K433">
        <v>47</v>
      </c>
      <c r="L433">
        <v>32</v>
      </c>
      <c r="M433">
        <v>36</v>
      </c>
      <c r="N433">
        <v>45</v>
      </c>
      <c r="O433">
        <v>60</v>
      </c>
      <c r="P433">
        <v>42</v>
      </c>
      <c r="Q433">
        <v>88</v>
      </c>
      <c r="R433">
        <v>78</v>
      </c>
    </row>
    <row r="434" spans="1:18">
      <c r="A434" t="s">
        <v>916</v>
      </c>
      <c r="B434" t="s">
        <v>173</v>
      </c>
      <c r="C434" t="s">
        <v>32</v>
      </c>
      <c r="D434">
        <v>894</v>
      </c>
      <c r="E434">
        <v>906</v>
      </c>
      <c r="F434">
        <v>1068</v>
      </c>
      <c r="G434">
        <v>1069</v>
      </c>
      <c r="H434">
        <v>989</v>
      </c>
      <c r="I434">
        <v>1195</v>
      </c>
      <c r="J434">
        <v>1215</v>
      </c>
      <c r="K434">
        <v>1370</v>
      </c>
      <c r="L434">
        <v>1276</v>
      </c>
      <c r="M434">
        <v>1136</v>
      </c>
      <c r="N434">
        <v>1280</v>
      </c>
      <c r="O434">
        <v>1581</v>
      </c>
      <c r="P434">
        <v>1308</v>
      </c>
      <c r="Q434">
        <v>1311</v>
      </c>
      <c r="R434">
        <v>1378</v>
      </c>
    </row>
    <row r="435" spans="1:18">
      <c r="A435" t="s">
        <v>917</v>
      </c>
      <c r="B435" t="s">
        <v>173</v>
      </c>
      <c r="C435" s="4" t="s">
        <v>34</v>
      </c>
      <c r="D435">
        <v>625</v>
      </c>
      <c r="E435">
        <v>698</v>
      </c>
      <c r="F435">
        <v>801</v>
      </c>
      <c r="G435">
        <v>879</v>
      </c>
      <c r="H435">
        <v>774</v>
      </c>
      <c r="I435">
        <v>902</v>
      </c>
      <c r="J435">
        <v>998</v>
      </c>
      <c r="K435">
        <v>1094</v>
      </c>
      <c r="L435">
        <v>1086</v>
      </c>
      <c r="M435">
        <v>896</v>
      </c>
      <c r="N435">
        <v>1076</v>
      </c>
      <c r="O435">
        <v>1252</v>
      </c>
      <c r="P435">
        <v>1021</v>
      </c>
      <c r="Q435">
        <v>999</v>
      </c>
      <c r="R435">
        <v>1054</v>
      </c>
    </row>
    <row r="436" spans="1:18">
      <c r="A436" t="s">
        <v>918</v>
      </c>
      <c r="B436" t="s">
        <v>173</v>
      </c>
      <c r="C436" t="s">
        <v>169</v>
      </c>
      <c r="D436">
        <v>269</v>
      </c>
      <c r="E436">
        <v>208</v>
      </c>
      <c r="F436">
        <v>267</v>
      </c>
      <c r="G436">
        <v>190</v>
      </c>
      <c r="H436">
        <v>215</v>
      </c>
      <c r="I436">
        <v>293</v>
      </c>
      <c r="J436">
        <v>217</v>
      </c>
      <c r="K436">
        <v>276</v>
      </c>
      <c r="L436">
        <v>190</v>
      </c>
      <c r="M436">
        <v>240</v>
      </c>
      <c r="N436">
        <v>204</v>
      </c>
      <c r="O436">
        <v>329</v>
      </c>
      <c r="P436">
        <v>287</v>
      </c>
      <c r="Q436">
        <v>312</v>
      </c>
      <c r="R436">
        <v>324</v>
      </c>
    </row>
    <row r="437" spans="1:18">
      <c r="A437" t="s">
        <v>919</v>
      </c>
      <c r="B437" t="s">
        <v>173</v>
      </c>
      <c r="C437" t="s">
        <v>486</v>
      </c>
      <c r="D437">
        <v>2</v>
      </c>
      <c r="E437">
        <v>2</v>
      </c>
      <c r="F437">
        <v>2</v>
      </c>
      <c r="G437">
        <v>2</v>
      </c>
      <c r="H437">
        <v>2</v>
      </c>
      <c r="I437">
        <v>2</v>
      </c>
      <c r="J437">
        <v>2</v>
      </c>
      <c r="K437">
        <v>2</v>
      </c>
      <c r="L437">
        <v>2</v>
      </c>
      <c r="M437">
        <v>2</v>
      </c>
      <c r="N437">
        <v>1</v>
      </c>
      <c r="O437">
        <v>1</v>
      </c>
      <c r="P437">
        <v>1</v>
      </c>
      <c r="Q437">
        <v>1</v>
      </c>
      <c r="R437">
        <v>1</v>
      </c>
    </row>
    <row r="438" spans="1:18">
      <c r="A438" t="s">
        <v>920</v>
      </c>
      <c r="B438" t="s">
        <v>173</v>
      </c>
      <c r="C438" t="s">
        <v>488</v>
      </c>
      <c r="D438">
        <v>73</v>
      </c>
      <c r="E438">
        <v>70</v>
      </c>
      <c r="F438">
        <v>68</v>
      </c>
      <c r="G438">
        <v>55</v>
      </c>
      <c r="H438">
        <v>56</v>
      </c>
      <c r="I438">
        <v>51</v>
      </c>
      <c r="J438">
        <v>49</v>
      </c>
      <c r="K438">
        <v>50</v>
      </c>
      <c r="L438">
        <v>45</v>
      </c>
      <c r="M438">
        <v>52</v>
      </c>
      <c r="N438">
        <v>55</v>
      </c>
      <c r="O438">
        <v>60</v>
      </c>
      <c r="P438">
        <v>59</v>
      </c>
      <c r="Q438">
        <v>57</v>
      </c>
      <c r="R438">
        <v>51</v>
      </c>
    </row>
    <row r="439" spans="1:18">
      <c r="A439" t="s">
        <v>921</v>
      </c>
      <c r="B439" t="s">
        <v>173</v>
      </c>
      <c r="C439" t="s">
        <v>148</v>
      </c>
      <c r="D439">
        <v>7</v>
      </c>
      <c r="E439">
        <v>2</v>
      </c>
      <c r="F439">
        <v>2</v>
      </c>
      <c r="G439">
        <v>2</v>
      </c>
      <c r="H439">
        <v>2</v>
      </c>
      <c r="I439">
        <v>2</v>
      </c>
      <c r="J439">
        <v>2</v>
      </c>
      <c r="K439">
        <v>2</v>
      </c>
      <c r="L439">
        <v>2</v>
      </c>
      <c r="M439">
        <v>2</v>
      </c>
      <c r="N439">
        <v>1</v>
      </c>
      <c r="O439">
        <v>1</v>
      </c>
      <c r="P439">
        <v>1</v>
      </c>
      <c r="Q439">
        <v>1</v>
      </c>
      <c r="R439">
        <v>1</v>
      </c>
    </row>
    <row r="440" spans="1:18">
      <c r="A440" t="s">
        <v>922</v>
      </c>
      <c r="B440" t="s">
        <v>173</v>
      </c>
      <c r="C440" t="s">
        <v>184</v>
      </c>
      <c r="D440">
        <v>74</v>
      </c>
      <c r="E440">
        <v>72</v>
      </c>
      <c r="F440">
        <v>73</v>
      </c>
      <c r="G440">
        <v>50</v>
      </c>
      <c r="H440">
        <v>67</v>
      </c>
      <c r="I440">
        <v>45</v>
      </c>
      <c r="J440">
        <v>51</v>
      </c>
      <c r="K440">
        <v>53</v>
      </c>
      <c r="L440">
        <v>44</v>
      </c>
      <c r="M440">
        <v>55</v>
      </c>
      <c r="N440">
        <v>35</v>
      </c>
      <c r="O440">
        <v>56</v>
      </c>
      <c r="P440">
        <v>60</v>
      </c>
      <c r="Q440">
        <v>65</v>
      </c>
      <c r="R440">
        <v>51</v>
      </c>
    </row>
    <row r="441" spans="1:18">
      <c r="A441" t="s">
        <v>923</v>
      </c>
      <c r="B441" t="s">
        <v>173</v>
      </c>
      <c r="C441" s="4" t="s">
        <v>188</v>
      </c>
      <c r="D441">
        <v>144</v>
      </c>
      <c r="E441">
        <v>87</v>
      </c>
      <c r="F441">
        <v>88</v>
      </c>
      <c r="G441">
        <v>65</v>
      </c>
      <c r="H441">
        <v>57</v>
      </c>
      <c r="I441">
        <v>154</v>
      </c>
      <c r="J441">
        <v>73</v>
      </c>
      <c r="K441">
        <v>51</v>
      </c>
      <c r="L441">
        <v>35</v>
      </c>
      <c r="M441">
        <v>55</v>
      </c>
      <c r="N441">
        <v>78</v>
      </c>
      <c r="O441">
        <v>113</v>
      </c>
      <c r="P441">
        <v>76</v>
      </c>
      <c r="Q441">
        <v>74</v>
      </c>
      <c r="R441">
        <v>89</v>
      </c>
    </row>
    <row r="442" spans="1:18">
      <c r="A442" t="s">
        <v>924</v>
      </c>
      <c r="B442" t="s">
        <v>173</v>
      </c>
      <c r="C442" s="35" t="s">
        <v>189</v>
      </c>
      <c r="D442">
        <v>125</v>
      </c>
      <c r="E442">
        <v>121</v>
      </c>
      <c r="F442">
        <v>179</v>
      </c>
      <c r="G442">
        <v>125</v>
      </c>
      <c r="H442">
        <v>158</v>
      </c>
      <c r="I442">
        <v>139</v>
      </c>
      <c r="J442">
        <v>144</v>
      </c>
      <c r="K442">
        <v>225</v>
      </c>
      <c r="L442">
        <v>155</v>
      </c>
      <c r="M442">
        <v>185</v>
      </c>
      <c r="N442">
        <v>126</v>
      </c>
      <c r="O442">
        <v>216</v>
      </c>
      <c r="P442">
        <v>211</v>
      </c>
      <c r="Q442">
        <v>238</v>
      </c>
      <c r="R442">
        <v>235</v>
      </c>
    </row>
    <row r="443" spans="1:18">
      <c r="A443" t="s">
        <v>925</v>
      </c>
      <c r="B443" t="s">
        <v>173</v>
      </c>
      <c r="C443" t="s">
        <v>172</v>
      </c>
      <c r="D443">
        <v>29</v>
      </c>
      <c r="E443">
        <v>19</v>
      </c>
      <c r="F443">
        <v>27</v>
      </c>
      <c r="G443">
        <v>21</v>
      </c>
      <c r="H443">
        <v>31</v>
      </c>
      <c r="I443">
        <v>40</v>
      </c>
      <c r="J443">
        <v>23</v>
      </c>
      <c r="K443">
        <v>83</v>
      </c>
      <c r="L443">
        <v>64</v>
      </c>
      <c r="M443">
        <v>68</v>
      </c>
      <c r="N443">
        <v>31</v>
      </c>
      <c r="O443">
        <v>35</v>
      </c>
      <c r="P443">
        <v>43</v>
      </c>
      <c r="Q443">
        <v>57</v>
      </c>
      <c r="R443">
        <v>110</v>
      </c>
    </row>
    <row r="444" spans="1:18">
      <c r="A444" t="s">
        <v>926</v>
      </c>
      <c r="B444" t="s">
        <v>173</v>
      </c>
      <c r="C444" t="s">
        <v>30</v>
      </c>
      <c r="D444">
        <v>96</v>
      </c>
      <c r="E444">
        <v>102</v>
      </c>
      <c r="F444">
        <v>152</v>
      </c>
      <c r="G444">
        <v>104</v>
      </c>
      <c r="H444">
        <v>127</v>
      </c>
      <c r="I444">
        <v>99</v>
      </c>
      <c r="J444">
        <v>121</v>
      </c>
      <c r="K444">
        <v>142</v>
      </c>
      <c r="L444">
        <v>91</v>
      </c>
      <c r="M444">
        <v>117</v>
      </c>
      <c r="N444">
        <v>95</v>
      </c>
      <c r="O444">
        <v>181</v>
      </c>
      <c r="P444">
        <v>168</v>
      </c>
      <c r="Q444">
        <v>181</v>
      </c>
      <c r="R444">
        <v>125</v>
      </c>
    </row>
    <row r="445" spans="1:18">
      <c r="A445" t="s">
        <v>927</v>
      </c>
      <c r="B445" t="s">
        <v>174</v>
      </c>
      <c r="C445" t="s">
        <v>32</v>
      </c>
      <c r="D445">
        <v>43</v>
      </c>
      <c r="E445">
        <v>43</v>
      </c>
      <c r="F445">
        <v>71</v>
      </c>
      <c r="G445">
        <v>76</v>
      </c>
      <c r="H445">
        <v>32</v>
      </c>
      <c r="I445">
        <v>42</v>
      </c>
      <c r="J445">
        <v>48</v>
      </c>
      <c r="K445">
        <v>67</v>
      </c>
      <c r="L445">
        <v>58</v>
      </c>
      <c r="M445">
        <v>43</v>
      </c>
      <c r="N445">
        <v>40</v>
      </c>
      <c r="O445">
        <v>45</v>
      </c>
      <c r="P445">
        <v>73</v>
      </c>
      <c r="Q445">
        <v>88</v>
      </c>
      <c r="R445">
        <v>87</v>
      </c>
    </row>
    <row r="446" spans="1:18">
      <c r="A446" t="s">
        <v>928</v>
      </c>
      <c r="B446" t="s">
        <v>174</v>
      </c>
      <c r="C446" s="4" t="s">
        <v>34</v>
      </c>
      <c r="D446">
        <v>41</v>
      </c>
      <c r="E446">
        <v>41</v>
      </c>
      <c r="F446">
        <v>67</v>
      </c>
      <c r="G446">
        <v>73</v>
      </c>
      <c r="H446">
        <v>32</v>
      </c>
      <c r="I446">
        <v>42</v>
      </c>
      <c r="J446">
        <v>48</v>
      </c>
      <c r="K446">
        <v>66</v>
      </c>
      <c r="L446">
        <v>54</v>
      </c>
      <c r="M446">
        <v>42</v>
      </c>
      <c r="N446">
        <v>40</v>
      </c>
      <c r="O446">
        <v>42</v>
      </c>
      <c r="P446">
        <v>65</v>
      </c>
      <c r="Q446">
        <v>83</v>
      </c>
      <c r="R446">
        <v>73</v>
      </c>
    </row>
    <row r="447" spans="1:18">
      <c r="A447" t="s">
        <v>929</v>
      </c>
      <c r="B447" t="s">
        <v>174</v>
      </c>
      <c r="C447" t="s">
        <v>169</v>
      </c>
      <c r="D447">
        <v>2</v>
      </c>
      <c r="E447">
        <v>2</v>
      </c>
      <c r="F447">
        <v>4</v>
      </c>
      <c r="G447">
        <v>3</v>
      </c>
      <c r="H447">
        <v>0</v>
      </c>
      <c r="I447">
        <v>0</v>
      </c>
      <c r="J447">
        <v>0</v>
      </c>
      <c r="K447">
        <v>1</v>
      </c>
      <c r="L447">
        <v>4</v>
      </c>
      <c r="M447">
        <v>1</v>
      </c>
      <c r="N447">
        <v>0</v>
      </c>
      <c r="O447">
        <v>3</v>
      </c>
      <c r="P447">
        <v>8</v>
      </c>
      <c r="Q447">
        <v>5</v>
      </c>
      <c r="R447">
        <v>14</v>
      </c>
    </row>
    <row r="448" spans="1:18">
      <c r="A448" t="s">
        <v>930</v>
      </c>
      <c r="B448" t="s">
        <v>174</v>
      </c>
      <c r="C448" t="s">
        <v>486</v>
      </c>
      <c r="D448">
        <v>8</v>
      </c>
      <c r="E448">
        <v>2</v>
      </c>
      <c r="F448">
        <v>2</v>
      </c>
      <c r="G448">
        <v>2</v>
      </c>
      <c r="H448">
        <v>2</v>
      </c>
      <c r="I448">
        <v>2</v>
      </c>
      <c r="J448">
        <v>2</v>
      </c>
      <c r="K448">
        <v>2</v>
      </c>
      <c r="L448">
        <v>2</v>
      </c>
      <c r="M448">
        <v>2</v>
      </c>
      <c r="N448">
        <v>2</v>
      </c>
      <c r="O448">
        <v>3</v>
      </c>
      <c r="P448">
        <v>4</v>
      </c>
      <c r="Q448">
        <v>4</v>
      </c>
      <c r="R448">
        <v>7</v>
      </c>
    </row>
    <row r="449" spans="1:18">
      <c r="A449" t="s">
        <v>931</v>
      </c>
      <c r="B449" t="s">
        <v>174</v>
      </c>
      <c r="C449" t="s">
        <v>488</v>
      </c>
      <c r="D449">
        <v>17</v>
      </c>
      <c r="E449">
        <v>16</v>
      </c>
      <c r="F449">
        <v>15</v>
      </c>
      <c r="G449">
        <v>8</v>
      </c>
      <c r="H449">
        <v>8</v>
      </c>
      <c r="I449">
        <v>11</v>
      </c>
      <c r="J449">
        <v>12</v>
      </c>
      <c r="K449">
        <v>12</v>
      </c>
      <c r="L449">
        <v>8</v>
      </c>
      <c r="M449">
        <v>8</v>
      </c>
      <c r="N449">
        <v>12</v>
      </c>
      <c r="O449">
        <v>12</v>
      </c>
      <c r="P449">
        <v>21</v>
      </c>
      <c r="Q449">
        <v>20</v>
      </c>
      <c r="R449">
        <v>34</v>
      </c>
    </row>
    <row r="450" spans="1:18">
      <c r="A450" t="s">
        <v>932</v>
      </c>
      <c r="B450" t="s">
        <v>174</v>
      </c>
      <c r="C450" t="s">
        <v>148</v>
      </c>
      <c r="D450">
        <v>10</v>
      </c>
      <c r="E450">
        <v>9</v>
      </c>
      <c r="F450">
        <v>4</v>
      </c>
      <c r="G450">
        <v>2</v>
      </c>
      <c r="H450">
        <v>2</v>
      </c>
      <c r="I450">
        <v>2</v>
      </c>
      <c r="J450">
        <v>2</v>
      </c>
      <c r="K450">
        <v>4</v>
      </c>
      <c r="L450">
        <v>2</v>
      </c>
      <c r="M450">
        <v>2</v>
      </c>
      <c r="N450">
        <v>2</v>
      </c>
      <c r="O450">
        <v>1</v>
      </c>
      <c r="P450">
        <v>4</v>
      </c>
      <c r="Q450">
        <v>3</v>
      </c>
      <c r="R450">
        <v>7</v>
      </c>
    </row>
    <row r="451" spans="1:18">
      <c r="A451" t="s">
        <v>933</v>
      </c>
      <c r="B451" t="s">
        <v>174</v>
      </c>
      <c r="C451" t="s">
        <v>184</v>
      </c>
      <c r="D451">
        <v>16</v>
      </c>
      <c r="E451">
        <v>17</v>
      </c>
      <c r="F451">
        <v>17</v>
      </c>
      <c r="G451">
        <v>11</v>
      </c>
      <c r="H451">
        <v>8</v>
      </c>
      <c r="I451">
        <v>8</v>
      </c>
      <c r="J451">
        <v>11</v>
      </c>
      <c r="K451">
        <v>14</v>
      </c>
      <c r="L451">
        <v>12</v>
      </c>
      <c r="M451">
        <v>7</v>
      </c>
      <c r="N451">
        <v>8</v>
      </c>
      <c r="O451">
        <v>12</v>
      </c>
      <c r="P451">
        <v>21</v>
      </c>
      <c r="Q451">
        <v>12</v>
      </c>
      <c r="R451">
        <v>34</v>
      </c>
    </row>
    <row r="452" spans="1:18">
      <c r="A452" t="s">
        <v>934</v>
      </c>
      <c r="B452" t="s">
        <v>174</v>
      </c>
      <c r="C452" s="4" t="s">
        <v>188</v>
      </c>
      <c r="D452">
        <v>2</v>
      </c>
      <c r="E452">
        <v>1</v>
      </c>
      <c r="F452">
        <v>4</v>
      </c>
      <c r="G452">
        <v>3</v>
      </c>
      <c r="H452">
        <v>0</v>
      </c>
      <c r="I452">
        <v>0</v>
      </c>
      <c r="J452">
        <v>0</v>
      </c>
      <c r="K452">
        <v>1</v>
      </c>
      <c r="L452">
        <v>3</v>
      </c>
      <c r="M452">
        <v>1</v>
      </c>
      <c r="N452">
        <v>0</v>
      </c>
      <c r="O452">
        <v>3</v>
      </c>
      <c r="P452">
        <v>4</v>
      </c>
      <c r="Q452">
        <v>2</v>
      </c>
      <c r="R452">
        <v>6</v>
      </c>
    </row>
    <row r="453" spans="1:18">
      <c r="A453" t="s">
        <v>935</v>
      </c>
      <c r="B453" t="s">
        <v>174</v>
      </c>
      <c r="C453" s="35" t="s">
        <v>189</v>
      </c>
      <c r="D453">
        <v>0</v>
      </c>
      <c r="E453">
        <v>1</v>
      </c>
      <c r="F453">
        <v>0</v>
      </c>
      <c r="G453">
        <v>0</v>
      </c>
      <c r="H453">
        <v>0</v>
      </c>
      <c r="I453">
        <v>0</v>
      </c>
      <c r="J453">
        <v>0</v>
      </c>
      <c r="K453">
        <v>0</v>
      </c>
      <c r="L453">
        <v>1</v>
      </c>
      <c r="M453">
        <v>0</v>
      </c>
      <c r="N453">
        <v>0</v>
      </c>
      <c r="O453">
        <v>0</v>
      </c>
      <c r="P453">
        <v>4</v>
      </c>
      <c r="Q453">
        <v>3</v>
      </c>
      <c r="R453">
        <v>8</v>
      </c>
    </row>
    <row r="454" spans="1:18">
      <c r="A454" t="s">
        <v>936</v>
      </c>
      <c r="B454" t="s">
        <v>174</v>
      </c>
      <c r="C454" t="s">
        <v>172</v>
      </c>
      <c r="D454">
        <v>0</v>
      </c>
      <c r="E454">
        <v>0</v>
      </c>
      <c r="F454">
        <v>0</v>
      </c>
      <c r="G454">
        <v>0</v>
      </c>
      <c r="H454">
        <v>0</v>
      </c>
      <c r="I454">
        <v>0</v>
      </c>
      <c r="J454">
        <v>0</v>
      </c>
      <c r="K454">
        <v>0</v>
      </c>
      <c r="L454">
        <v>1</v>
      </c>
      <c r="M454">
        <v>0</v>
      </c>
      <c r="N454">
        <v>0</v>
      </c>
      <c r="O454">
        <v>0</v>
      </c>
      <c r="P454">
        <v>2</v>
      </c>
      <c r="Q454">
        <v>2</v>
      </c>
      <c r="R454">
        <v>5</v>
      </c>
    </row>
    <row r="455" spans="1:18">
      <c r="A455" t="s">
        <v>937</v>
      </c>
      <c r="B455" t="s">
        <v>174</v>
      </c>
      <c r="C455" t="s">
        <v>30</v>
      </c>
      <c r="D455">
        <v>0</v>
      </c>
      <c r="E455">
        <v>1</v>
      </c>
      <c r="F455">
        <v>0</v>
      </c>
      <c r="G455">
        <v>0</v>
      </c>
      <c r="H455">
        <v>0</v>
      </c>
      <c r="I455">
        <v>0</v>
      </c>
      <c r="J455">
        <v>0</v>
      </c>
      <c r="K455">
        <v>0</v>
      </c>
      <c r="L455">
        <v>0</v>
      </c>
      <c r="M455">
        <v>0</v>
      </c>
      <c r="N455">
        <v>0</v>
      </c>
      <c r="O455">
        <v>0</v>
      </c>
      <c r="P455">
        <v>2</v>
      </c>
      <c r="Q455">
        <v>1</v>
      </c>
      <c r="R455">
        <v>3</v>
      </c>
    </row>
    <row r="456" spans="1:18">
      <c r="A456" t="s">
        <v>938</v>
      </c>
      <c r="B456" t="s">
        <v>175</v>
      </c>
      <c r="C456" t="s">
        <v>32</v>
      </c>
      <c r="D456">
        <v>894</v>
      </c>
      <c r="E456">
        <v>906</v>
      </c>
      <c r="F456">
        <v>1068</v>
      </c>
      <c r="G456">
        <v>1069</v>
      </c>
      <c r="H456">
        <v>989</v>
      </c>
      <c r="I456">
        <v>1195</v>
      </c>
      <c r="J456">
        <v>1215</v>
      </c>
      <c r="K456">
        <v>1370</v>
      </c>
      <c r="L456">
        <v>1276</v>
      </c>
      <c r="M456">
        <v>1136</v>
      </c>
      <c r="N456">
        <v>1280</v>
      </c>
      <c r="O456">
        <v>1581</v>
      </c>
      <c r="P456">
        <v>1308</v>
      </c>
      <c r="Q456">
        <v>1311</v>
      </c>
      <c r="R456">
        <v>1378</v>
      </c>
    </row>
    <row r="457" spans="1:18">
      <c r="A457" t="s">
        <v>939</v>
      </c>
      <c r="B457" t="s">
        <v>175</v>
      </c>
      <c r="C457" s="4" t="s">
        <v>34</v>
      </c>
      <c r="D457">
        <v>606</v>
      </c>
      <c r="E457">
        <v>689</v>
      </c>
      <c r="F457">
        <v>786</v>
      </c>
      <c r="G457">
        <v>814</v>
      </c>
      <c r="H457">
        <v>764</v>
      </c>
      <c r="I457">
        <v>897</v>
      </c>
      <c r="J457">
        <v>988</v>
      </c>
      <c r="K457">
        <v>1084</v>
      </c>
      <c r="L457">
        <v>1080</v>
      </c>
      <c r="M457">
        <v>866</v>
      </c>
      <c r="N457">
        <v>1050</v>
      </c>
      <c r="O457">
        <v>1208</v>
      </c>
      <c r="P457">
        <v>1015</v>
      </c>
      <c r="Q457">
        <v>994</v>
      </c>
      <c r="R457">
        <v>1049</v>
      </c>
    </row>
    <row r="458" spans="1:18">
      <c r="A458" t="s">
        <v>940</v>
      </c>
      <c r="B458" t="s">
        <v>175</v>
      </c>
      <c r="C458" t="s">
        <v>169</v>
      </c>
      <c r="D458">
        <v>288</v>
      </c>
      <c r="E458">
        <v>217</v>
      </c>
      <c r="F458">
        <v>282</v>
      </c>
      <c r="G458">
        <v>255</v>
      </c>
      <c r="H458">
        <v>225</v>
      </c>
      <c r="I458">
        <v>298</v>
      </c>
      <c r="J458">
        <v>227</v>
      </c>
      <c r="K458">
        <v>286</v>
      </c>
      <c r="L458">
        <v>196</v>
      </c>
      <c r="M458">
        <v>270</v>
      </c>
      <c r="N458">
        <v>230</v>
      </c>
      <c r="O458">
        <v>373</v>
      </c>
      <c r="P458">
        <v>293</v>
      </c>
      <c r="Q458">
        <v>317</v>
      </c>
      <c r="R458">
        <v>329</v>
      </c>
    </row>
    <row r="459" spans="1:18">
      <c r="A459" t="s">
        <v>941</v>
      </c>
      <c r="B459" t="s">
        <v>175</v>
      </c>
      <c r="C459" t="s">
        <v>486</v>
      </c>
      <c r="D459">
        <v>3</v>
      </c>
      <c r="E459">
        <v>2</v>
      </c>
      <c r="F459">
        <v>2</v>
      </c>
      <c r="G459">
        <v>2</v>
      </c>
      <c r="H459">
        <v>2</v>
      </c>
      <c r="I459">
        <v>2</v>
      </c>
      <c r="J459">
        <v>2</v>
      </c>
      <c r="K459">
        <v>2</v>
      </c>
      <c r="L459">
        <v>2</v>
      </c>
      <c r="M459">
        <v>2</v>
      </c>
      <c r="N459">
        <v>1</v>
      </c>
      <c r="O459">
        <v>1</v>
      </c>
      <c r="P459">
        <v>1</v>
      </c>
      <c r="Q459">
        <v>1</v>
      </c>
      <c r="R459">
        <v>1</v>
      </c>
    </row>
    <row r="460" spans="1:18">
      <c r="A460" t="s">
        <v>942</v>
      </c>
      <c r="B460" t="s">
        <v>175</v>
      </c>
      <c r="C460" t="s">
        <v>488</v>
      </c>
      <c r="D460">
        <v>73</v>
      </c>
      <c r="E460">
        <v>72</v>
      </c>
      <c r="F460">
        <v>71</v>
      </c>
      <c r="G460">
        <v>66</v>
      </c>
      <c r="H460">
        <v>59</v>
      </c>
      <c r="I460">
        <v>54</v>
      </c>
      <c r="J460">
        <v>51</v>
      </c>
      <c r="K460">
        <v>53</v>
      </c>
      <c r="L460">
        <v>48</v>
      </c>
      <c r="M460">
        <v>56</v>
      </c>
      <c r="N460">
        <v>58</v>
      </c>
      <c r="O460">
        <v>64</v>
      </c>
      <c r="P460">
        <v>61</v>
      </c>
      <c r="Q460">
        <v>61</v>
      </c>
      <c r="R460">
        <v>52</v>
      </c>
    </row>
    <row r="461" spans="1:18">
      <c r="A461" t="s">
        <v>943</v>
      </c>
      <c r="B461" t="s">
        <v>175</v>
      </c>
      <c r="C461" t="s">
        <v>148</v>
      </c>
      <c r="D461">
        <v>8</v>
      </c>
      <c r="E461">
        <v>2</v>
      </c>
      <c r="F461">
        <v>2</v>
      </c>
      <c r="G461">
        <v>2</v>
      </c>
      <c r="H461">
        <v>2</v>
      </c>
      <c r="I461">
        <v>2</v>
      </c>
      <c r="J461">
        <v>2</v>
      </c>
      <c r="K461">
        <v>2</v>
      </c>
      <c r="L461">
        <v>2</v>
      </c>
      <c r="M461">
        <v>2</v>
      </c>
      <c r="N461">
        <v>1</v>
      </c>
      <c r="O461">
        <v>1</v>
      </c>
      <c r="P461">
        <v>1</v>
      </c>
      <c r="Q461">
        <v>1</v>
      </c>
      <c r="R461">
        <v>1</v>
      </c>
    </row>
    <row r="462" spans="1:18">
      <c r="A462" t="s">
        <v>944</v>
      </c>
      <c r="B462" t="s">
        <v>175</v>
      </c>
      <c r="C462" t="s">
        <v>184</v>
      </c>
      <c r="D462">
        <v>74</v>
      </c>
      <c r="E462">
        <v>72</v>
      </c>
      <c r="F462">
        <v>73</v>
      </c>
      <c r="G462">
        <v>71</v>
      </c>
      <c r="H462">
        <v>68</v>
      </c>
      <c r="I462">
        <v>47</v>
      </c>
      <c r="J462">
        <v>56</v>
      </c>
      <c r="K462">
        <v>56</v>
      </c>
      <c r="L462">
        <v>45</v>
      </c>
      <c r="M462">
        <v>60</v>
      </c>
      <c r="N462">
        <v>43</v>
      </c>
      <c r="O462">
        <v>61</v>
      </c>
      <c r="P462">
        <v>62</v>
      </c>
      <c r="Q462">
        <v>66</v>
      </c>
      <c r="R462">
        <v>52</v>
      </c>
    </row>
    <row r="463" spans="1:18">
      <c r="A463" t="s">
        <v>945</v>
      </c>
      <c r="B463" t="s">
        <v>175</v>
      </c>
      <c r="C463" s="4" t="s">
        <v>188</v>
      </c>
      <c r="D463">
        <v>158</v>
      </c>
      <c r="E463">
        <v>92</v>
      </c>
      <c r="F463">
        <v>99</v>
      </c>
      <c r="G463">
        <v>74</v>
      </c>
      <c r="H463">
        <v>55</v>
      </c>
      <c r="I463">
        <v>152</v>
      </c>
      <c r="J463">
        <v>76</v>
      </c>
      <c r="K463">
        <v>54</v>
      </c>
      <c r="L463">
        <v>30</v>
      </c>
      <c r="M463">
        <v>63</v>
      </c>
      <c r="N463">
        <v>85</v>
      </c>
      <c r="O463">
        <v>135</v>
      </c>
      <c r="P463">
        <v>78</v>
      </c>
      <c r="Q463">
        <v>75</v>
      </c>
      <c r="R463">
        <v>89</v>
      </c>
    </row>
    <row r="464" spans="1:18">
      <c r="A464" t="s">
        <v>946</v>
      </c>
      <c r="B464" t="s">
        <v>175</v>
      </c>
      <c r="C464" s="35" t="s">
        <v>189</v>
      </c>
      <c r="D464">
        <v>130</v>
      </c>
      <c r="E464">
        <v>125</v>
      </c>
      <c r="F464">
        <v>183</v>
      </c>
      <c r="G464">
        <v>181</v>
      </c>
      <c r="H464">
        <v>170</v>
      </c>
      <c r="I464">
        <v>146</v>
      </c>
      <c r="J464">
        <v>151</v>
      </c>
      <c r="K464">
        <v>232</v>
      </c>
      <c r="L464">
        <v>166</v>
      </c>
      <c r="M464">
        <v>207</v>
      </c>
      <c r="N464">
        <v>145</v>
      </c>
      <c r="O464">
        <v>238</v>
      </c>
      <c r="P464">
        <v>215</v>
      </c>
      <c r="Q464">
        <v>242</v>
      </c>
      <c r="R464">
        <v>240</v>
      </c>
    </row>
    <row r="465" spans="1:18">
      <c r="A465" t="s">
        <v>947</v>
      </c>
      <c r="B465" t="s">
        <v>175</v>
      </c>
      <c r="C465" t="s">
        <v>172</v>
      </c>
      <c r="D465">
        <v>30</v>
      </c>
      <c r="E465">
        <v>21</v>
      </c>
      <c r="F465">
        <v>32</v>
      </c>
      <c r="G465">
        <v>34</v>
      </c>
      <c r="H465">
        <v>38</v>
      </c>
      <c r="I465">
        <v>35</v>
      </c>
      <c r="J465">
        <v>26</v>
      </c>
      <c r="K465">
        <v>81</v>
      </c>
      <c r="L465">
        <v>67</v>
      </c>
      <c r="M465">
        <v>74</v>
      </c>
      <c r="N465">
        <v>39</v>
      </c>
      <c r="O465">
        <v>40</v>
      </c>
      <c r="P465">
        <v>40</v>
      </c>
      <c r="Q465">
        <v>51</v>
      </c>
      <c r="R465">
        <v>106</v>
      </c>
    </row>
    <row r="466" spans="1:18">
      <c r="A466" t="s">
        <v>948</v>
      </c>
      <c r="B466" t="s">
        <v>175</v>
      </c>
      <c r="C466" t="s">
        <v>30</v>
      </c>
      <c r="D466">
        <v>100</v>
      </c>
      <c r="E466">
        <v>104</v>
      </c>
      <c r="F466">
        <v>151</v>
      </c>
      <c r="G466">
        <v>147</v>
      </c>
      <c r="H466">
        <v>132</v>
      </c>
      <c r="I466">
        <v>111</v>
      </c>
      <c r="J466">
        <v>125</v>
      </c>
      <c r="K466">
        <v>151</v>
      </c>
      <c r="L466">
        <v>99</v>
      </c>
      <c r="M466">
        <v>133</v>
      </c>
      <c r="N466">
        <v>106</v>
      </c>
      <c r="O466">
        <v>198</v>
      </c>
      <c r="P466">
        <v>175</v>
      </c>
      <c r="Q466">
        <v>191</v>
      </c>
      <c r="R466">
        <v>134</v>
      </c>
    </row>
    <row r="467" spans="1:18">
      <c r="A467" t="s">
        <v>949</v>
      </c>
      <c r="B467" t="s">
        <v>175</v>
      </c>
      <c r="C467" t="s">
        <v>177</v>
      </c>
      <c r="D467">
        <v>1586</v>
      </c>
      <c r="E467">
        <v>976</v>
      </c>
      <c r="F467">
        <v>1278</v>
      </c>
      <c r="G467">
        <v>1318</v>
      </c>
      <c r="H467">
        <v>1300</v>
      </c>
      <c r="I467">
        <v>1363</v>
      </c>
      <c r="J467">
        <v>1743</v>
      </c>
      <c r="K467">
        <v>1604</v>
      </c>
      <c r="L467">
        <v>1358</v>
      </c>
      <c r="M467">
        <v>1311</v>
      </c>
      <c r="N467">
        <v>1455</v>
      </c>
      <c r="O467">
        <v>1862</v>
      </c>
      <c r="P467">
        <v>1615</v>
      </c>
      <c r="Q467">
        <v>1540</v>
      </c>
      <c r="R467">
        <v>1595</v>
      </c>
    </row>
    <row r="468" spans="1:18">
      <c r="A468" t="s">
        <v>950</v>
      </c>
      <c r="B468" t="s">
        <v>175</v>
      </c>
      <c r="C468" t="s">
        <v>178</v>
      </c>
      <c r="D468">
        <v>1573</v>
      </c>
      <c r="E468">
        <v>967</v>
      </c>
      <c r="F468">
        <v>1255</v>
      </c>
      <c r="G468">
        <v>1296</v>
      </c>
      <c r="H468">
        <v>1280</v>
      </c>
      <c r="I468">
        <v>1343</v>
      </c>
      <c r="J468">
        <v>1704</v>
      </c>
      <c r="K468">
        <v>1575</v>
      </c>
      <c r="L468">
        <v>1322</v>
      </c>
      <c r="M468">
        <v>1289</v>
      </c>
      <c r="N468">
        <v>1440</v>
      </c>
      <c r="O468">
        <v>1844</v>
      </c>
      <c r="P468">
        <v>1592</v>
      </c>
      <c r="Q468">
        <v>1521</v>
      </c>
      <c r="R468">
        <v>1562</v>
      </c>
    </row>
    <row r="469" spans="1:18">
      <c r="A469" t="s">
        <v>951</v>
      </c>
      <c r="B469" t="s">
        <v>176</v>
      </c>
      <c r="C469" t="s">
        <v>32</v>
      </c>
      <c r="D469">
        <v>43</v>
      </c>
      <c r="E469">
        <v>43</v>
      </c>
      <c r="F469">
        <v>71</v>
      </c>
      <c r="G469">
        <v>76</v>
      </c>
      <c r="H469">
        <v>32</v>
      </c>
      <c r="I469">
        <v>42</v>
      </c>
      <c r="J469">
        <v>48</v>
      </c>
      <c r="K469">
        <v>67</v>
      </c>
      <c r="L469">
        <v>58</v>
      </c>
      <c r="M469">
        <v>43</v>
      </c>
      <c r="N469">
        <v>40</v>
      </c>
      <c r="O469">
        <v>45</v>
      </c>
      <c r="P469">
        <v>73</v>
      </c>
      <c r="Q469">
        <v>88</v>
      </c>
      <c r="R469">
        <v>87</v>
      </c>
    </row>
    <row r="470" spans="1:18">
      <c r="A470" t="s">
        <v>952</v>
      </c>
      <c r="B470" t="s">
        <v>176</v>
      </c>
      <c r="C470" s="4" t="s">
        <v>34</v>
      </c>
      <c r="D470">
        <v>41</v>
      </c>
      <c r="E470">
        <v>41</v>
      </c>
      <c r="F470">
        <v>67</v>
      </c>
      <c r="G470">
        <v>73</v>
      </c>
      <c r="H470">
        <v>32</v>
      </c>
      <c r="I470">
        <v>42</v>
      </c>
      <c r="J470">
        <v>48</v>
      </c>
      <c r="K470">
        <v>66</v>
      </c>
      <c r="L470">
        <v>54</v>
      </c>
      <c r="M470">
        <v>42</v>
      </c>
      <c r="N470">
        <v>40</v>
      </c>
      <c r="O470">
        <v>42</v>
      </c>
      <c r="P470">
        <v>65</v>
      </c>
      <c r="Q470">
        <v>83</v>
      </c>
      <c r="R470">
        <v>73</v>
      </c>
    </row>
    <row r="471" spans="1:18">
      <c r="A471" t="s">
        <v>953</v>
      </c>
      <c r="B471" t="s">
        <v>176</v>
      </c>
      <c r="C471" t="s">
        <v>169</v>
      </c>
      <c r="D471">
        <v>2</v>
      </c>
      <c r="E471">
        <v>2</v>
      </c>
      <c r="F471">
        <v>4</v>
      </c>
      <c r="G471">
        <v>3</v>
      </c>
      <c r="H471">
        <v>0</v>
      </c>
      <c r="I471">
        <v>0</v>
      </c>
      <c r="J471">
        <v>0</v>
      </c>
      <c r="K471">
        <v>1</v>
      </c>
      <c r="L471">
        <v>4</v>
      </c>
      <c r="M471">
        <v>1</v>
      </c>
      <c r="N471">
        <v>0</v>
      </c>
      <c r="O471">
        <v>3</v>
      </c>
      <c r="P471">
        <v>8</v>
      </c>
      <c r="Q471">
        <v>5</v>
      </c>
      <c r="R471">
        <v>14</v>
      </c>
    </row>
    <row r="472" spans="1:18">
      <c r="A472" t="s">
        <v>954</v>
      </c>
      <c r="B472" t="s">
        <v>176</v>
      </c>
      <c r="C472" t="s">
        <v>170</v>
      </c>
      <c r="D472">
        <v>1573</v>
      </c>
      <c r="E472">
        <v>967</v>
      </c>
      <c r="F472">
        <v>1255</v>
      </c>
      <c r="G472">
        <v>1296</v>
      </c>
      <c r="H472">
        <v>1280</v>
      </c>
      <c r="I472">
        <v>1343</v>
      </c>
      <c r="J472">
        <v>1704</v>
      </c>
      <c r="K472">
        <v>1575</v>
      </c>
      <c r="L472">
        <v>1322</v>
      </c>
      <c r="M472">
        <v>1289</v>
      </c>
      <c r="N472">
        <v>1440</v>
      </c>
      <c r="O472">
        <v>1844</v>
      </c>
      <c r="P472">
        <v>1592</v>
      </c>
      <c r="Q472">
        <v>1521</v>
      </c>
      <c r="R472">
        <v>1562</v>
      </c>
    </row>
    <row r="473" spans="1:18">
      <c r="A473" t="s">
        <v>955</v>
      </c>
      <c r="B473" t="s">
        <v>176</v>
      </c>
      <c r="C473" t="s">
        <v>171</v>
      </c>
      <c r="D473">
        <v>1586</v>
      </c>
      <c r="E473">
        <v>976</v>
      </c>
      <c r="F473">
        <v>1278</v>
      </c>
      <c r="G473">
        <v>1318</v>
      </c>
      <c r="H473">
        <v>1300</v>
      </c>
      <c r="I473">
        <v>1363</v>
      </c>
      <c r="J473">
        <v>1743</v>
      </c>
      <c r="K473">
        <v>1604</v>
      </c>
      <c r="L473">
        <v>1358</v>
      </c>
      <c r="M473">
        <v>1311</v>
      </c>
      <c r="N473">
        <v>1455</v>
      </c>
      <c r="O473">
        <v>1862</v>
      </c>
      <c r="P473">
        <v>1615</v>
      </c>
      <c r="Q473">
        <v>1540</v>
      </c>
      <c r="R473">
        <v>1595</v>
      </c>
    </row>
    <row r="474" spans="1:18">
      <c r="A474" t="s">
        <v>956</v>
      </c>
      <c r="B474" t="s">
        <v>176</v>
      </c>
      <c r="C474" t="s">
        <v>148</v>
      </c>
      <c r="D474">
        <v>10</v>
      </c>
      <c r="E474">
        <v>9</v>
      </c>
      <c r="F474">
        <v>4</v>
      </c>
      <c r="G474">
        <v>2</v>
      </c>
      <c r="H474">
        <v>2</v>
      </c>
      <c r="I474">
        <v>2</v>
      </c>
      <c r="J474">
        <v>2</v>
      </c>
      <c r="K474">
        <v>4</v>
      </c>
      <c r="L474">
        <v>2</v>
      </c>
      <c r="M474">
        <v>2</v>
      </c>
      <c r="N474">
        <v>2</v>
      </c>
      <c r="O474">
        <v>1</v>
      </c>
      <c r="P474">
        <v>4</v>
      </c>
      <c r="Q474">
        <v>3</v>
      </c>
      <c r="R474">
        <v>7</v>
      </c>
    </row>
    <row r="475" spans="1:18">
      <c r="A475" t="s">
        <v>957</v>
      </c>
      <c r="B475" t="s">
        <v>176</v>
      </c>
      <c r="C475" t="s">
        <v>184</v>
      </c>
      <c r="D475">
        <v>16</v>
      </c>
      <c r="E475">
        <v>17</v>
      </c>
      <c r="F475">
        <v>17</v>
      </c>
      <c r="G475">
        <v>11</v>
      </c>
      <c r="H475">
        <v>8</v>
      </c>
      <c r="I475">
        <v>8</v>
      </c>
      <c r="J475">
        <v>11</v>
      </c>
      <c r="K475">
        <v>14</v>
      </c>
      <c r="L475">
        <v>12</v>
      </c>
      <c r="M475">
        <v>7</v>
      </c>
      <c r="N475">
        <v>8</v>
      </c>
      <c r="O475">
        <v>12</v>
      </c>
      <c r="P475">
        <v>21</v>
      </c>
      <c r="Q475">
        <v>12</v>
      </c>
      <c r="R475">
        <v>34</v>
      </c>
    </row>
    <row r="476" spans="1:18">
      <c r="A476" t="s">
        <v>958</v>
      </c>
      <c r="B476" t="s">
        <v>176</v>
      </c>
      <c r="C476" s="4" t="s">
        <v>188</v>
      </c>
      <c r="D476">
        <v>2</v>
      </c>
      <c r="E476">
        <v>1</v>
      </c>
      <c r="F476">
        <v>4</v>
      </c>
      <c r="G476">
        <v>3</v>
      </c>
      <c r="H476">
        <v>0</v>
      </c>
      <c r="I476">
        <v>0</v>
      </c>
      <c r="J476">
        <v>0</v>
      </c>
      <c r="K476">
        <v>1</v>
      </c>
      <c r="L476">
        <v>3</v>
      </c>
      <c r="M476">
        <v>1</v>
      </c>
      <c r="N476">
        <v>0</v>
      </c>
      <c r="O476">
        <v>3</v>
      </c>
      <c r="P476">
        <v>4</v>
      </c>
      <c r="Q476">
        <v>2</v>
      </c>
      <c r="R476">
        <v>6</v>
      </c>
    </row>
    <row r="477" spans="1:18">
      <c r="A477" t="s">
        <v>959</v>
      </c>
      <c r="B477" t="s">
        <v>176</v>
      </c>
      <c r="C477" s="35" t="s">
        <v>189</v>
      </c>
      <c r="D477">
        <v>0</v>
      </c>
      <c r="E477">
        <v>1</v>
      </c>
      <c r="F477">
        <v>0</v>
      </c>
      <c r="G477">
        <v>0</v>
      </c>
      <c r="H477">
        <v>0</v>
      </c>
      <c r="I477">
        <v>0</v>
      </c>
      <c r="J477">
        <v>0</v>
      </c>
      <c r="K477">
        <v>0</v>
      </c>
      <c r="L477">
        <v>1</v>
      </c>
      <c r="M477">
        <v>0</v>
      </c>
      <c r="N477">
        <v>0</v>
      </c>
      <c r="O477">
        <v>0</v>
      </c>
      <c r="P477">
        <v>4</v>
      </c>
      <c r="Q477">
        <v>3</v>
      </c>
      <c r="R477">
        <v>8</v>
      </c>
    </row>
    <row r="478" spans="1:18">
      <c r="A478" t="s">
        <v>960</v>
      </c>
      <c r="B478" t="s">
        <v>176</v>
      </c>
      <c r="C478" t="s">
        <v>172</v>
      </c>
      <c r="D478">
        <v>0</v>
      </c>
      <c r="E478">
        <v>0</v>
      </c>
      <c r="F478">
        <v>0</v>
      </c>
      <c r="G478">
        <v>0</v>
      </c>
      <c r="H478">
        <v>0</v>
      </c>
      <c r="I478">
        <v>0</v>
      </c>
      <c r="J478">
        <v>0</v>
      </c>
      <c r="K478">
        <v>0</v>
      </c>
      <c r="L478">
        <v>1</v>
      </c>
      <c r="M478">
        <v>0</v>
      </c>
      <c r="N478">
        <v>0</v>
      </c>
      <c r="O478">
        <v>0</v>
      </c>
      <c r="P478">
        <v>2</v>
      </c>
      <c r="Q478">
        <v>2</v>
      </c>
      <c r="R478">
        <v>5</v>
      </c>
    </row>
    <row r="479" spans="1:18">
      <c r="A479" t="s">
        <v>961</v>
      </c>
      <c r="B479" t="s">
        <v>176</v>
      </c>
      <c r="C479" t="s">
        <v>30</v>
      </c>
      <c r="D479">
        <v>0</v>
      </c>
      <c r="E479">
        <v>1</v>
      </c>
      <c r="F479">
        <v>0</v>
      </c>
      <c r="G479">
        <v>0</v>
      </c>
      <c r="H479">
        <v>0</v>
      </c>
      <c r="I479">
        <v>0</v>
      </c>
      <c r="J479">
        <v>0</v>
      </c>
      <c r="K479">
        <v>0</v>
      </c>
      <c r="L479">
        <v>0</v>
      </c>
      <c r="M479">
        <v>0</v>
      </c>
      <c r="N479">
        <v>0</v>
      </c>
      <c r="O479">
        <v>0</v>
      </c>
      <c r="P479">
        <v>2</v>
      </c>
      <c r="Q479">
        <v>1</v>
      </c>
      <c r="R479">
        <v>3</v>
      </c>
    </row>
    <row r="480" spans="1:18">
      <c r="A480" t="s">
        <v>962</v>
      </c>
      <c r="B480" t="s">
        <v>176</v>
      </c>
      <c r="C480" t="s">
        <v>177</v>
      </c>
      <c r="D480">
        <v>86</v>
      </c>
      <c r="E480">
        <v>52</v>
      </c>
      <c r="F480">
        <v>87</v>
      </c>
      <c r="G480">
        <v>94</v>
      </c>
      <c r="H480">
        <v>98</v>
      </c>
      <c r="I480">
        <v>89</v>
      </c>
      <c r="J480">
        <v>87</v>
      </c>
      <c r="K480">
        <v>89</v>
      </c>
      <c r="L480">
        <v>82</v>
      </c>
      <c r="M480">
        <v>76</v>
      </c>
      <c r="N480">
        <v>84</v>
      </c>
      <c r="O480">
        <v>110</v>
      </c>
      <c r="P480">
        <v>96</v>
      </c>
      <c r="Q480">
        <v>103</v>
      </c>
      <c r="R480">
        <v>98</v>
      </c>
    </row>
    <row r="481" spans="1:18">
      <c r="A481" t="s">
        <v>963</v>
      </c>
      <c r="B481" t="s">
        <v>176</v>
      </c>
      <c r="C481" t="s">
        <v>178</v>
      </c>
      <c r="D481">
        <v>86</v>
      </c>
      <c r="E481">
        <v>51</v>
      </c>
      <c r="F481">
        <v>83</v>
      </c>
      <c r="G481">
        <v>93</v>
      </c>
      <c r="H481">
        <v>93</v>
      </c>
      <c r="I481">
        <v>87</v>
      </c>
      <c r="J481">
        <v>83</v>
      </c>
      <c r="K481">
        <v>87</v>
      </c>
      <c r="L481">
        <v>80</v>
      </c>
      <c r="M481">
        <v>73</v>
      </c>
      <c r="N481">
        <v>83</v>
      </c>
      <c r="O481">
        <v>107</v>
      </c>
      <c r="P481">
        <v>92</v>
      </c>
      <c r="Q481">
        <v>102</v>
      </c>
      <c r="R481">
        <v>93</v>
      </c>
    </row>
    <row r="482" spans="1:18">
      <c r="A482" t="s">
        <v>964</v>
      </c>
      <c r="B482" t="s">
        <v>173</v>
      </c>
      <c r="C482" t="s">
        <v>32</v>
      </c>
      <c r="D482">
        <v>3</v>
      </c>
      <c r="E482">
        <v>8</v>
      </c>
      <c r="F482">
        <v>11</v>
      </c>
      <c r="G482">
        <v>7</v>
      </c>
      <c r="H482">
        <v>9</v>
      </c>
      <c r="I482">
        <v>9</v>
      </c>
      <c r="J482">
        <v>10</v>
      </c>
      <c r="K482">
        <v>5</v>
      </c>
      <c r="L482">
        <v>1</v>
      </c>
      <c r="M482">
        <v>1</v>
      </c>
      <c r="N482">
        <v>3</v>
      </c>
      <c r="O482">
        <v>7</v>
      </c>
      <c r="P482">
        <v>4</v>
      </c>
      <c r="Q482">
        <v>7</v>
      </c>
      <c r="R482">
        <v>15</v>
      </c>
    </row>
    <row r="483" spans="1:18">
      <c r="A483" t="s">
        <v>965</v>
      </c>
      <c r="B483" t="s">
        <v>173</v>
      </c>
      <c r="C483" s="4" t="s">
        <v>34</v>
      </c>
      <c r="D483">
        <v>2</v>
      </c>
      <c r="E483">
        <v>4</v>
      </c>
      <c r="F483">
        <v>6</v>
      </c>
      <c r="G483">
        <v>5</v>
      </c>
      <c r="H483">
        <v>6</v>
      </c>
      <c r="I483">
        <v>5</v>
      </c>
      <c r="J483">
        <v>9</v>
      </c>
      <c r="K483">
        <v>4</v>
      </c>
      <c r="L483">
        <v>0</v>
      </c>
      <c r="M483">
        <v>1</v>
      </c>
      <c r="N483">
        <v>3</v>
      </c>
      <c r="O483">
        <v>4</v>
      </c>
      <c r="P483">
        <v>3</v>
      </c>
      <c r="Q483">
        <v>4</v>
      </c>
      <c r="R483">
        <v>11</v>
      </c>
    </row>
    <row r="484" spans="1:18">
      <c r="A484" t="s">
        <v>966</v>
      </c>
      <c r="B484" t="s">
        <v>173</v>
      </c>
      <c r="C484" t="s">
        <v>169</v>
      </c>
      <c r="D484">
        <v>1</v>
      </c>
      <c r="E484">
        <v>4</v>
      </c>
      <c r="F484">
        <v>5</v>
      </c>
      <c r="G484">
        <v>2</v>
      </c>
      <c r="H484">
        <v>3</v>
      </c>
      <c r="I484">
        <v>4</v>
      </c>
      <c r="J484">
        <v>1</v>
      </c>
      <c r="K484">
        <v>1</v>
      </c>
      <c r="L484">
        <v>1</v>
      </c>
      <c r="M484">
        <v>0</v>
      </c>
      <c r="N484">
        <v>0</v>
      </c>
      <c r="O484">
        <v>3</v>
      </c>
      <c r="P484">
        <v>1</v>
      </c>
      <c r="Q484">
        <v>3</v>
      </c>
      <c r="R484">
        <v>4</v>
      </c>
    </row>
    <row r="485" spans="1:18">
      <c r="A485" t="s">
        <v>967</v>
      </c>
      <c r="B485" t="s">
        <v>173</v>
      </c>
      <c r="C485" t="s">
        <v>486</v>
      </c>
      <c r="D485">
        <v>10</v>
      </c>
      <c r="E485">
        <v>7</v>
      </c>
      <c r="F485">
        <v>7</v>
      </c>
      <c r="G485">
        <v>10</v>
      </c>
      <c r="H485">
        <v>10</v>
      </c>
      <c r="I485">
        <v>9</v>
      </c>
      <c r="J485">
        <v>9</v>
      </c>
      <c r="K485">
        <v>17</v>
      </c>
      <c r="L485">
        <v>16</v>
      </c>
      <c r="M485">
        <v>16</v>
      </c>
      <c r="N485">
        <v>15</v>
      </c>
      <c r="O485">
        <v>15</v>
      </c>
      <c r="P485">
        <v>11</v>
      </c>
      <c r="Q485">
        <v>10</v>
      </c>
      <c r="R485">
        <v>10</v>
      </c>
    </row>
    <row r="486" spans="1:18">
      <c r="A486" t="s">
        <v>968</v>
      </c>
      <c r="B486" t="s">
        <v>173</v>
      </c>
      <c r="C486" t="s">
        <v>488</v>
      </c>
      <c r="D486">
        <v>44</v>
      </c>
      <c r="E486">
        <v>44</v>
      </c>
      <c r="F486">
        <v>43</v>
      </c>
      <c r="G486">
        <v>29</v>
      </c>
      <c r="H486">
        <v>40</v>
      </c>
      <c r="I486">
        <v>25</v>
      </c>
      <c r="J486">
        <v>22</v>
      </c>
      <c r="K486">
        <v>22</v>
      </c>
      <c r="L486">
        <v>22</v>
      </c>
      <c r="M486">
        <v>20</v>
      </c>
      <c r="N486">
        <v>25</v>
      </c>
      <c r="O486">
        <v>31</v>
      </c>
      <c r="P486">
        <v>33</v>
      </c>
      <c r="Q486">
        <v>33</v>
      </c>
      <c r="R486">
        <v>35</v>
      </c>
    </row>
    <row r="487" spans="1:18">
      <c r="A487" t="s">
        <v>969</v>
      </c>
      <c r="B487" t="s">
        <v>173</v>
      </c>
      <c r="C487" t="s">
        <v>148</v>
      </c>
      <c r="D487">
        <v>10</v>
      </c>
      <c r="E487">
        <v>18</v>
      </c>
      <c r="F487">
        <v>6</v>
      </c>
      <c r="G487">
        <v>6</v>
      </c>
      <c r="H487">
        <v>10</v>
      </c>
      <c r="I487">
        <v>13</v>
      </c>
      <c r="J487">
        <v>8</v>
      </c>
      <c r="K487">
        <v>9</v>
      </c>
      <c r="L487">
        <v>22</v>
      </c>
      <c r="M487">
        <v>17</v>
      </c>
      <c r="N487">
        <v>14</v>
      </c>
      <c r="O487">
        <v>17</v>
      </c>
      <c r="P487">
        <v>14</v>
      </c>
      <c r="Q487">
        <v>12</v>
      </c>
      <c r="R487">
        <v>10</v>
      </c>
    </row>
    <row r="488" spans="1:18">
      <c r="A488" t="s">
        <v>970</v>
      </c>
      <c r="B488" t="s">
        <v>173</v>
      </c>
      <c r="C488" t="s">
        <v>184</v>
      </c>
      <c r="D488">
        <v>19</v>
      </c>
      <c r="E488">
        <v>64</v>
      </c>
      <c r="F488">
        <v>43</v>
      </c>
      <c r="G488">
        <v>22</v>
      </c>
      <c r="H488">
        <v>48</v>
      </c>
      <c r="I488">
        <v>27</v>
      </c>
      <c r="J488">
        <v>16</v>
      </c>
      <c r="K488">
        <v>21</v>
      </c>
      <c r="L488">
        <v>22</v>
      </c>
      <c r="M488">
        <v>17</v>
      </c>
      <c r="N488">
        <v>16</v>
      </c>
      <c r="O488">
        <v>31</v>
      </c>
      <c r="P488">
        <v>25</v>
      </c>
      <c r="Q488">
        <v>33</v>
      </c>
      <c r="R488">
        <v>35</v>
      </c>
    </row>
    <row r="489" spans="1:18">
      <c r="A489" t="s">
        <v>971</v>
      </c>
      <c r="B489" t="s">
        <v>173</v>
      </c>
      <c r="C489" s="4" t="s">
        <v>188</v>
      </c>
      <c r="D489">
        <v>1</v>
      </c>
      <c r="E489">
        <v>1</v>
      </c>
      <c r="F489">
        <v>3</v>
      </c>
      <c r="G489">
        <v>2</v>
      </c>
      <c r="H489">
        <v>1</v>
      </c>
      <c r="I489">
        <v>4</v>
      </c>
      <c r="J489">
        <v>0</v>
      </c>
      <c r="K489">
        <v>1</v>
      </c>
      <c r="L489">
        <v>1</v>
      </c>
      <c r="M489">
        <v>0</v>
      </c>
      <c r="N489">
        <v>0</v>
      </c>
      <c r="O489">
        <v>3</v>
      </c>
      <c r="P489">
        <v>1</v>
      </c>
      <c r="Q489">
        <v>3</v>
      </c>
      <c r="R489">
        <v>4</v>
      </c>
    </row>
    <row r="490" spans="1:18">
      <c r="A490" t="s">
        <v>972</v>
      </c>
      <c r="B490" t="s">
        <v>173</v>
      </c>
      <c r="C490" s="35" t="s">
        <v>189</v>
      </c>
      <c r="D490">
        <v>0</v>
      </c>
      <c r="E490">
        <v>3</v>
      </c>
      <c r="F490">
        <v>2</v>
      </c>
      <c r="G490">
        <v>0</v>
      </c>
      <c r="H490">
        <v>2</v>
      </c>
      <c r="I490">
        <v>0</v>
      </c>
      <c r="J490">
        <v>1</v>
      </c>
      <c r="K490">
        <v>0</v>
      </c>
      <c r="L490">
        <v>0</v>
      </c>
      <c r="M490">
        <v>0</v>
      </c>
      <c r="N490">
        <v>0</v>
      </c>
      <c r="O490">
        <v>0</v>
      </c>
      <c r="P490">
        <v>0</v>
      </c>
      <c r="Q490">
        <v>0</v>
      </c>
      <c r="R490">
        <v>0</v>
      </c>
    </row>
    <row r="491" spans="1:18">
      <c r="A491" t="s">
        <v>973</v>
      </c>
      <c r="B491" t="s">
        <v>173</v>
      </c>
      <c r="C491" t="s">
        <v>172</v>
      </c>
      <c r="D491">
        <v>0</v>
      </c>
      <c r="E491">
        <v>2</v>
      </c>
      <c r="F491">
        <v>2</v>
      </c>
      <c r="G491">
        <v>0</v>
      </c>
      <c r="H491">
        <v>2</v>
      </c>
      <c r="I491">
        <v>0</v>
      </c>
      <c r="J491">
        <v>0</v>
      </c>
      <c r="K491">
        <v>0</v>
      </c>
      <c r="L491">
        <v>0</v>
      </c>
      <c r="M491">
        <v>0</v>
      </c>
      <c r="N491">
        <v>0</v>
      </c>
      <c r="O491">
        <v>0</v>
      </c>
      <c r="P491">
        <v>0</v>
      </c>
      <c r="Q491">
        <v>0</v>
      </c>
      <c r="R491">
        <v>0</v>
      </c>
    </row>
    <row r="492" spans="1:18">
      <c r="A492" t="s">
        <v>974</v>
      </c>
      <c r="B492" t="s">
        <v>173</v>
      </c>
      <c r="C492" t="s">
        <v>30</v>
      </c>
      <c r="D492">
        <v>0</v>
      </c>
      <c r="E492">
        <v>1</v>
      </c>
      <c r="F492">
        <v>0</v>
      </c>
      <c r="G492">
        <v>0</v>
      </c>
      <c r="H492">
        <v>0</v>
      </c>
      <c r="I492">
        <v>0</v>
      </c>
      <c r="J492">
        <v>1</v>
      </c>
      <c r="K492">
        <v>0</v>
      </c>
      <c r="L492">
        <v>0</v>
      </c>
      <c r="M492">
        <v>0</v>
      </c>
      <c r="N492">
        <v>0</v>
      </c>
      <c r="O492">
        <v>0</v>
      </c>
      <c r="P492">
        <v>0</v>
      </c>
      <c r="Q492">
        <v>0</v>
      </c>
      <c r="R492">
        <v>0</v>
      </c>
    </row>
    <row r="493" spans="1:18">
      <c r="A493" t="s">
        <v>975</v>
      </c>
      <c r="B493" t="s">
        <v>174</v>
      </c>
      <c r="C493" t="s">
        <v>32</v>
      </c>
      <c r="D493">
        <v>1</v>
      </c>
      <c r="E493">
        <v>0</v>
      </c>
      <c r="F493">
        <v>0</v>
      </c>
      <c r="G493">
        <v>1</v>
      </c>
      <c r="H493">
        <v>0</v>
      </c>
      <c r="I493">
        <v>0</v>
      </c>
      <c r="J493">
        <v>0</v>
      </c>
      <c r="K493">
        <v>0</v>
      </c>
      <c r="L493">
        <v>0</v>
      </c>
      <c r="M493">
        <v>0</v>
      </c>
      <c r="N493">
        <v>0</v>
      </c>
      <c r="O493">
        <v>0</v>
      </c>
      <c r="P493">
        <v>0</v>
      </c>
      <c r="Q493">
        <v>1</v>
      </c>
      <c r="R493">
        <v>0</v>
      </c>
    </row>
    <row r="494" spans="1:18">
      <c r="A494" t="s">
        <v>976</v>
      </c>
      <c r="B494" t="s">
        <v>174</v>
      </c>
      <c r="C494" s="4" t="s">
        <v>34</v>
      </c>
      <c r="D494">
        <v>0</v>
      </c>
      <c r="E494">
        <v>0</v>
      </c>
      <c r="F494">
        <v>0</v>
      </c>
      <c r="G494">
        <v>1</v>
      </c>
      <c r="H494">
        <v>0</v>
      </c>
      <c r="I494">
        <v>0</v>
      </c>
      <c r="J494">
        <v>0</v>
      </c>
      <c r="K494">
        <v>0</v>
      </c>
      <c r="L494">
        <v>0</v>
      </c>
      <c r="M494">
        <v>0</v>
      </c>
      <c r="N494">
        <v>0</v>
      </c>
      <c r="O494">
        <v>0</v>
      </c>
      <c r="P494">
        <v>0</v>
      </c>
      <c r="Q494">
        <v>0</v>
      </c>
      <c r="R494">
        <v>0</v>
      </c>
    </row>
    <row r="495" spans="1:18">
      <c r="A495" t="s">
        <v>977</v>
      </c>
      <c r="B495" t="s">
        <v>174</v>
      </c>
      <c r="C495" t="s">
        <v>169</v>
      </c>
      <c r="D495">
        <v>1</v>
      </c>
      <c r="E495">
        <v>0</v>
      </c>
      <c r="F495">
        <v>0</v>
      </c>
      <c r="G495">
        <v>0</v>
      </c>
      <c r="H495">
        <v>0</v>
      </c>
      <c r="I495">
        <v>0</v>
      </c>
      <c r="J495">
        <v>0</v>
      </c>
      <c r="K495">
        <v>0</v>
      </c>
      <c r="L495">
        <v>0</v>
      </c>
      <c r="M495">
        <v>0</v>
      </c>
      <c r="N495">
        <v>0</v>
      </c>
      <c r="O495">
        <v>0</v>
      </c>
      <c r="P495">
        <v>0</v>
      </c>
      <c r="Q495">
        <v>1</v>
      </c>
      <c r="R495">
        <v>0</v>
      </c>
    </row>
    <row r="496" spans="1:18">
      <c r="A496" t="s">
        <v>978</v>
      </c>
      <c r="B496" t="s">
        <v>174</v>
      </c>
      <c r="C496" t="s">
        <v>486</v>
      </c>
      <c r="D496">
        <v>19</v>
      </c>
      <c r="E496">
        <v>3</v>
      </c>
      <c r="F496">
        <v>3</v>
      </c>
      <c r="G496">
        <v>3</v>
      </c>
      <c r="H496">
        <v>1</v>
      </c>
      <c r="I496">
        <v>1</v>
      </c>
      <c r="J496">
        <v>1</v>
      </c>
      <c r="K496">
        <v>1</v>
      </c>
      <c r="L496">
        <v>1</v>
      </c>
      <c r="M496">
        <v>1</v>
      </c>
      <c r="N496">
        <v>1</v>
      </c>
      <c r="O496">
        <v>31</v>
      </c>
      <c r="P496">
        <v>31</v>
      </c>
      <c r="Q496">
        <v>31</v>
      </c>
      <c r="R496">
        <v>1</v>
      </c>
    </row>
    <row r="497" spans="1:18">
      <c r="A497" t="s">
        <v>979</v>
      </c>
      <c r="B497" t="s">
        <v>174</v>
      </c>
      <c r="C497" t="s">
        <v>488</v>
      </c>
      <c r="D497">
        <v>19</v>
      </c>
      <c r="E497">
        <v>3</v>
      </c>
      <c r="F497">
        <v>3</v>
      </c>
      <c r="G497">
        <v>3</v>
      </c>
      <c r="H497">
        <v>1</v>
      </c>
      <c r="I497">
        <v>1</v>
      </c>
      <c r="J497">
        <v>1</v>
      </c>
      <c r="K497">
        <v>1</v>
      </c>
      <c r="L497">
        <v>1</v>
      </c>
      <c r="M497">
        <v>1</v>
      </c>
      <c r="N497">
        <v>1</v>
      </c>
      <c r="O497">
        <v>31</v>
      </c>
      <c r="P497">
        <v>31</v>
      </c>
      <c r="Q497">
        <v>31</v>
      </c>
      <c r="R497">
        <v>1</v>
      </c>
    </row>
    <row r="498" spans="1:18">
      <c r="A498" t="s">
        <v>980</v>
      </c>
      <c r="B498" t="s">
        <v>174</v>
      </c>
      <c r="C498" t="s">
        <v>148</v>
      </c>
      <c r="D498">
        <v>19</v>
      </c>
      <c r="E498">
        <v>0</v>
      </c>
      <c r="F498">
        <v>0</v>
      </c>
      <c r="G498">
        <v>3</v>
      </c>
      <c r="H498">
        <v>0</v>
      </c>
      <c r="I498">
        <v>0</v>
      </c>
      <c r="J498">
        <v>0</v>
      </c>
      <c r="K498">
        <v>0</v>
      </c>
      <c r="L498">
        <v>0</v>
      </c>
      <c r="M498">
        <v>0</v>
      </c>
      <c r="N498">
        <v>0</v>
      </c>
      <c r="O498">
        <v>0</v>
      </c>
      <c r="P498">
        <v>0</v>
      </c>
      <c r="Q498">
        <v>31</v>
      </c>
      <c r="R498">
        <v>0</v>
      </c>
    </row>
    <row r="499" spans="1:18">
      <c r="A499" t="s">
        <v>981</v>
      </c>
      <c r="B499" t="s">
        <v>174</v>
      </c>
      <c r="C499" t="s">
        <v>184</v>
      </c>
      <c r="D499">
        <v>19</v>
      </c>
      <c r="E499">
        <v>0</v>
      </c>
      <c r="F499">
        <v>0</v>
      </c>
      <c r="G499">
        <v>3</v>
      </c>
      <c r="H499">
        <v>0</v>
      </c>
      <c r="I499">
        <v>0</v>
      </c>
      <c r="J499">
        <v>0</v>
      </c>
      <c r="K499">
        <v>0</v>
      </c>
      <c r="L499">
        <v>0</v>
      </c>
      <c r="M499">
        <v>0</v>
      </c>
      <c r="N499">
        <v>0</v>
      </c>
      <c r="O499">
        <v>0</v>
      </c>
      <c r="P499">
        <v>0</v>
      </c>
      <c r="Q499">
        <v>31</v>
      </c>
      <c r="R499">
        <v>0</v>
      </c>
    </row>
    <row r="500" spans="1:18">
      <c r="A500" t="s">
        <v>982</v>
      </c>
      <c r="B500" t="s">
        <v>174</v>
      </c>
      <c r="C500" s="4" t="s">
        <v>188</v>
      </c>
      <c r="D500">
        <v>1</v>
      </c>
      <c r="E500">
        <v>0</v>
      </c>
      <c r="F500">
        <v>0</v>
      </c>
      <c r="G500">
        <v>0</v>
      </c>
      <c r="H500">
        <v>0</v>
      </c>
      <c r="I500">
        <v>0</v>
      </c>
      <c r="J500">
        <v>0</v>
      </c>
      <c r="K500">
        <v>0</v>
      </c>
      <c r="L500">
        <v>0</v>
      </c>
      <c r="M500">
        <v>0</v>
      </c>
      <c r="N500">
        <v>0</v>
      </c>
      <c r="O500">
        <v>0</v>
      </c>
      <c r="P500">
        <v>0</v>
      </c>
      <c r="Q500">
        <v>1</v>
      </c>
      <c r="R500">
        <v>0</v>
      </c>
    </row>
    <row r="501" spans="1:18">
      <c r="A501" t="s">
        <v>983</v>
      </c>
      <c r="B501" t="s">
        <v>174</v>
      </c>
      <c r="C501" s="35" t="s">
        <v>189</v>
      </c>
      <c r="D501">
        <v>0</v>
      </c>
      <c r="E501">
        <v>0</v>
      </c>
      <c r="F501">
        <v>0</v>
      </c>
      <c r="G501">
        <v>0</v>
      </c>
      <c r="H501">
        <v>0</v>
      </c>
      <c r="I501">
        <v>0</v>
      </c>
      <c r="J501">
        <v>0</v>
      </c>
      <c r="K501">
        <v>0</v>
      </c>
      <c r="L501">
        <v>0</v>
      </c>
      <c r="M501">
        <v>0</v>
      </c>
      <c r="N501">
        <v>0</v>
      </c>
      <c r="O501">
        <v>0</v>
      </c>
      <c r="P501">
        <v>0</v>
      </c>
      <c r="Q501">
        <v>0</v>
      </c>
      <c r="R501">
        <v>0</v>
      </c>
    </row>
    <row r="502" spans="1:18">
      <c r="A502" t="s">
        <v>984</v>
      </c>
      <c r="B502" t="s">
        <v>174</v>
      </c>
      <c r="C502" t="s">
        <v>172</v>
      </c>
      <c r="D502">
        <v>0</v>
      </c>
      <c r="E502">
        <v>0</v>
      </c>
      <c r="F502">
        <v>0</v>
      </c>
      <c r="G502">
        <v>0</v>
      </c>
      <c r="H502">
        <v>0</v>
      </c>
      <c r="I502">
        <v>0</v>
      </c>
      <c r="J502">
        <v>0</v>
      </c>
      <c r="K502">
        <v>0</v>
      </c>
      <c r="L502">
        <v>0</v>
      </c>
      <c r="M502">
        <v>0</v>
      </c>
      <c r="N502">
        <v>0</v>
      </c>
      <c r="O502">
        <v>0</v>
      </c>
      <c r="P502">
        <v>0</v>
      </c>
      <c r="Q502">
        <v>0</v>
      </c>
      <c r="R502">
        <v>0</v>
      </c>
    </row>
    <row r="503" spans="1:18">
      <c r="A503" t="s">
        <v>985</v>
      </c>
      <c r="B503" t="s">
        <v>174</v>
      </c>
      <c r="C503" t="s">
        <v>30</v>
      </c>
      <c r="D503">
        <v>0</v>
      </c>
      <c r="E503">
        <v>0</v>
      </c>
      <c r="F503">
        <v>0</v>
      </c>
      <c r="G503">
        <v>0</v>
      </c>
      <c r="H503">
        <v>0</v>
      </c>
      <c r="I503">
        <v>0</v>
      </c>
      <c r="J503">
        <v>0</v>
      </c>
      <c r="K503">
        <v>0</v>
      </c>
      <c r="L503">
        <v>0</v>
      </c>
      <c r="M503">
        <v>0</v>
      </c>
      <c r="N503">
        <v>0</v>
      </c>
      <c r="O503">
        <v>0</v>
      </c>
      <c r="P503">
        <v>0</v>
      </c>
      <c r="Q503">
        <v>0</v>
      </c>
      <c r="R503">
        <v>0</v>
      </c>
    </row>
    <row r="504" spans="1:18">
      <c r="A504" t="s">
        <v>986</v>
      </c>
      <c r="B504" t="s">
        <v>175</v>
      </c>
      <c r="C504" t="s">
        <v>32</v>
      </c>
      <c r="D504">
        <v>3</v>
      </c>
      <c r="E504">
        <v>8</v>
      </c>
      <c r="F504">
        <v>11</v>
      </c>
      <c r="G504">
        <v>7</v>
      </c>
      <c r="H504">
        <v>9</v>
      </c>
      <c r="I504">
        <v>9</v>
      </c>
      <c r="J504">
        <v>10</v>
      </c>
      <c r="K504">
        <v>5</v>
      </c>
      <c r="L504">
        <v>1</v>
      </c>
      <c r="M504">
        <v>1</v>
      </c>
      <c r="N504">
        <v>3</v>
      </c>
      <c r="O504">
        <v>7</v>
      </c>
      <c r="P504">
        <v>4</v>
      </c>
      <c r="Q504">
        <v>7</v>
      </c>
      <c r="R504">
        <v>15</v>
      </c>
    </row>
    <row r="505" spans="1:18">
      <c r="A505" t="s">
        <v>987</v>
      </c>
      <c r="B505" t="s">
        <v>175</v>
      </c>
      <c r="C505" s="4" t="s">
        <v>34</v>
      </c>
      <c r="D505">
        <v>2</v>
      </c>
      <c r="E505">
        <v>4</v>
      </c>
      <c r="F505">
        <v>6</v>
      </c>
      <c r="G505">
        <v>5</v>
      </c>
      <c r="H505">
        <v>6</v>
      </c>
      <c r="I505">
        <v>5</v>
      </c>
      <c r="J505">
        <v>9</v>
      </c>
      <c r="K505">
        <v>4</v>
      </c>
      <c r="L505">
        <v>0</v>
      </c>
      <c r="M505">
        <v>1</v>
      </c>
      <c r="N505">
        <v>3</v>
      </c>
      <c r="O505">
        <v>4</v>
      </c>
      <c r="P505">
        <v>3</v>
      </c>
      <c r="Q505">
        <v>4</v>
      </c>
      <c r="R505">
        <v>11</v>
      </c>
    </row>
    <row r="506" spans="1:18">
      <c r="A506" t="s">
        <v>988</v>
      </c>
      <c r="B506" t="s">
        <v>175</v>
      </c>
      <c r="C506" t="s">
        <v>169</v>
      </c>
      <c r="D506">
        <v>1</v>
      </c>
      <c r="E506">
        <v>4</v>
      </c>
      <c r="F506">
        <v>5</v>
      </c>
      <c r="G506">
        <v>2</v>
      </c>
      <c r="H506">
        <v>3</v>
      </c>
      <c r="I506">
        <v>4</v>
      </c>
      <c r="J506">
        <v>1</v>
      </c>
      <c r="K506">
        <v>1</v>
      </c>
      <c r="L506">
        <v>1</v>
      </c>
      <c r="M506">
        <v>0</v>
      </c>
      <c r="N506">
        <v>0</v>
      </c>
      <c r="O506">
        <v>3</v>
      </c>
      <c r="P506">
        <v>1</v>
      </c>
      <c r="Q506">
        <v>3</v>
      </c>
      <c r="R506">
        <v>4</v>
      </c>
    </row>
    <row r="507" spans="1:18">
      <c r="A507" t="s">
        <v>989</v>
      </c>
      <c r="B507" t="s">
        <v>175</v>
      </c>
      <c r="C507" t="s">
        <v>486</v>
      </c>
      <c r="D507">
        <v>10</v>
      </c>
      <c r="E507">
        <v>7</v>
      </c>
      <c r="F507">
        <v>7</v>
      </c>
      <c r="G507">
        <v>10</v>
      </c>
      <c r="H507">
        <v>10</v>
      </c>
      <c r="I507">
        <v>9</v>
      </c>
      <c r="J507">
        <v>9</v>
      </c>
      <c r="K507">
        <v>17</v>
      </c>
      <c r="L507">
        <v>16</v>
      </c>
      <c r="M507">
        <v>16</v>
      </c>
      <c r="N507">
        <v>15</v>
      </c>
      <c r="O507">
        <v>15</v>
      </c>
      <c r="P507">
        <v>11</v>
      </c>
      <c r="Q507">
        <v>10</v>
      </c>
      <c r="R507">
        <v>10</v>
      </c>
    </row>
    <row r="508" spans="1:18">
      <c r="A508" t="s">
        <v>990</v>
      </c>
      <c r="B508" t="s">
        <v>175</v>
      </c>
      <c r="C508" t="s">
        <v>488</v>
      </c>
      <c r="D508">
        <v>44</v>
      </c>
      <c r="E508">
        <v>44</v>
      </c>
      <c r="F508">
        <v>43</v>
      </c>
      <c r="G508">
        <v>29</v>
      </c>
      <c r="H508">
        <v>40</v>
      </c>
      <c r="I508">
        <v>25</v>
      </c>
      <c r="J508">
        <v>22</v>
      </c>
      <c r="K508">
        <v>22</v>
      </c>
      <c r="L508">
        <v>22</v>
      </c>
      <c r="M508">
        <v>20</v>
      </c>
      <c r="N508">
        <v>25</v>
      </c>
      <c r="O508">
        <v>31</v>
      </c>
      <c r="P508">
        <v>33</v>
      </c>
      <c r="Q508">
        <v>33</v>
      </c>
      <c r="R508">
        <v>35</v>
      </c>
    </row>
    <row r="509" spans="1:18">
      <c r="A509" t="s">
        <v>991</v>
      </c>
      <c r="B509" t="s">
        <v>175</v>
      </c>
      <c r="C509" t="s">
        <v>148</v>
      </c>
      <c r="D509">
        <v>10</v>
      </c>
      <c r="E509">
        <v>18</v>
      </c>
      <c r="F509">
        <v>6</v>
      </c>
      <c r="G509">
        <v>6</v>
      </c>
      <c r="H509">
        <v>10</v>
      </c>
      <c r="I509">
        <v>13</v>
      </c>
      <c r="J509">
        <v>8</v>
      </c>
      <c r="K509">
        <v>9</v>
      </c>
      <c r="L509">
        <v>22</v>
      </c>
      <c r="M509">
        <v>17</v>
      </c>
      <c r="N509">
        <v>14</v>
      </c>
      <c r="O509">
        <v>17</v>
      </c>
      <c r="P509">
        <v>14</v>
      </c>
      <c r="Q509">
        <v>12</v>
      </c>
      <c r="R509">
        <v>10</v>
      </c>
    </row>
    <row r="510" spans="1:18">
      <c r="A510" t="s">
        <v>992</v>
      </c>
      <c r="B510" t="s">
        <v>175</v>
      </c>
      <c r="C510" t="s">
        <v>184</v>
      </c>
      <c r="D510">
        <v>19</v>
      </c>
      <c r="E510">
        <v>64</v>
      </c>
      <c r="F510">
        <v>43</v>
      </c>
      <c r="G510">
        <v>22</v>
      </c>
      <c r="H510">
        <v>48</v>
      </c>
      <c r="I510">
        <v>27</v>
      </c>
      <c r="J510">
        <v>16</v>
      </c>
      <c r="K510">
        <v>21</v>
      </c>
      <c r="L510">
        <v>22</v>
      </c>
      <c r="M510">
        <v>17</v>
      </c>
      <c r="N510">
        <v>16</v>
      </c>
      <c r="O510">
        <v>31</v>
      </c>
      <c r="P510">
        <v>25</v>
      </c>
      <c r="Q510">
        <v>33</v>
      </c>
      <c r="R510">
        <v>35</v>
      </c>
    </row>
    <row r="511" spans="1:18">
      <c r="A511" t="s">
        <v>993</v>
      </c>
      <c r="B511" t="s">
        <v>175</v>
      </c>
      <c r="C511" s="4" t="s">
        <v>188</v>
      </c>
      <c r="D511">
        <v>1</v>
      </c>
      <c r="E511">
        <v>1</v>
      </c>
      <c r="F511">
        <v>3</v>
      </c>
      <c r="G511">
        <v>2</v>
      </c>
      <c r="H511">
        <v>1</v>
      </c>
      <c r="I511">
        <v>4</v>
      </c>
      <c r="J511">
        <v>0</v>
      </c>
      <c r="K511">
        <v>1</v>
      </c>
      <c r="L511">
        <v>1</v>
      </c>
      <c r="M511">
        <v>0</v>
      </c>
      <c r="N511">
        <v>0</v>
      </c>
      <c r="O511">
        <v>3</v>
      </c>
      <c r="P511">
        <v>1</v>
      </c>
      <c r="Q511">
        <v>3</v>
      </c>
      <c r="R511">
        <v>4</v>
      </c>
    </row>
    <row r="512" spans="1:18">
      <c r="A512" t="s">
        <v>994</v>
      </c>
      <c r="B512" t="s">
        <v>175</v>
      </c>
      <c r="C512" s="35" t="s">
        <v>189</v>
      </c>
      <c r="D512">
        <v>0</v>
      </c>
      <c r="E512">
        <v>3</v>
      </c>
      <c r="F512">
        <v>2</v>
      </c>
      <c r="G512">
        <v>0</v>
      </c>
      <c r="H512">
        <v>2</v>
      </c>
      <c r="I512">
        <v>0</v>
      </c>
      <c r="J512">
        <v>1</v>
      </c>
      <c r="K512">
        <v>0</v>
      </c>
      <c r="L512">
        <v>0</v>
      </c>
      <c r="M512">
        <v>0</v>
      </c>
      <c r="N512">
        <v>0</v>
      </c>
      <c r="O512">
        <v>0</v>
      </c>
      <c r="P512">
        <v>0</v>
      </c>
      <c r="Q512">
        <v>0</v>
      </c>
      <c r="R512">
        <v>0</v>
      </c>
    </row>
    <row r="513" spans="1:18">
      <c r="A513" t="s">
        <v>995</v>
      </c>
      <c r="B513" t="s">
        <v>175</v>
      </c>
      <c r="C513" t="s">
        <v>172</v>
      </c>
      <c r="D513">
        <v>0</v>
      </c>
      <c r="E513">
        <v>2</v>
      </c>
      <c r="F513">
        <v>2</v>
      </c>
      <c r="G513">
        <v>0</v>
      </c>
      <c r="H513">
        <v>2</v>
      </c>
      <c r="I513">
        <v>0</v>
      </c>
      <c r="J513">
        <v>0</v>
      </c>
      <c r="K513">
        <v>0</v>
      </c>
      <c r="L513">
        <v>0</v>
      </c>
      <c r="M513">
        <v>0</v>
      </c>
      <c r="N513">
        <v>0</v>
      </c>
      <c r="O513">
        <v>0</v>
      </c>
      <c r="P513">
        <v>0</v>
      </c>
      <c r="Q513">
        <v>0</v>
      </c>
      <c r="R513">
        <v>0</v>
      </c>
    </row>
    <row r="514" spans="1:18">
      <c r="A514" t="s">
        <v>996</v>
      </c>
      <c r="B514" t="s">
        <v>175</v>
      </c>
      <c r="C514" t="s">
        <v>30</v>
      </c>
      <c r="D514">
        <v>0</v>
      </c>
      <c r="E514">
        <v>1</v>
      </c>
      <c r="F514">
        <v>0</v>
      </c>
      <c r="G514">
        <v>0</v>
      </c>
      <c r="H514">
        <v>0</v>
      </c>
      <c r="I514">
        <v>0</v>
      </c>
      <c r="J514">
        <v>1</v>
      </c>
      <c r="K514">
        <v>0</v>
      </c>
      <c r="L514">
        <v>0</v>
      </c>
      <c r="M514">
        <v>0</v>
      </c>
      <c r="N514">
        <v>0</v>
      </c>
      <c r="O514">
        <v>0</v>
      </c>
      <c r="P514">
        <v>0</v>
      </c>
      <c r="Q514">
        <v>0</v>
      </c>
      <c r="R514">
        <v>0</v>
      </c>
    </row>
    <row r="515" spans="1:18">
      <c r="A515" t="s">
        <v>997</v>
      </c>
      <c r="B515" t="s">
        <v>175</v>
      </c>
      <c r="C515" t="s">
        <v>177</v>
      </c>
      <c r="D515">
        <v>1</v>
      </c>
      <c r="E515">
        <v>9</v>
      </c>
      <c r="F515">
        <v>9</v>
      </c>
      <c r="G515">
        <v>12</v>
      </c>
      <c r="H515">
        <v>9</v>
      </c>
      <c r="I515">
        <v>11</v>
      </c>
      <c r="J515">
        <v>16</v>
      </c>
      <c r="K515">
        <v>14</v>
      </c>
      <c r="L515">
        <v>11</v>
      </c>
      <c r="M515">
        <v>5</v>
      </c>
      <c r="N515">
        <v>12</v>
      </c>
      <c r="O515">
        <v>16</v>
      </c>
      <c r="P515">
        <v>17</v>
      </c>
      <c r="Q515">
        <v>13</v>
      </c>
      <c r="R515">
        <v>16</v>
      </c>
    </row>
    <row r="516" spans="1:18">
      <c r="A516" t="s">
        <v>998</v>
      </c>
      <c r="B516" t="s">
        <v>175</v>
      </c>
      <c r="C516" t="s">
        <v>178</v>
      </c>
      <c r="D516">
        <v>1</v>
      </c>
      <c r="E516">
        <v>9</v>
      </c>
      <c r="F516">
        <v>9</v>
      </c>
      <c r="G516">
        <v>12</v>
      </c>
      <c r="H516">
        <v>9</v>
      </c>
      <c r="I516">
        <v>11</v>
      </c>
      <c r="J516">
        <v>16</v>
      </c>
      <c r="K516">
        <v>14</v>
      </c>
      <c r="L516">
        <v>11</v>
      </c>
      <c r="M516">
        <v>5</v>
      </c>
      <c r="N516">
        <v>12</v>
      </c>
      <c r="O516">
        <v>16</v>
      </c>
      <c r="P516">
        <v>17</v>
      </c>
      <c r="Q516">
        <v>13</v>
      </c>
      <c r="R516">
        <v>16</v>
      </c>
    </row>
    <row r="517" spans="1:18">
      <c r="A517" t="s">
        <v>999</v>
      </c>
      <c r="B517" t="s">
        <v>176</v>
      </c>
      <c r="C517" t="s">
        <v>32</v>
      </c>
      <c r="D517">
        <v>1</v>
      </c>
      <c r="E517">
        <v>0</v>
      </c>
      <c r="F517">
        <v>0</v>
      </c>
      <c r="G517">
        <v>1</v>
      </c>
      <c r="H517">
        <v>0</v>
      </c>
      <c r="I517">
        <v>0</v>
      </c>
      <c r="J517">
        <v>0</v>
      </c>
      <c r="K517">
        <v>0</v>
      </c>
      <c r="L517">
        <v>0</v>
      </c>
      <c r="M517">
        <v>0</v>
      </c>
      <c r="N517">
        <v>0</v>
      </c>
      <c r="O517">
        <v>0</v>
      </c>
      <c r="P517">
        <v>0</v>
      </c>
      <c r="Q517">
        <v>1</v>
      </c>
      <c r="R517">
        <v>0</v>
      </c>
    </row>
    <row r="518" spans="1:18">
      <c r="A518" t="s">
        <v>1000</v>
      </c>
      <c r="B518" t="s">
        <v>176</v>
      </c>
      <c r="C518" s="4" t="s">
        <v>34</v>
      </c>
      <c r="D518">
        <v>0</v>
      </c>
      <c r="E518">
        <v>0</v>
      </c>
      <c r="F518">
        <v>0</v>
      </c>
      <c r="G518">
        <v>1</v>
      </c>
      <c r="H518">
        <v>0</v>
      </c>
      <c r="I518">
        <v>0</v>
      </c>
      <c r="J518">
        <v>0</v>
      </c>
      <c r="K518">
        <v>0</v>
      </c>
      <c r="L518">
        <v>0</v>
      </c>
      <c r="M518">
        <v>0</v>
      </c>
      <c r="N518">
        <v>0</v>
      </c>
      <c r="O518">
        <v>0</v>
      </c>
      <c r="P518">
        <v>0</v>
      </c>
      <c r="Q518">
        <v>0</v>
      </c>
      <c r="R518">
        <v>0</v>
      </c>
    </row>
    <row r="519" spans="1:18">
      <c r="A519" t="s">
        <v>1001</v>
      </c>
      <c r="B519" t="s">
        <v>176</v>
      </c>
      <c r="C519" t="s">
        <v>169</v>
      </c>
      <c r="D519">
        <v>1</v>
      </c>
      <c r="E519">
        <v>0</v>
      </c>
      <c r="F519">
        <v>0</v>
      </c>
      <c r="G519">
        <v>0</v>
      </c>
      <c r="H519">
        <v>0</v>
      </c>
      <c r="I519">
        <v>0</v>
      </c>
      <c r="J519">
        <v>0</v>
      </c>
      <c r="K519">
        <v>0</v>
      </c>
      <c r="L519">
        <v>0</v>
      </c>
      <c r="M519">
        <v>0</v>
      </c>
      <c r="N519">
        <v>0</v>
      </c>
      <c r="O519">
        <v>0</v>
      </c>
      <c r="P519">
        <v>0</v>
      </c>
      <c r="Q519">
        <v>1</v>
      </c>
      <c r="R519">
        <v>0</v>
      </c>
    </row>
    <row r="520" spans="1:18">
      <c r="A520" t="s">
        <v>1002</v>
      </c>
      <c r="B520" t="s">
        <v>176</v>
      </c>
      <c r="C520" t="s">
        <v>170</v>
      </c>
      <c r="D520">
        <v>1</v>
      </c>
      <c r="E520">
        <v>9</v>
      </c>
      <c r="F520">
        <v>9</v>
      </c>
      <c r="G520">
        <v>12</v>
      </c>
      <c r="H520">
        <v>9</v>
      </c>
      <c r="I520">
        <v>11</v>
      </c>
      <c r="J520">
        <v>16</v>
      </c>
      <c r="K520">
        <v>14</v>
      </c>
      <c r="L520">
        <v>11</v>
      </c>
      <c r="M520">
        <v>5</v>
      </c>
      <c r="N520">
        <v>12</v>
      </c>
      <c r="O520">
        <v>16</v>
      </c>
      <c r="P520">
        <v>17</v>
      </c>
      <c r="Q520">
        <v>13</v>
      </c>
      <c r="R520">
        <v>16</v>
      </c>
    </row>
    <row r="521" spans="1:18">
      <c r="A521" t="s">
        <v>1003</v>
      </c>
      <c r="B521" t="s">
        <v>176</v>
      </c>
      <c r="C521" t="s">
        <v>171</v>
      </c>
      <c r="D521">
        <v>1</v>
      </c>
      <c r="E521">
        <v>9</v>
      </c>
      <c r="F521">
        <v>9</v>
      </c>
      <c r="G521">
        <v>12</v>
      </c>
      <c r="H521">
        <v>9</v>
      </c>
      <c r="I521">
        <v>11</v>
      </c>
      <c r="J521">
        <v>16</v>
      </c>
      <c r="K521">
        <v>14</v>
      </c>
      <c r="L521">
        <v>11</v>
      </c>
      <c r="M521">
        <v>5</v>
      </c>
      <c r="N521">
        <v>12</v>
      </c>
      <c r="O521">
        <v>16</v>
      </c>
      <c r="P521">
        <v>17</v>
      </c>
      <c r="Q521">
        <v>13</v>
      </c>
      <c r="R521">
        <v>16</v>
      </c>
    </row>
    <row r="522" spans="1:18">
      <c r="A522" t="s">
        <v>1004</v>
      </c>
      <c r="B522" t="s">
        <v>176</v>
      </c>
      <c r="C522" t="s">
        <v>148</v>
      </c>
      <c r="D522">
        <v>19</v>
      </c>
      <c r="E522">
        <v>0</v>
      </c>
      <c r="F522">
        <v>0</v>
      </c>
      <c r="G522">
        <v>3</v>
      </c>
      <c r="H522">
        <v>0</v>
      </c>
      <c r="I522">
        <v>0</v>
      </c>
      <c r="J522">
        <v>0</v>
      </c>
      <c r="K522">
        <v>0</v>
      </c>
      <c r="L522">
        <v>0</v>
      </c>
      <c r="M522">
        <v>0</v>
      </c>
      <c r="N522">
        <v>0</v>
      </c>
      <c r="O522">
        <v>0</v>
      </c>
      <c r="P522">
        <v>0</v>
      </c>
      <c r="Q522">
        <v>31</v>
      </c>
      <c r="R522">
        <v>0</v>
      </c>
    </row>
    <row r="523" spans="1:18">
      <c r="A523" t="s">
        <v>1005</v>
      </c>
      <c r="B523" t="s">
        <v>176</v>
      </c>
      <c r="C523" t="s">
        <v>184</v>
      </c>
      <c r="D523">
        <v>19</v>
      </c>
      <c r="E523">
        <v>0</v>
      </c>
      <c r="F523">
        <v>0</v>
      </c>
      <c r="G523">
        <v>3</v>
      </c>
      <c r="H523">
        <v>0</v>
      </c>
      <c r="I523">
        <v>0</v>
      </c>
      <c r="J523">
        <v>0</v>
      </c>
      <c r="K523">
        <v>0</v>
      </c>
      <c r="L523">
        <v>0</v>
      </c>
      <c r="M523">
        <v>0</v>
      </c>
      <c r="N523">
        <v>0</v>
      </c>
      <c r="O523">
        <v>0</v>
      </c>
      <c r="P523">
        <v>0</v>
      </c>
      <c r="Q523">
        <v>31</v>
      </c>
      <c r="R523">
        <v>0</v>
      </c>
    </row>
    <row r="524" spans="1:18">
      <c r="A524" t="s">
        <v>1006</v>
      </c>
      <c r="B524" t="s">
        <v>176</v>
      </c>
      <c r="C524" s="4" t="s">
        <v>188</v>
      </c>
      <c r="D524">
        <v>1</v>
      </c>
      <c r="E524">
        <v>0</v>
      </c>
      <c r="F524">
        <v>0</v>
      </c>
      <c r="G524">
        <v>0</v>
      </c>
      <c r="H524">
        <v>0</v>
      </c>
      <c r="I524">
        <v>0</v>
      </c>
      <c r="J524">
        <v>0</v>
      </c>
      <c r="K524">
        <v>0</v>
      </c>
      <c r="L524">
        <v>0</v>
      </c>
      <c r="M524">
        <v>0</v>
      </c>
      <c r="N524">
        <v>0</v>
      </c>
      <c r="O524">
        <v>0</v>
      </c>
      <c r="P524">
        <v>0</v>
      </c>
      <c r="Q524">
        <v>1</v>
      </c>
      <c r="R524">
        <v>0</v>
      </c>
    </row>
    <row r="525" spans="1:18">
      <c r="A525" t="s">
        <v>1007</v>
      </c>
      <c r="B525" t="s">
        <v>176</v>
      </c>
      <c r="C525" s="35" t="s">
        <v>189</v>
      </c>
      <c r="D525">
        <v>0</v>
      </c>
      <c r="E525">
        <v>0</v>
      </c>
      <c r="F525">
        <v>0</v>
      </c>
      <c r="G525">
        <v>0</v>
      </c>
      <c r="H525">
        <v>0</v>
      </c>
      <c r="I525">
        <v>0</v>
      </c>
      <c r="J525">
        <v>0</v>
      </c>
      <c r="K525">
        <v>0</v>
      </c>
      <c r="L525">
        <v>0</v>
      </c>
      <c r="M525">
        <v>0</v>
      </c>
      <c r="N525">
        <v>0</v>
      </c>
      <c r="O525">
        <v>0</v>
      </c>
      <c r="P525">
        <v>0</v>
      </c>
      <c r="Q525">
        <v>0</v>
      </c>
      <c r="R525">
        <v>0</v>
      </c>
    </row>
    <row r="526" spans="1:18">
      <c r="A526" t="s">
        <v>1008</v>
      </c>
      <c r="B526" t="s">
        <v>176</v>
      </c>
      <c r="C526" t="s">
        <v>172</v>
      </c>
      <c r="D526">
        <v>0</v>
      </c>
      <c r="E526">
        <v>0</v>
      </c>
      <c r="F526">
        <v>0</v>
      </c>
      <c r="G526">
        <v>0</v>
      </c>
      <c r="H526">
        <v>0</v>
      </c>
      <c r="I526">
        <v>0</v>
      </c>
      <c r="J526">
        <v>0</v>
      </c>
      <c r="K526">
        <v>0</v>
      </c>
      <c r="L526">
        <v>0</v>
      </c>
      <c r="M526">
        <v>0</v>
      </c>
      <c r="N526">
        <v>0</v>
      </c>
      <c r="O526">
        <v>0</v>
      </c>
      <c r="P526">
        <v>0</v>
      </c>
      <c r="Q526">
        <v>0</v>
      </c>
      <c r="R526">
        <v>0</v>
      </c>
    </row>
    <row r="527" spans="1:18">
      <c r="A527" t="s">
        <v>1009</v>
      </c>
      <c r="B527" t="s">
        <v>176</v>
      </c>
      <c r="C527" t="s">
        <v>30</v>
      </c>
      <c r="D527">
        <v>0</v>
      </c>
      <c r="E527">
        <v>0</v>
      </c>
      <c r="F527">
        <v>0</v>
      </c>
      <c r="G527">
        <v>0</v>
      </c>
      <c r="H527">
        <v>0</v>
      </c>
      <c r="I527">
        <v>0</v>
      </c>
      <c r="J527">
        <v>0</v>
      </c>
      <c r="K527">
        <v>0</v>
      </c>
      <c r="L527">
        <v>0</v>
      </c>
      <c r="M527">
        <v>0</v>
      </c>
      <c r="N527">
        <v>0</v>
      </c>
      <c r="O527">
        <v>0</v>
      </c>
      <c r="P527">
        <v>0</v>
      </c>
      <c r="Q527">
        <v>0</v>
      </c>
      <c r="R527">
        <v>0</v>
      </c>
    </row>
    <row r="528" spans="1:18">
      <c r="A528" t="s">
        <v>1010</v>
      </c>
      <c r="B528" t="s">
        <v>176</v>
      </c>
      <c r="C528" t="s">
        <v>177</v>
      </c>
      <c r="D528">
        <v>0</v>
      </c>
      <c r="E528">
        <v>0</v>
      </c>
      <c r="F528">
        <v>1</v>
      </c>
      <c r="G528">
        <v>0</v>
      </c>
      <c r="H528">
        <v>0</v>
      </c>
      <c r="I528">
        <v>0</v>
      </c>
      <c r="J528">
        <v>1</v>
      </c>
      <c r="K528">
        <v>0</v>
      </c>
      <c r="L528">
        <v>0</v>
      </c>
      <c r="M528">
        <v>0</v>
      </c>
      <c r="N528">
        <v>0</v>
      </c>
      <c r="O528">
        <v>0</v>
      </c>
      <c r="P528">
        <v>1</v>
      </c>
      <c r="Q528">
        <v>0</v>
      </c>
      <c r="R528">
        <v>1</v>
      </c>
    </row>
    <row r="529" spans="1:18">
      <c r="A529" t="s">
        <v>1011</v>
      </c>
      <c r="B529" t="s">
        <v>176</v>
      </c>
      <c r="C529" t="s">
        <v>178</v>
      </c>
      <c r="D529">
        <v>0</v>
      </c>
      <c r="E529">
        <v>0</v>
      </c>
      <c r="F529">
        <v>1</v>
      </c>
      <c r="G529">
        <v>0</v>
      </c>
      <c r="H529">
        <v>0</v>
      </c>
      <c r="I529">
        <v>0</v>
      </c>
      <c r="J529">
        <v>1</v>
      </c>
      <c r="K529">
        <v>0</v>
      </c>
      <c r="L529">
        <v>0</v>
      </c>
      <c r="M529">
        <v>0</v>
      </c>
      <c r="N529">
        <v>0</v>
      </c>
      <c r="O529">
        <v>0</v>
      </c>
      <c r="P529">
        <v>1</v>
      </c>
      <c r="Q529">
        <v>0</v>
      </c>
      <c r="R529">
        <v>1</v>
      </c>
    </row>
    <row r="530" spans="1:18">
      <c r="A530" t="s">
        <v>1012</v>
      </c>
      <c r="B530" t="s">
        <v>173</v>
      </c>
      <c r="C530" t="s">
        <v>32</v>
      </c>
      <c r="D530">
        <v>12</v>
      </c>
      <c r="E530">
        <v>17</v>
      </c>
      <c r="F530">
        <v>3</v>
      </c>
      <c r="G530">
        <v>3</v>
      </c>
      <c r="H530">
        <v>5</v>
      </c>
      <c r="I530">
        <v>9</v>
      </c>
      <c r="J530">
        <v>8</v>
      </c>
      <c r="K530">
        <v>10</v>
      </c>
      <c r="L530">
        <v>3</v>
      </c>
      <c r="M530">
        <v>14</v>
      </c>
      <c r="N530">
        <v>7</v>
      </c>
      <c r="O530">
        <v>7</v>
      </c>
      <c r="P530">
        <v>5</v>
      </c>
      <c r="Q530">
        <v>5</v>
      </c>
      <c r="R530">
        <v>23</v>
      </c>
    </row>
    <row r="531" spans="1:18">
      <c r="A531" t="s">
        <v>1013</v>
      </c>
      <c r="B531" t="s">
        <v>173</v>
      </c>
      <c r="C531" s="4" t="s">
        <v>34</v>
      </c>
      <c r="D531">
        <v>1</v>
      </c>
      <c r="E531">
        <v>2</v>
      </c>
      <c r="F531">
        <v>1</v>
      </c>
      <c r="G531">
        <v>0</v>
      </c>
      <c r="H531">
        <v>2</v>
      </c>
      <c r="I531">
        <v>1</v>
      </c>
      <c r="J531">
        <v>2</v>
      </c>
      <c r="K531">
        <v>2</v>
      </c>
      <c r="L531">
        <v>1</v>
      </c>
      <c r="M531">
        <v>6</v>
      </c>
      <c r="N531">
        <v>1</v>
      </c>
      <c r="O531">
        <v>1</v>
      </c>
      <c r="P531">
        <v>0</v>
      </c>
      <c r="Q531">
        <v>3</v>
      </c>
      <c r="R531">
        <v>6</v>
      </c>
    </row>
    <row r="532" spans="1:18">
      <c r="A532" t="s">
        <v>1014</v>
      </c>
      <c r="B532" t="s">
        <v>173</v>
      </c>
      <c r="C532" t="s">
        <v>169</v>
      </c>
      <c r="D532">
        <v>11</v>
      </c>
      <c r="E532">
        <v>15</v>
      </c>
      <c r="F532">
        <v>2</v>
      </c>
      <c r="G532">
        <v>3</v>
      </c>
      <c r="H532">
        <v>3</v>
      </c>
      <c r="I532">
        <v>8</v>
      </c>
      <c r="J532">
        <v>6</v>
      </c>
      <c r="K532">
        <v>8</v>
      </c>
      <c r="L532">
        <v>2</v>
      </c>
      <c r="M532">
        <v>8</v>
      </c>
      <c r="N532">
        <v>6</v>
      </c>
      <c r="O532">
        <v>6</v>
      </c>
      <c r="P532">
        <v>5</v>
      </c>
      <c r="Q532">
        <v>2</v>
      </c>
      <c r="R532">
        <v>17</v>
      </c>
    </row>
    <row r="533" spans="1:18">
      <c r="A533" t="s">
        <v>1015</v>
      </c>
      <c r="B533" t="s">
        <v>173</v>
      </c>
      <c r="C533" t="s">
        <v>486</v>
      </c>
      <c r="D533">
        <v>27</v>
      </c>
      <c r="E533">
        <v>25</v>
      </c>
      <c r="F533">
        <v>25</v>
      </c>
      <c r="G533">
        <v>29</v>
      </c>
      <c r="H533">
        <v>25</v>
      </c>
      <c r="I533">
        <v>26</v>
      </c>
      <c r="J533">
        <v>20</v>
      </c>
      <c r="K533">
        <v>22</v>
      </c>
      <c r="L533">
        <v>22</v>
      </c>
      <c r="M533">
        <v>23</v>
      </c>
      <c r="N533">
        <v>101</v>
      </c>
      <c r="O533">
        <v>105</v>
      </c>
      <c r="P533">
        <v>22</v>
      </c>
      <c r="Q533">
        <v>22</v>
      </c>
      <c r="R533">
        <v>22</v>
      </c>
    </row>
    <row r="534" spans="1:18">
      <c r="A534" t="s">
        <v>1016</v>
      </c>
      <c r="B534" t="s">
        <v>173</v>
      </c>
      <c r="C534" t="s">
        <v>488</v>
      </c>
      <c r="D534">
        <v>33</v>
      </c>
      <c r="E534">
        <v>29</v>
      </c>
      <c r="F534">
        <v>32</v>
      </c>
      <c r="G534">
        <v>36</v>
      </c>
      <c r="H534">
        <v>34</v>
      </c>
      <c r="I534">
        <v>37</v>
      </c>
      <c r="J534">
        <v>37</v>
      </c>
      <c r="K534">
        <v>105</v>
      </c>
      <c r="L534">
        <v>105</v>
      </c>
      <c r="M534">
        <v>105</v>
      </c>
      <c r="N534">
        <v>105</v>
      </c>
      <c r="O534">
        <v>105</v>
      </c>
      <c r="P534">
        <v>105</v>
      </c>
      <c r="Q534">
        <v>86</v>
      </c>
      <c r="R534">
        <v>35</v>
      </c>
    </row>
    <row r="535" spans="1:18">
      <c r="A535" t="s">
        <v>1017</v>
      </c>
      <c r="B535" t="s">
        <v>173</v>
      </c>
      <c r="C535" t="s">
        <v>148</v>
      </c>
      <c r="D535">
        <v>32</v>
      </c>
      <c r="E535">
        <v>25</v>
      </c>
      <c r="F535">
        <v>23</v>
      </c>
      <c r="G535">
        <v>25</v>
      </c>
      <c r="H535">
        <v>25</v>
      </c>
      <c r="I535">
        <v>30</v>
      </c>
      <c r="J535">
        <v>19</v>
      </c>
      <c r="K535">
        <v>25</v>
      </c>
      <c r="L535">
        <v>20</v>
      </c>
      <c r="M535">
        <v>20</v>
      </c>
      <c r="N535">
        <v>23</v>
      </c>
      <c r="O535">
        <v>105</v>
      </c>
      <c r="P535">
        <v>101</v>
      </c>
      <c r="Q535">
        <v>16</v>
      </c>
      <c r="R535">
        <v>22</v>
      </c>
    </row>
    <row r="536" spans="1:18">
      <c r="A536" t="s">
        <v>1018</v>
      </c>
      <c r="B536" t="s">
        <v>173</v>
      </c>
      <c r="C536" t="s">
        <v>184</v>
      </c>
      <c r="D536">
        <v>105</v>
      </c>
      <c r="E536">
        <v>31</v>
      </c>
      <c r="F536">
        <v>26</v>
      </c>
      <c r="G536">
        <v>27</v>
      </c>
      <c r="H536">
        <v>34</v>
      </c>
      <c r="I536">
        <v>39</v>
      </c>
      <c r="J536">
        <v>30</v>
      </c>
      <c r="K536">
        <v>37</v>
      </c>
      <c r="L536">
        <v>28</v>
      </c>
      <c r="M536">
        <v>105</v>
      </c>
      <c r="N536">
        <v>105</v>
      </c>
      <c r="O536">
        <v>105</v>
      </c>
      <c r="P536">
        <v>105</v>
      </c>
      <c r="Q536">
        <v>105</v>
      </c>
      <c r="R536">
        <v>35</v>
      </c>
    </row>
    <row r="537" spans="1:18">
      <c r="A537" t="s">
        <v>1019</v>
      </c>
      <c r="B537" t="s">
        <v>173</v>
      </c>
      <c r="C537" s="4" t="s">
        <v>188</v>
      </c>
      <c r="D537">
        <v>9</v>
      </c>
      <c r="E537">
        <v>15</v>
      </c>
      <c r="F537">
        <v>2</v>
      </c>
      <c r="G537">
        <v>3</v>
      </c>
      <c r="H537">
        <v>3</v>
      </c>
      <c r="I537">
        <v>6</v>
      </c>
      <c r="J537">
        <v>6</v>
      </c>
      <c r="K537">
        <v>5</v>
      </c>
      <c r="L537">
        <v>2</v>
      </c>
      <c r="M537">
        <v>4</v>
      </c>
      <c r="N537">
        <v>4</v>
      </c>
      <c r="O537">
        <v>1</v>
      </c>
      <c r="P537">
        <v>2</v>
      </c>
      <c r="Q537">
        <v>0</v>
      </c>
      <c r="R537">
        <v>15</v>
      </c>
    </row>
    <row r="538" spans="1:18">
      <c r="A538" t="s">
        <v>1020</v>
      </c>
      <c r="B538" t="s">
        <v>173</v>
      </c>
      <c r="C538" s="35" t="s">
        <v>189</v>
      </c>
      <c r="D538">
        <v>2</v>
      </c>
      <c r="E538">
        <v>0</v>
      </c>
      <c r="F538">
        <v>0</v>
      </c>
      <c r="G538">
        <v>0</v>
      </c>
      <c r="H538">
        <v>0</v>
      </c>
      <c r="I538">
        <v>2</v>
      </c>
      <c r="J538">
        <v>0</v>
      </c>
      <c r="K538">
        <v>3</v>
      </c>
      <c r="L538">
        <v>0</v>
      </c>
      <c r="M538">
        <v>4</v>
      </c>
      <c r="N538">
        <v>2</v>
      </c>
      <c r="O538">
        <v>5</v>
      </c>
      <c r="P538">
        <v>3</v>
      </c>
      <c r="Q538">
        <v>2</v>
      </c>
      <c r="R538">
        <v>2</v>
      </c>
    </row>
    <row r="539" spans="1:18">
      <c r="A539" t="s">
        <v>1021</v>
      </c>
      <c r="B539" t="s">
        <v>173</v>
      </c>
      <c r="C539" t="s">
        <v>172</v>
      </c>
      <c r="D539">
        <v>0</v>
      </c>
      <c r="E539">
        <v>0</v>
      </c>
      <c r="F539">
        <v>0</v>
      </c>
      <c r="G539">
        <v>0</v>
      </c>
      <c r="H539">
        <v>0</v>
      </c>
      <c r="I539">
        <v>2</v>
      </c>
      <c r="J539">
        <v>0</v>
      </c>
      <c r="K539">
        <v>2</v>
      </c>
      <c r="L539">
        <v>0</v>
      </c>
      <c r="M539">
        <v>1</v>
      </c>
      <c r="N539">
        <v>0</v>
      </c>
      <c r="O539">
        <v>0</v>
      </c>
      <c r="P539">
        <v>0</v>
      </c>
      <c r="Q539">
        <v>0</v>
      </c>
      <c r="R539">
        <v>1</v>
      </c>
    </row>
    <row r="540" spans="1:18">
      <c r="A540" t="s">
        <v>1022</v>
      </c>
      <c r="B540" t="s">
        <v>173</v>
      </c>
      <c r="C540" t="s">
        <v>30</v>
      </c>
      <c r="D540">
        <v>2</v>
      </c>
      <c r="E540">
        <v>0</v>
      </c>
      <c r="F540">
        <v>0</v>
      </c>
      <c r="G540">
        <v>0</v>
      </c>
      <c r="H540">
        <v>0</v>
      </c>
      <c r="I540">
        <v>0</v>
      </c>
      <c r="J540">
        <v>0</v>
      </c>
      <c r="K540">
        <v>1</v>
      </c>
      <c r="L540">
        <v>0</v>
      </c>
      <c r="M540">
        <v>3</v>
      </c>
      <c r="N540">
        <v>2</v>
      </c>
      <c r="O540">
        <v>5</v>
      </c>
      <c r="P540">
        <v>3</v>
      </c>
      <c r="Q540">
        <v>2</v>
      </c>
      <c r="R540">
        <v>1</v>
      </c>
    </row>
    <row r="541" spans="1:18">
      <c r="A541" t="s">
        <v>1023</v>
      </c>
      <c r="B541" t="s">
        <v>174</v>
      </c>
      <c r="C541" t="s">
        <v>32</v>
      </c>
      <c r="D541">
        <v>0</v>
      </c>
      <c r="E541">
        <v>0</v>
      </c>
      <c r="F541">
        <v>0</v>
      </c>
      <c r="G541">
        <v>2</v>
      </c>
      <c r="H541">
        <v>0</v>
      </c>
      <c r="I541">
        <v>1</v>
      </c>
      <c r="J541">
        <v>0</v>
      </c>
      <c r="K541">
        <v>0</v>
      </c>
      <c r="L541">
        <v>0</v>
      </c>
      <c r="M541">
        <v>1</v>
      </c>
      <c r="N541">
        <v>0</v>
      </c>
      <c r="O541">
        <v>0</v>
      </c>
      <c r="P541">
        <v>0</v>
      </c>
      <c r="Q541">
        <v>0</v>
      </c>
      <c r="R541">
        <v>1</v>
      </c>
    </row>
    <row r="542" spans="1:18">
      <c r="A542" t="s">
        <v>1024</v>
      </c>
      <c r="B542" t="s">
        <v>174</v>
      </c>
      <c r="C542" s="4" t="s">
        <v>34</v>
      </c>
      <c r="D542">
        <v>0</v>
      </c>
      <c r="E542">
        <v>0</v>
      </c>
      <c r="F542">
        <v>0</v>
      </c>
      <c r="G542">
        <v>0</v>
      </c>
      <c r="H542">
        <v>0</v>
      </c>
      <c r="I542">
        <v>0</v>
      </c>
      <c r="J542">
        <v>0</v>
      </c>
      <c r="K542">
        <v>0</v>
      </c>
      <c r="L542">
        <v>0</v>
      </c>
      <c r="M542">
        <v>0</v>
      </c>
      <c r="N542">
        <v>0</v>
      </c>
      <c r="O542">
        <v>0</v>
      </c>
      <c r="P542">
        <v>0</v>
      </c>
      <c r="Q542">
        <v>0</v>
      </c>
      <c r="R542">
        <v>0</v>
      </c>
    </row>
    <row r="543" spans="1:18">
      <c r="A543" t="s">
        <v>1025</v>
      </c>
      <c r="B543" t="s">
        <v>174</v>
      </c>
      <c r="C543" t="s">
        <v>169</v>
      </c>
      <c r="D543">
        <v>0</v>
      </c>
      <c r="E543">
        <v>0</v>
      </c>
      <c r="F543">
        <v>0</v>
      </c>
      <c r="G543">
        <v>2</v>
      </c>
      <c r="H543">
        <v>0</v>
      </c>
      <c r="I543">
        <v>1</v>
      </c>
      <c r="J543">
        <v>0</v>
      </c>
      <c r="K543">
        <v>0</v>
      </c>
      <c r="L543">
        <v>0</v>
      </c>
      <c r="M543">
        <v>1</v>
      </c>
      <c r="N543">
        <v>0</v>
      </c>
      <c r="O543">
        <v>0</v>
      </c>
      <c r="P543">
        <v>0</v>
      </c>
      <c r="Q543">
        <v>0</v>
      </c>
      <c r="R543">
        <v>1</v>
      </c>
    </row>
    <row r="544" spans="1:18">
      <c r="A544" t="s">
        <v>1026</v>
      </c>
      <c r="B544" t="s">
        <v>174</v>
      </c>
      <c r="C544" t="s">
        <v>486</v>
      </c>
      <c r="D544">
        <v>1</v>
      </c>
      <c r="E544">
        <v>25</v>
      </c>
      <c r="F544">
        <v>25</v>
      </c>
      <c r="G544">
        <v>27</v>
      </c>
      <c r="H544">
        <v>31</v>
      </c>
      <c r="I544">
        <v>31</v>
      </c>
      <c r="J544">
        <v>1</v>
      </c>
      <c r="K544">
        <v>39</v>
      </c>
      <c r="L544">
        <v>39</v>
      </c>
      <c r="M544">
        <v>39</v>
      </c>
      <c r="N544">
        <v>1</v>
      </c>
      <c r="O544">
        <v>1</v>
      </c>
      <c r="P544">
        <v>19</v>
      </c>
      <c r="Q544">
        <v>19</v>
      </c>
      <c r="R544">
        <v>19</v>
      </c>
    </row>
    <row r="545" spans="1:18">
      <c r="A545" t="s">
        <v>1027</v>
      </c>
      <c r="B545" t="s">
        <v>174</v>
      </c>
      <c r="C545" t="s">
        <v>488</v>
      </c>
      <c r="D545">
        <v>1</v>
      </c>
      <c r="E545">
        <v>27</v>
      </c>
      <c r="F545">
        <v>27</v>
      </c>
      <c r="G545">
        <v>31</v>
      </c>
      <c r="H545">
        <v>31</v>
      </c>
      <c r="I545">
        <v>31</v>
      </c>
      <c r="J545">
        <v>1</v>
      </c>
      <c r="K545">
        <v>39</v>
      </c>
      <c r="L545">
        <v>39</v>
      </c>
      <c r="M545">
        <v>39</v>
      </c>
      <c r="N545">
        <v>1</v>
      </c>
      <c r="O545">
        <v>1</v>
      </c>
      <c r="P545">
        <v>19</v>
      </c>
      <c r="Q545">
        <v>19</v>
      </c>
      <c r="R545">
        <v>19</v>
      </c>
    </row>
    <row r="546" spans="1:18">
      <c r="A546" t="s">
        <v>1028</v>
      </c>
      <c r="B546" t="s">
        <v>174</v>
      </c>
      <c r="C546" t="s">
        <v>148</v>
      </c>
      <c r="D546">
        <v>0</v>
      </c>
      <c r="E546">
        <v>0</v>
      </c>
      <c r="F546">
        <v>0</v>
      </c>
      <c r="G546">
        <v>25</v>
      </c>
      <c r="H546">
        <v>0</v>
      </c>
      <c r="I546">
        <v>31</v>
      </c>
      <c r="J546">
        <v>0</v>
      </c>
      <c r="K546">
        <v>0</v>
      </c>
      <c r="L546">
        <v>0</v>
      </c>
      <c r="M546">
        <v>39</v>
      </c>
      <c r="N546">
        <v>0</v>
      </c>
      <c r="O546">
        <v>0</v>
      </c>
      <c r="P546">
        <v>0</v>
      </c>
      <c r="Q546">
        <v>0</v>
      </c>
      <c r="R546">
        <v>19</v>
      </c>
    </row>
    <row r="547" spans="1:18">
      <c r="A547" t="s">
        <v>1029</v>
      </c>
      <c r="B547" t="s">
        <v>174</v>
      </c>
      <c r="C547" t="s">
        <v>184</v>
      </c>
      <c r="D547">
        <v>0</v>
      </c>
      <c r="E547">
        <v>0</v>
      </c>
      <c r="F547">
        <v>0</v>
      </c>
      <c r="G547">
        <v>27</v>
      </c>
      <c r="H547">
        <v>0</v>
      </c>
      <c r="I547">
        <v>31</v>
      </c>
      <c r="J547">
        <v>0</v>
      </c>
      <c r="K547">
        <v>0</v>
      </c>
      <c r="L547">
        <v>0</v>
      </c>
      <c r="M547">
        <v>39</v>
      </c>
      <c r="N547">
        <v>0</v>
      </c>
      <c r="O547">
        <v>0</v>
      </c>
      <c r="P547">
        <v>0</v>
      </c>
      <c r="Q547">
        <v>0</v>
      </c>
      <c r="R547">
        <v>19</v>
      </c>
    </row>
    <row r="548" spans="1:18">
      <c r="A548" t="s">
        <v>1030</v>
      </c>
      <c r="B548" t="s">
        <v>174</v>
      </c>
      <c r="C548" s="4" t="s">
        <v>188</v>
      </c>
      <c r="D548">
        <v>0</v>
      </c>
      <c r="E548">
        <v>0</v>
      </c>
      <c r="F548">
        <v>0</v>
      </c>
      <c r="G548">
        <v>2</v>
      </c>
      <c r="H548">
        <v>0</v>
      </c>
      <c r="I548">
        <v>1</v>
      </c>
      <c r="J548">
        <v>0</v>
      </c>
      <c r="K548">
        <v>0</v>
      </c>
      <c r="L548">
        <v>0</v>
      </c>
      <c r="M548">
        <v>0</v>
      </c>
      <c r="N548">
        <v>0</v>
      </c>
      <c r="O548">
        <v>0</v>
      </c>
      <c r="P548">
        <v>0</v>
      </c>
      <c r="Q548">
        <v>0</v>
      </c>
      <c r="R548">
        <v>1</v>
      </c>
    </row>
    <row r="549" spans="1:18">
      <c r="A549" t="s">
        <v>1031</v>
      </c>
      <c r="B549" t="s">
        <v>174</v>
      </c>
      <c r="C549" s="35" t="s">
        <v>189</v>
      </c>
      <c r="D549">
        <v>0</v>
      </c>
      <c r="E549">
        <v>0</v>
      </c>
      <c r="F549">
        <v>0</v>
      </c>
      <c r="G549">
        <v>0</v>
      </c>
      <c r="H549">
        <v>0</v>
      </c>
      <c r="I549">
        <v>0</v>
      </c>
      <c r="J549">
        <v>0</v>
      </c>
      <c r="K549">
        <v>0</v>
      </c>
      <c r="L549">
        <v>0</v>
      </c>
      <c r="M549">
        <v>1</v>
      </c>
      <c r="N549">
        <v>0</v>
      </c>
      <c r="O549">
        <v>0</v>
      </c>
      <c r="P549">
        <v>0</v>
      </c>
      <c r="Q549">
        <v>0</v>
      </c>
      <c r="R549">
        <v>0</v>
      </c>
    </row>
    <row r="550" spans="1:18">
      <c r="A550" t="s">
        <v>1032</v>
      </c>
      <c r="B550" t="s">
        <v>174</v>
      </c>
      <c r="C550" t="s">
        <v>172</v>
      </c>
      <c r="D550">
        <v>0</v>
      </c>
      <c r="E550">
        <v>0</v>
      </c>
      <c r="F550">
        <v>0</v>
      </c>
      <c r="G550">
        <v>0</v>
      </c>
      <c r="H550">
        <v>0</v>
      </c>
      <c r="I550">
        <v>0</v>
      </c>
      <c r="J550">
        <v>0</v>
      </c>
      <c r="K550">
        <v>0</v>
      </c>
      <c r="L550">
        <v>0</v>
      </c>
      <c r="M550">
        <v>1</v>
      </c>
      <c r="N550">
        <v>0</v>
      </c>
      <c r="O550">
        <v>0</v>
      </c>
      <c r="P550">
        <v>0</v>
      </c>
      <c r="Q550">
        <v>0</v>
      </c>
      <c r="R550">
        <v>0</v>
      </c>
    </row>
    <row r="551" spans="1:18">
      <c r="A551" t="s">
        <v>1033</v>
      </c>
      <c r="B551" t="s">
        <v>174</v>
      </c>
      <c r="C551" t="s">
        <v>30</v>
      </c>
      <c r="D551">
        <v>0</v>
      </c>
      <c r="E551">
        <v>0</v>
      </c>
      <c r="F551">
        <v>0</v>
      </c>
      <c r="G551">
        <v>0</v>
      </c>
      <c r="H551">
        <v>0</v>
      </c>
      <c r="I551">
        <v>0</v>
      </c>
      <c r="J551">
        <v>0</v>
      </c>
      <c r="K551">
        <v>0</v>
      </c>
      <c r="L551">
        <v>0</v>
      </c>
      <c r="M551">
        <v>0</v>
      </c>
      <c r="N551">
        <v>0</v>
      </c>
      <c r="O551">
        <v>0</v>
      </c>
      <c r="P551">
        <v>0</v>
      </c>
      <c r="Q551">
        <v>0</v>
      </c>
      <c r="R551">
        <v>0</v>
      </c>
    </row>
    <row r="552" spans="1:18">
      <c r="A552" t="s">
        <v>1034</v>
      </c>
      <c r="B552" t="s">
        <v>175</v>
      </c>
      <c r="C552" t="s">
        <v>32</v>
      </c>
      <c r="D552">
        <v>12</v>
      </c>
      <c r="E552">
        <v>17</v>
      </c>
      <c r="F552">
        <v>3</v>
      </c>
      <c r="G552">
        <v>3</v>
      </c>
      <c r="H552">
        <v>5</v>
      </c>
      <c r="I552">
        <v>9</v>
      </c>
      <c r="J552">
        <v>8</v>
      </c>
      <c r="K552">
        <v>10</v>
      </c>
      <c r="L552">
        <v>3</v>
      </c>
      <c r="M552">
        <v>14</v>
      </c>
      <c r="N552">
        <v>7</v>
      </c>
      <c r="O552">
        <v>7</v>
      </c>
      <c r="P552">
        <v>5</v>
      </c>
      <c r="Q552">
        <v>5</v>
      </c>
      <c r="R552">
        <v>23</v>
      </c>
    </row>
    <row r="553" spans="1:18">
      <c r="A553" t="s">
        <v>1035</v>
      </c>
      <c r="B553" t="s">
        <v>175</v>
      </c>
      <c r="C553" s="4" t="s">
        <v>34</v>
      </c>
      <c r="D553">
        <v>1</v>
      </c>
      <c r="E553">
        <v>1</v>
      </c>
      <c r="F553">
        <v>0</v>
      </c>
      <c r="G553">
        <v>0</v>
      </c>
      <c r="H553">
        <v>0</v>
      </c>
      <c r="I553">
        <v>1</v>
      </c>
      <c r="J553">
        <v>2</v>
      </c>
      <c r="K553">
        <v>2</v>
      </c>
      <c r="L553">
        <v>1</v>
      </c>
      <c r="M553">
        <v>6</v>
      </c>
      <c r="N553">
        <v>1</v>
      </c>
      <c r="O553">
        <v>0</v>
      </c>
      <c r="P553">
        <v>0</v>
      </c>
      <c r="Q553">
        <v>3</v>
      </c>
      <c r="R553">
        <v>5</v>
      </c>
    </row>
    <row r="554" spans="1:18">
      <c r="A554" t="s">
        <v>1036</v>
      </c>
      <c r="B554" t="s">
        <v>175</v>
      </c>
      <c r="C554" t="s">
        <v>169</v>
      </c>
      <c r="D554">
        <v>11</v>
      </c>
      <c r="E554">
        <v>16</v>
      </c>
      <c r="F554">
        <v>3</v>
      </c>
      <c r="G554">
        <v>3</v>
      </c>
      <c r="H554">
        <v>5</v>
      </c>
      <c r="I554">
        <v>8</v>
      </c>
      <c r="J554">
        <v>6</v>
      </c>
      <c r="K554">
        <v>8</v>
      </c>
      <c r="L554">
        <v>2</v>
      </c>
      <c r="M554">
        <v>8</v>
      </c>
      <c r="N554">
        <v>6</v>
      </c>
      <c r="O554">
        <v>7</v>
      </c>
      <c r="P554">
        <v>5</v>
      </c>
      <c r="Q554">
        <v>2</v>
      </c>
      <c r="R554">
        <v>18</v>
      </c>
    </row>
    <row r="555" spans="1:18">
      <c r="A555" t="s">
        <v>1037</v>
      </c>
      <c r="B555" t="s">
        <v>175</v>
      </c>
      <c r="C555" t="s">
        <v>486</v>
      </c>
      <c r="D555">
        <v>27</v>
      </c>
      <c r="E555">
        <v>25</v>
      </c>
      <c r="F555">
        <v>29</v>
      </c>
      <c r="G555">
        <v>30</v>
      </c>
      <c r="H555">
        <v>29</v>
      </c>
      <c r="I555">
        <v>26</v>
      </c>
      <c r="J555">
        <v>20</v>
      </c>
      <c r="K555">
        <v>22</v>
      </c>
      <c r="L555">
        <v>22</v>
      </c>
      <c r="M555">
        <v>24</v>
      </c>
      <c r="N555">
        <v>105</v>
      </c>
      <c r="O555">
        <v>105</v>
      </c>
      <c r="P555">
        <v>24</v>
      </c>
      <c r="Q555">
        <v>22</v>
      </c>
      <c r="R555">
        <v>24</v>
      </c>
    </row>
    <row r="556" spans="1:18">
      <c r="A556" t="s">
        <v>1038</v>
      </c>
      <c r="B556" t="s">
        <v>175</v>
      </c>
      <c r="C556" t="s">
        <v>488</v>
      </c>
      <c r="D556">
        <v>34</v>
      </c>
      <c r="E556">
        <v>31</v>
      </c>
      <c r="F556">
        <v>34</v>
      </c>
      <c r="G556">
        <v>41</v>
      </c>
      <c r="H556">
        <v>39</v>
      </c>
      <c r="I556">
        <v>41</v>
      </c>
      <c r="J556">
        <v>37</v>
      </c>
      <c r="K556">
        <v>105</v>
      </c>
      <c r="L556">
        <v>105</v>
      </c>
      <c r="M556">
        <v>105</v>
      </c>
      <c r="N556">
        <v>105</v>
      </c>
      <c r="O556">
        <v>105</v>
      </c>
      <c r="P556">
        <v>105</v>
      </c>
      <c r="Q556">
        <v>105</v>
      </c>
      <c r="R556">
        <v>39</v>
      </c>
    </row>
    <row r="557" spans="1:18">
      <c r="A557" t="s">
        <v>1039</v>
      </c>
      <c r="B557" t="s">
        <v>175</v>
      </c>
      <c r="C557" t="s">
        <v>148</v>
      </c>
      <c r="D557">
        <v>32</v>
      </c>
      <c r="E557">
        <v>25</v>
      </c>
      <c r="F557">
        <v>23</v>
      </c>
      <c r="G557">
        <v>25</v>
      </c>
      <c r="H557">
        <v>32</v>
      </c>
      <c r="I557">
        <v>31</v>
      </c>
      <c r="J557">
        <v>19</v>
      </c>
      <c r="K557">
        <v>25</v>
      </c>
      <c r="L557">
        <v>20</v>
      </c>
      <c r="M557">
        <v>20</v>
      </c>
      <c r="N557">
        <v>23</v>
      </c>
      <c r="O557">
        <v>105</v>
      </c>
      <c r="P557">
        <v>101</v>
      </c>
      <c r="Q557">
        <v>16</v>
      </c>
      <c r="R557">
        <v>24</v>
      </c>
    </row>
    <row r="558" spans="1:18">
      <c r="A558" t="s">
        <v>1040</v>
      </c>
      <c r="B558" t="s">
        <v>175</v>
      </c>
      <c r="C558" t="s">
        <v>184</v>
      </c>
      <c r="D558">
        <v>105</v>
      </c>
      <c r="E558">
        <v>32</v>
      </c>
      <c r="F558">
        <v>26</v>
      </c>
      <c r="G558">
        <v>30</v>
      </c>
      <c r="H558">
        <v>43</v>
      </c>
      <c r="I558">
        <v>41</v>
      </c>
      <c r="J558">
        <v>30</v>
      </c>
      <c r="K558">
        <v>41</v>
      </c>
      <c r="L558">
        <v>28</v>
      </c>
      <c r="M558">
        <v>105</v>
      </c>
      <c r="N558">
        <v>105</v>
      </c>
      <c r="O558">
        <v>105</v>
      </c>
      <c r="P558">
        <v>105</v>
      </c>
      <c r="Q558">
        <v>105</v>
      </c>
      <c r="R558">
        <v>39</v>
      </c>
    </row>
    <row r="559" spans="1:18">
      <c r="A559" t="s">
        <v>1041</v>
      </c>
      <c r="B559" t="s">
        <v>175</v>
      </c>
      <c r="C559" s="4" t="s">
        <v>188</v>
      </c>
      <c r="D559">
        <v>9</v>
      </c>
      <c r="E559">
        <v>15</v>
      </c>
      <c r="F559">
        <v>3</v>
      </c>
      <c r="G559">
        <v>3</v>
      </c>
      <c r="H559">
        <v>4</v>
      </c>
      <c r="I559">
        <v>5</v>
      </c>
      <c r="J559">
        <v>6</v>
      </c>
      <c r="K559">
        <v>5</v>
      </c>
      <c r="L559">
        <v>2</v>
      </c>
      <c r="M559">
        <v>3</v>
      </c>
      <c r="N559">
        <v>4</v>
      </c>
      <c r="O559">
        <v>1</v>
      </c>
      <c r="P559">
        <v>2</v>
      </c>
      <c r="Q559">
        <v>0</v>
      </c>
      <c r="R559">
        <v>14</v>
      </c>
    </row>
    <row r="560" spans="1:18">
      <c r="A560" t="s">
        <v>1042</v>
      </c>
      <c r="B560" t="s">
        <v>175</v>
      </c>
      <c r="C560" s="35" t="s">
        <v>189</v>
      </c>
      <c r="D560">
        <v>2</v>
      </c>
      <c r="E560">
        <v>1</v>
      </c>
      <c r="F560">
        <v>0</v>
      </c>
      <c r="G560">
        <v>0</v>
      </c>
      <c r="H560">
        <v>1</v>
      </c>
      <c r="I560">
        <v>3</v>
      </c>
      <c r="J560">
        <v>0</v>
      </c>
      <c r="K560">
        <v>3</v>
      </c>
      <c r="L560">
        <v>0</v>
      </c>
      <c r="M560">
        <v>5</v>
      </c>
      <c r="N560">
        <v>2</v>
      </c>
      <c r="O560">
        <v>6</v>
      </c>
      <c r="P560">
        <v>3</v>
      </c>
      <c r="Q560">
        <v>2</v>
      </c>
      <c r="R560">
        <v>4</v>
      </c>
    </row>
    <row r="561" spans="1:18">
      <c r="A561" t="s">
        <v>1043</v>
      </c>
      <c r="B561" t="s">
        <v>175</v>
      </c>
      <c r="C561" t="s">
        <v>172</v>
      </c>
      <c r="D561">
        <v>0</v>
      </c>
      <c r="E561">
        <v>1</v>
      </c>
      <c r="F561">
        <v>0</v>
      </c>
      <c r="G561">
        <v>0</v>
      </c>
      <c r="H561">
        <v>1</v>
      </c>
      <c r="I561">
        <v>3</v>
      </c>
      <c r="J561">
        <v>0</v>
      </c>
      <c r="K561">
        <v>2</v>
      </c>
      <c r="L561">
        <v>0</v>
      </c>
      <c r="M561">
        <v>1</v>
      </c>
      <c r="N561">
        <v>0</v>
      </c>
      <c r="O561">
        <v>0</v>
      </c>
      <c r="P561">
        <v>0</v>
      </c>
      <c r="Q561">
        <v>0</v>
      </c>
      <c r="R561">
        <v>2</v>
      </c>
    </row>
    <row r="562" spans="1:18">
      <c r="A562" t="s">
        <v>1044</v>
      </c>
      <c r="B562" t="s">
        <v>175</v>
      </c>
      <c r="C562" t="s">
        <v>30</v>
      </c>
      <c r="D562">
        <v>2</v>
      </c>
      <c r="E562">
        <v>0</v>
      </c>
      <c r="F562">
        <v>0</v>
      </c>
      <c r="G562">
        <v>0</v>
      </c>
      <c r="H562">
        <v>0</v>
      </c>
      <c r="I562">
        <v>0</v>
      </c>
      <c r="J562">
        <v>0</v>
      </c>
      <c r="K562">
        <v>1</v>
      </c>
      <c r="L562">
        <v>0</v>
      </c>
      <c r="M562">
        <v>4</v>
      </c>
      <c r="N562">
        <v>2</v>
      </c>
      <c r="O562">
        <v>6</v>
      </c>
      <c r="P562">
        <v>3</v>
      </c>
      <c r="Q562">
        <v>2</v>
      </c>
      <c r="R562">
        <v>2</v>
      </c>
    </row>
    <row r="563" spans="1:18">
      <c r="A563" t="s">
        <v>1045</v>
      </c>
      <c r="B563" t="s">
        <v>175</v>
      </c>
      <c r="C563" t="s">
        <v>177</v>
      </c>
      <c r="D563">
        <v>1</v>
      </c>
      <c r="E563">
        <v>9</v>
      </c>
      <c r="F563">
        <v>16</v>
      </c>
      <c r="G563">
        <v>6</v>
      </c>
      <c r="H563">
        <v>13</v>
      </c>
      <c r="I563">
        <v>49</v>
      </c>
      <c r="J563">
        <v>38</v>
      </c>
      <c r="K563">
        <v>23</v>
      </c>
      <c r="L563">
        <v>38</v>
      </c>
      <c r="M563">
        <v>29</v>
      </c>
      <c r="N563">
        <v>31</v>
      </c>
      <c r="O563">
        <v>42</v>
      </c>
      <c r="P563">
        <v>37</v>
      </c>
      <c r="Q563">
        <v>35</v>
      </c>
      <c r="R563">
        <v>34</v>
      </c>
    </row>
    <row r="564" spans="1:18">
      <c r="A564" t="s">
        <v>1046</v>
      </c>
      <c r="B564" t="s">
        <v>175</v>
      </c>
      <c r="C564" t="s">
        <v>178</v>
      </c>
      <c r="D564">
        <v>0</v>
      </c>
      <c r="E564">
        <v>8</v>
      </c>
      <c r="F564">
        <v>16</v>
      </c>
      <c r="G564">
        <v>6</v>
      </c>
      <c r="H564">
        <v>13</v>
      </c>
      <c r="I564">
        <v>49</v>
      </c>
      <c r="J564">
        <v>34</v>
      </c>
      <c r="K564">
        <v>21</v>
      </c>
      <c r="L564">
        <v>38</v>
      </c>
      <c r="M564">
        <v>29</v>
      </c>
      <c r="N564">
        <v>31</v>
      </c>
      <c r="O564">
        <v>42</v>
      </c>
      <c r="P564">
        <v>37</v>
      </c>
      <c r="Q564">
        <v>35</v>
      </c>
      <c r="R564">
        <v>34</v>
      </c>
    </row>
    <row r="565" spans="1:18">
      <c r="A565" t="s">
        <v>1047</v>
      </c>
      <c r="B565" t="s">
        <v>176</v>
      </c>
      <c r="C565" t="s">
        <v>32</v>
      </c>
      <c r="D565">
        <v>0</v>
      </c>
      <c r="E565">
        <v>0</v>
      </c>
      <c r="F565">
        <v>0</v>
      </c>
      <c r="G565">
        <v>2</v>
      </c>
      <c r="H565">
        <v>0</v>
      </c>
      <c r="I565">
        <v>1</v>
      </c>
      <c r="J565">
        <v>0</v>
      </c>
      <c r="K565">
        <v>0</v>
      </c>
      <c r="L565">
        <v>0</v>
      </c>
      <c r="M565">
        <v>1</v>
      </c>
      <c r="N565">
        <v>0</v>
      </c>
      <c r="O565">
        <v>0</v>
      </c>
      <c r="P565">
        <v>0</v>
      </c>
      <c r="Q565">
        <v>0</v>
      </c>
      <c r="R565">
        <v>1</v>
      </c>
    </row>
    <row r="566" spans="1:18">
      <c r="A566" t="s">
        <v>1048</v>
      </c>
      <c r="B566" t="s">
        <v>176</v>
      </c>
      <c r="C566" s="4" t="s">
        <v>34</v>
      </c>
      <c r="D566">
        <v>0</v>
      </c>
      <c r="E566">
        <v>0</v>
      </c>
      <c r="F566">
        <v>0</v>
      </c>
      <c r="G566">
        <v>0</v>
      </c>
      <c r="H566">
        <v>0</v>
      </c>
      <c r="I566">
        <v>0</v>
      </c>
      <c r="J566">
        <v>0</v>
      </c>
      <c r="K566">
        <v>0</v>
      </c>
      <c r="L566">
        <v>0</v>
      </c>
      <c r="M566">
        <v>0</v>
      </c>
      <c r="N566">
        <v>0</v>
      </c>
      <c r="O566">
        <v>0</v>
      </c>
      <c r="P566">
        <v>0</v>
      </c>
      <c r="Q566">
        <v>0</v>
      </c>
      <c r="R566">
        <v>0</v>
      </c>
    </row>
    <row r="567" spans="1:18">
      <c r="A567" t="s">
        <v>1049</v>
      </c>
      <c r="B567" t="s">
        <v>176</v>
      </c>
      <c r="C567" t="s">
        <v>169</v>
      </c>
      <c r="D567">
        <v>0</v>
      </c>
      <c r="E567">
        <v>0</v>
      </c>
      <c r="F567">
        <v>0</v>
      </c>
      <c r="G567">
        <v>2</v>
      </c>
      <c r="H567">
        <v>0</v>
      </c>
      <c r="I567">
        <v>1</v>
      </c>
      <c r="J567">
        <v>0</v>
      </c>
      <c r="K567">
        <v>0</v>
      </c>
      <c r="L567">
        <v>0</v>
      </c>
      <c r="M567">
        <v>1</v>
      </c>
      <c r="N567">
        <v>0</v>
      </c>
      <c r="O567">
        <v>0</v>
      </c>
      <c r="P567">
        <v>0</v>
      </c>
      <c r="Q567">
        <v>0</v>
      </c>
      <c r="R567">
        <v>1</v>
      </c>
    </row>
    <row r="568" spans="1:18">
      <c r="A568" t="s">
        <v>1050</v>
      </c>
      <c r="B568" t="s">
        <v>176</v>
      </c>
      <c r="C568" t="s">
        <v>170</v>
      </c>
      <c r="D568">
        <v>0</v>
      </c>
      <c r="E568">
        <v>8</v>
      </c>
      <c r="F568">
        <v>16</v>
      </c>
      <c r="G568">
        <v>6</v>
      </c>
      <c r="H568">
        <v>13</v>
      </c>
      <c r="I568">
        <v>49</v>
      </c>
      <c r="J568">
        <v>34</v>
      </c>
      <c r="K568">
        <v>21</v>
      </c>
      <c r="L568">
        <v>38</v>
      </c>
      <c r="M568">
        <v>29</v>
      </c>
      <c r="N568">
        <v>31</v>
      </c>
      <c r="O568">
        <v>42</v>
      </c>
      <c r="P568">
        <v>37</v>
      </c>
      <c r="Q568">
        <v>35</v>
      </c>
      <c r="R568">
        <v>34</v>
      </c>
    </row>
    <row r="569" spans="1:18">
      <c r="A569" t="s">
        <v>1051</v>
      </c>
      <c r="B569" t="s">
        <v>176</v>
      </c>
      <c r="C569" t="s">
        <v>171</v>
      </c>
      <c r="D569">
        <v>1</v>
      </c>
      <c r="E569">
        <v>9</v>
      </c>
      <c r="F569">
        <v>16</v>
      </c>
      <c r="G569">
        <v>6</v>
      </c>
      <c r="H569">
        <v>13</v>
      </c>
      <c r="I569">
        <v>49</v>
      </c>
      <c r="J569">
        <v>38</v>
      </c>
      <c r="K569">
        <v>23</v>
      </c>
      <c r="L569">
        <v>38</v>
      </c>
      <c r="M569">
        <v>29</v>
      </c>
      <c r="N569">
        <v>31</v>
      </c>
      <c r="O569">
        <v>42</v>
      </c>
      <c r="P569">
        <v>37</v>
      </c>
      <c r="Q569">
        <v>35</v>
      </c>
      <c r="R569">
        <v>34</v>
      </c>
    </row>
    <row r="570" spans="1:18">
      <c r="A570" t="s">
        <v>1052</v>
      </c>
      <c r="B570" t="s">
        <v>176</v>
      </c>
      <c r="C570" t="s">
        <v>148</v>
      </c>
      <c r="D570">
        <v>0</v>
      </c>
      <c r="E570">
        <v>0</v>
      </c>
      <c r="F570">
        <v>0</v>
      </c>
      <c r="G570">
        <v>25</v>
      </c>
      <c r="H570">
        <v>0</v>
      </c>
      <c r="I570">
        <v>31</v>
      </c>
      <c r="J570">
        <v>0</v>
      </c>
      <c r="K570">
        <v>0</v>
      </c>
      <c r="L570">
        <v>0</v>
      </c>
      <c r="M570">
        <v>39</v>
      </c>
      <c r="N570">
        <v>0</v>
      </c>
      <c r="O570">
        <v>0</v>
      </c>
      <c r="P570">
        <v>0</v>
      </c>
      <c r="Q570">
        <v>0</v>
      </c>
      <c r="R570">
        <v>19</v>
      </c>
    </row>
    <row r="571" spans="1:18">
      <c r="A571" t="s">
        <v>1053</v>
      </c>
      <c r="B571" t="s">
        <v>176</v>
      </c>
      <c r="C571" t="s">
        <v>184</v>
      </c>
      <c r="D571">
        <v>0</v>
      </c>
      <c r="E571">
        <v>0</v>
      </c>
      <c r="F571">
        <v>0</v>
      </c>
      <c r="G571">
        <v>27</v>
      </c>
      <c r="H571">
        <v>0</v>
      </c>
      <c r="I571">
        <v>31</v>
      </c>
      <c r="J571">
        <v>0</v>
      </c>
      <c r="K571">
        <v>0</v>
      </c>
      <c r="L571">
        <v>0</v>
      </c>
      <c r="M571">
        <v>39</v>
      </c>
      <c r="N571">
        <v>0</v>
      </c>
      <c r="O571">
        <v>0</v>
      </c>
      <c r="P571">
        <v>0</v>
      </c>
      <c r="Q571">
        <v>0</v>
      </c>
      <c r="R571">
        <v>19</v>
      </c>
    </row>
    <row r="572" spans="1:18">
      <c r="A572" t="s">
        <v>1054</v>
      </c>
      <c r="B572" t="s">
        <v>176</v>
      </c>
      <c r="C572" s="4" t="s">
        <v>188</v>
      </c>
      <c r="D572">
        <v>0</v>
      </c>
      <c r="E572">
        <v>0</v>
      </c>
      <c r="F572">
        <v>0</v>
      </c>
      <c r="G572">
        <v>2</v>
      </c>
      <c r="H572">
        <v>0</v>
      </c>
      <c r="I572">
        <v>1</v>
      </c>
      <c r="J572">
        <v>0</v>
      </c>
      <c r="K572">
        <v>0</v>
      </c>
      <c r="L572">
        <v>0</v>
      </c>
      <c r="M572">
        <v>0</v>
      </c>
      <c r="N572">
        <v>0</v>
      </c>
      <c r="O572">
        <v>0</v>
      </c>
      <c r="P572">
        <v>0</v>
      </c>
      <c r="Q572">
        <v>0</v>
      </c>
      <c r="R572">
        <v>1</v>
      </c>
    </row>
    <row r="573" spans="1:18">
      <c r="A573" t="s">
        <v>1055</v>
      </c>
      <c r="B573" t="s">
        <v>176</v>
      </c>
      <c r="C573" s="35" t="s">
        <v>189</v>
      </c>
      <c r="D573">
        <v>0</v>
      </c>
      <c r="E573">
        <v>0</v>
      </c>
      <c r="F573">
        <v>0</v>
      </c>
      <c r="G573">
        <v>0</v>
      </c>
      <c r="H573">
        <v>0</v>
      </c>
      <c r="I573">
        <v>0</v>
      </c>
      <c r="J573">
        <v>0</v>
      </c>
      <c r="K573">
        <v>0</v>
      </c>
      <c r="L573">
        <v>0</v>
      </c>
      <c r="M573">
        <v>1</v>
      </c>
      <c r="N573">
        <v>0</v>
      </c>
      <c r="O573">
        <v>0</v>
      </c>
      <c r="P573">
        <v>0</v>
      </c>
      <c r="Q573">
        <v>0</v>
      </c>
      <c r="R573">
        <v>0</v>
      </c>
    </row>
    <row r="574" spans="1:18">
      <c r="A574" t="s">
        <v>1056</v>
      </c>
      <c r="B574" t="s">
        <v>176</v>
      </c>
      <c r="C574" t="s">
        <v>172</v>
      </c>
      <c r="D574">
        <v>0</v>
      </c>
      <c r="E574">
        <v>0</v>
      </c>
      <c r="F574">
        <v>0</v>
      </c>
      <c r="G574">
        <v>0</v>
      </c>
      <c r="H574">
        <v>0</v>
      </c>
      <c r="I574">
        <v>0</v>
      </c>
      <c r="J574">
        <v>0</v>
      </c>
      <c r="K574">
        <v>0</v>
      </c>
      <c r="L574">
        <v>0</v>
      </c>
      <c r="M574">
        <v>1</v>
      </c>
      <c r="N574">
        <v>0</v>
      </c>
      <c r="O574">
        <v>0</v>
      </c>
      <c r="P574">
        <v>0</v>
      </c>
      <c r="Q574">
        <v>0</v>
      </c>
      <c r="R574">
        <v>0</v>
      </c>
    </row>
    <row r="575" spans="1:18">
      <c r="A575" t="s">
        <v>1057</v>
      </c>
      <c r="B575" t="s">
        <v>176</v>
      </c>
      <c r="C575" t="s">
        <v>30</v>
      </c>
      <c r="D575">
        <v>0</v>
      </c>
      <c r="E575">
        <v>0</v>
      </c>
      <c r="F575">
        <v>0</v>
      </c>
      <c r="G575">
        <v>0</v>
      </c>
      <c r="H575">
        <v>0</v>
      </c>
      <c r="I575">
        <v>0</v>
      </c>
      <c r="J575">
        <v>0</v>
      </c>
      <c r="K575">
        <v>0</v>
      </c>
      <c r="L575">
        <v>0</v>
      </c>
      <c r="M575">
        <v>0</v>
      </c>
      <c r="N575">
        <v>0</v>
      </c>
      <c r="O575">
        <v>0</v>
      </c>
      <c r="P575">
        <v>0</v>
      </c>
      <c r="Q575">
        <v>0</v>
      </c>
      <c r="R575">
        <v>0</v>
      </c>
    </row>
    <row r="576" spans="1:18">
      <c r="A576" t="s">
        <v>1058</v>
      </c>
      <c r="B576" t="s">
        <v>176</v>
      </c>
      <c r="C576" t="s">
        <v>177</v>
      </c>
      <c r="D576">
        <v>0</v>
      </c>
      <c r="E576">
        <v>0</v>
      </c>
      <c r="F576">
        <v>0</v>
      </c>
      <c r="G576">
        <v>0</v>
      </c>
      <c r="H576">
        <v>0</v>
      </c>
      <c r="I576">
        <v>4</v>
      </c>
      <c r="J576">
        <v>4</v>
      </c>
      <c r="K576">
        <v>0</v>
      </c>
      <c r="L576">
        <v>1</v>
      </c>
      <c r="M576">
        <v>0</v>
      </c>
      <c r="N576">
        <v>1</v>
      </c>
      <c r="O576">
        <v>0</v>
      </c>
      <c r="P576">
        <v>1</v>
      </c>
      <c r="Q576">
        <v>2</v>
      </c>
      <c r="R576">
        <v>2</v>
      </c>
    </row>
    <row r="577" spans="1:18">
      <c r="A577" t="s">
        <v>1059</v>
      </c>
      <c r="B577" t="s">
        <v>176</v>
      </c>
      <c r="C577" t="s">
        <v>178</v>
      </c>
      <c r="D577">
        <v>0</v>
      </c>
      <c r="E577">
        <v>0</v>
      </c>
      <c r="F577">
        <v>0</v>
      </c>
      <c r="G577">
        <v>0</v>
      </c>
      <c r="H577">
        <v>0</v>
      </c>
      <c r="I577">
        <v>3</v>
      </c>
      <c r="J577">
        <v>2</v>
      </c>
      <c r="K577">
        <v>0</v>
      </c>
      <c r="L577">
        <v>1</v>
      </c>
      <c r="M577">
        <v>0</v>
      </c>
      <c r="N577">
        <v>1</v>
      </c>
      <c r="O577">
        <v>0</v>
      </c>
      <c r="P577">
        <v>1</v>
      </c>
      <c r="Q577">
        <v>2</v>
      </c>
      <c r="R577">
        <v>2</v>
      </c>
    </row>
    <row r="578" spans="1:18">
      <c r="A578" t="s">
        <v>1060</v>
      </c>
      <c r="B578" t="s">
        <v>173</v>
      </c>
      <c r="C578" t="s">
        <v>32</v>
      </c>
      <c r="D578">
        <v>499</v>
      </c>
      <c r="E578">
        <v>530</v>
      </c>
      <c r="F578">
        <v>603</v>
      </c>
      <c r="G578">
        <v>516</v>
      </c>
      <c r="H578">
        <v>537</v>
      </c>
      <c r="I578">
        <v>570</v>
      </c>
      <c r="J578">
        <v>527</v>
      </c>
      <c r="K578">
        <v>666</v>
      </c>
      <c r="L578">
        <v>426</v>
      </c>
      <c r="M578">
        <v>625</v>
      </c>
      <c r="N578">
        <v>576</v>
      </c>
      <c r="O578">
        <v>618</v>
      </c>
      <c r="P578">
        <v>577</v>
      </c>
      <c r="Q578">
        <v>557</v>
      </c>
      <c r="R578">
        <v>664</v>
      </c>
    </row>
    <row r="579" spans="1:18">
      <c r="A579" t="s">
        <v>1061</v>
      </c>
      <c r="B579" t="s">
        <v>173</v>
      </c>
      <c r="C579" s="4" t="s">
        <v>34</v>
      </c>
      <c r="D579">
        <v>312</v>
      </c>
      <c r="E579">
        <v>314</v>
      </c>
      <c r="F579">
        <v>343</v>
      </c>
      <c r="G579">
        <v>326</v>
      </c>
      <c r="H579">
        <v>347</v>
      </c>
      <c r="I579">
        <v>375</v>
      </c>
      <c r="J579">
        <v>418</v>
      </c>
      <c r="K579">
        <v>503</v>
      </c>
      <c r="L579">
        <v>321</v>
      </c>
      <c r="M579">
        <v>464</v>
      </c>
      <c r="N579">
        <v>471</v>
      </c>
      <c r="O579">
        <v>517</v>
      </c>
      <c r="P579">
        <v>475</v>
      </c>
      <c r="Q579">
        <v>451</v>
      </c>
      <c r="R579">
        <v>552</v>
      </c>
    </row>
    <row r="580" spans="1:18">
      <c r="A580" t="s">
        <v>1062</v>
      </c>
      <c r="B580" t="s">
        <v>173</v>
      </c>
      <c r="C580" t="s">
        <v>169</v>
      </c>
      <c r="D580">
        <v>187</v>
      </c>
      <c r="E580">
        <v>216</v>
      </c>
      <c r="F580">
        <v>260</v>
      </c>
      <c r="G580">
        <v>190</v>
      </c>
      <c r="H580">
        <v>190</v>
      </c>
      <c r="I580">
        <v>195</v>
      </c>
      <c r="J580">
        <v>109</v>
      </c>
      <c r="K580">
        <v>163</v>
      </c>
      <c r="L580">
        <v>105</v>
      </c>
      <c r="M580">
        <v>161</v>
      </c>
      <c r="N580">
        <v>105</v>
      </c>
      <c r="O580">
        <v>101</v>
      </c>
      <c r="P580">
        <v>102</v>
      </c>
      <c r="Q580">
        <v>106</v>
      </c>
      <c r="R580">
        <v>112</v>
      </c>
    </row>
    <row r="581" spans="1:18">
      <c r="A581" t="s">
        <v>1063</v>
      </c>
      <c r="B581" t="s">
        <v>173</v>
      </c>
      <c r="C581" t="s">
        <v>486</v>
      </c>
      <c r="D581">
        <v>9</v>
      </c>
      <c r="E581">
        <v>7</v>
      </c>
      <c r="F581">
        <v>5</v>
      </c>
      <c r="G581">
        <v>5</v>
      </c>
      <c r="H581">
        <v>5</v>
      </c>
      <c r="I581">
        <v>4</v>
      </c>
      <c r="J581">
        <v>4</v>
      </c>
      <c r="K581">
        <v>5</v>
      </c>
      <c r="L581">
        <v>4</v>
      </c>
      <c r="M581">
        <v>3</v>
      </c>
      <c r="N581">
        <v>2</v>
      </c>
      <c r="O581">
        <v>2</v>
      </c>
      <c r="P581">
        <v>2</v>
      </c>
      <c r="Q581">
        <v>1</v>
      </c>
      <c r="R581">
        <v>1</v>
      </c>
    </row>
    <row r="582" spans="1:18">
      <c r="A582" t="s">
        <v>1064</v>
      </c>
      <c r="B582" t="s">
        <v>173</v>
      </c>
      <c r="C582" t="s">
        <v>488</v>
      </c>
      <c r="D582">
        <v>39</v>
      </c>
      <c r="E582">
        <v>37</v>
      </c>
      <c r="F582">
        <v>36</v>
      </c>
      <c r="G582">
        <v>36</v>
      </c>
      <c r="H582">
        <v>37</v>
      </c>
      <c r="I582">
        <v>39</v>
      </c>
      <c r="J582">
        <v>40</v>
      </c>
      <c r="K582">
        <v>41</v>
      </c>
      <c r="L582">
        <v>41</v>
      </c>
      <c r="M582">
        <v>37</v>
      </c>
      <c r="N582">
        <v>32</v>
      </c>
      <c r="O582">
        <v>29</v>
      </c>
      <c r="P582">
        <v>28</v>
      </c>
      <c r="Q582">
        <v>28</v>
      </c>
      <c r="R582">
        <v>26</v>
      </c>
    </row>
    <row r="583" spans="1:18">
      <c r="A583" t="s">
        <v>1065</v>
      </c>
      <c r="B583" t="s">
        <v>173</v>
      </c>
      <c r="C583" t="s">
        <v>148</v>
      </c>
      <c r="D583">
        <v>9</v>
      </c>
      <c r="E583">
        <v>10</v>
      </c>
      <c r="F583">
        <v>9</v>
      </c>
      <c r="G583">
        <v>4</v>
      </c>
      <c r="H583">
        <v>5</v>
      </c>
      <c r="I583">
        <v>5</v>
      </c>
      <c r="J583">
        <v>4</v>
      </c>
      <c r="K583">
        <v>4</v>
      </c>
      <c r="L583">
        <v>5</v>
      </c>
      <c r="M583">
        <v>6</v>
      </c>
      <c r="N583">
        <v>3</v>
      </c>
      <c r="O583">
        <v>2</v>
      </c>
      <c r="P583">
        <v>2</v>
      </c>
      <c r="Q583">
        <v>2</v>
      </c>
      <c r="R583">
        <v>1</v>
      </c>
    </row>
    <row r="584" spans="1:18">
      <c r="A584" t="s">
        <v>1066</v>
      </c>
      <c r="B584" t="s">
        <v>173</v>
      </c>
      <c r="C584" t="s">
        <v>184</v>
      </c>
      <c r="D584">
        <v>39</v>
      </c>
      <c r="E584">
        <v>40</v>
      </c>
      <c r="F584">
        <v>37</v>
      </c>
      <c r="G584">
        <v>36</v>
      </c>
      <c r="H584">
        <v>37</v>
      </c>
      <c r="I584">
        <v>37</v>
      </c>
      <c r="J584">
        <v>40</v>
      </c>
      <c r="K584">
        <v>40</v>
      </c>
      <c r="L584">
        <v>41</v>
      </c>
      <c r="M584">
        <v>44</v>
      </c>
      <c r="N584">
        <v>40</v>
      </c>
      <c r="O584">
        <v>28</v>
      </c>
      <c r="P584">
        <v>27</v>
      </c>
      <c r="Q584">
        <v>31</v>
      </c>
      <c r="R584">
        <v>26</v>
      </c>
    </row>
    <row r="585" spans="1:18">
      <c r="A585" t="s">
        <v>1067</v>
      </c>
      <c r="B585" t="s">
        <v>173</v>
      </c>
      <c r="C585" s="4" t="s">
        <v>188</v>
      </c>
      <c r="D585">
        <v>89</v>
      </c>
      <c r="E585">
        <v>111</v>
      </c>
      <c r="F585">
        <v>178</v>
      </c>
      <c r="G585">
        <v>138</v>
      </c>
      <c r="H585">
        <v>132</v>
      </c>
      <c r="I585">
        <v>130</v>
      </c>
      <c r="J585">
        <v>24</v>
      </c>
      <c r="K585">
        <v>61</v>
      </c>
      <c r="L585">
        <v>45</v>
      </c>
      <c r="M585">
        <v>85</v>
      </c>
      <c r="N585">
        <v>28</v>
      </c>
      <c r="O585">
        <v>61</v>
      </c>
      <c r="P585">
        <v>66</v>
      </c>
      <c r="Q585">
        <v>64</v>
      </c>
      <c r="R585">
        <v>100</v>
      </c>
    </row>
    <row r="586" spans="1:18">
      <c r="A586" t="s">
        <v>1068</v>
      </c>
      <c r="B586" t="s">
        <v>173</v>
      </c>
      <c r="C586" s="35" t="s">
        <v>189</v>
      </c>
      <c r="D586">
        <v>98</v>
      </c>
      <c r="E586">
        <v>105</v>
      </c>
      <c r="F586">
        <v>82</v>
      </c>
      <c r="G586">
        <v>52</v>
      </c>
      <c r="H586">
        <v>58</v>
      </c>
      <c r="I586">
        <v>65</v>
      </c>
      <c r="J586">
        <v>85</v>
      </c>
      <c r="K586">
        <v>102</v>
      </c>
      <c r="L586">
        <v>60</v>
      </c>
      <c r="M586">
        <v>76</v>
      </c>
      <c r="N586">
        <v>77</v>
      </c>
      <c r="O586">
        <v>40</v>
      </c>
      <c r="P586">
        <v>36</v>
      </c>
      <c r="Q586">
        <v>42</v>
      </c>
      <c r="R586">
        <v>12</v>
      </c>
    </row>
    <row r="587" spans="1:18">
      <c r="A587" t="s">
        <v>1069</v>
      </c>
      <c r="B587" t="s">
        <v>173</v>
      </c>
      <c r="C587" t="s">
        <v>172</v>
      </c>
      <c r="D587">
        <v>71</v>
      </c>
      <c r="E587">
        <v>65</v>
      </c>
      <c r="F587">
        <v>76</v>
      </c>
      <c r="G587">
        <v>45</v>
      </c>
      <c r="H587">
        <v>57</v>
      </c>
      <c r="I587">
        <v>57</v>
      </c>
      <c r="J587">
        <v>70</v>
      </c>
      <c r="K587">
        <v>82</v>
      </c>
      <c r="L587">
        <v>41</v>
      </c>
      <c r="M587">
        <v>48</v>
      </c>
      <c r="N587">
        <v>43</v>
      </c>
      <c r="O587">
        <v>34</v>
      </c>
      <c r="P587">
        <v>34</v>
      </c>
      <c r="Q587">
        <v>37</v>
      </c>
      <c r="R587">
        <v>11</v>
      </c>
    </row>
    <row r="588" spans="1:18">
      <c r="A588" t="s">
        <v>1070</v>
      </c>
      <c r="B588" t="s">
        <v>173</v>
      </c>
      <c r="C588" t="s">
        <v>30</v>
      </c>
      <c r="D588">
        <v>27</v>
      </c>
      <c r="E588">
        <v>40</v>
      </c>
      <c r="F588">
        <v>6</v>
      </c>
      <c r="G588">
        <v>7</v>
      </c>
      <c r="H588">
        <v>1</v>
      </c>
      <c r="I588">
        <v>8</v>
      </c>
      <c r="J588">
        <v>15</v>
      </c>
      <c r="K588">
        <v>20</v>
      </c>
      <c r="L588">
        <v>19</v>
      </c>
      <c r="M588">
        <v>28</v>
      </c>
      <c r="N588">
        <v>34</v>
      </c>
      <c r="O588">
        <v>6</v>
      </c>
      <c r="P588">
        <v>2</v>
      </c>
      <c r="Q588">
        <v>5</v>
      </c>
      <c r="R588">
        <v>1</v>
      </c>
    </row>
    <row r="589" spans="1:18">
      <c r="A589" t="s">
        <v>1071</v>
      </c>
      <c r="B589" t="s">
        <v>174</v>
      </c>
      <c r="C589" t="s">
        <v>32</v>
      </c>
      <c r="D589">
        <v>45</v>
      </c>
      <c r="E589">
        <v>29</v>
      </c>
      <c r="F589">
        <v>78</v>
      </c>
      <c r="G589">
        <v>78</v>
      </c>
      <c r="H589">
        <v>47</v>
      </c>
      <c r="I589">
        <v>66</v>
      </c>
      <c r="J589">
        <v>71</v>
      </c>
      <c r="K589">
        <v>95</v>
      </c>
      <c r="L589">
        <v>27</v>
      </c>
      <c r="M589">
        <v>95</v>
      </c>
      <c r="N589">
        <v>83</v>
      </c>
      <c r="O589">
        <v>93</v>
      </c>
      <c r="P589">
        <v>75</v>
      </c>
      <c r="Q589">
        <v>71</v>
      </c>
      <c r="R589">
        <v>105</v>
      </c>
    </row>
    <row r="590" spans="1:18">
      <c r="A590" t="s">
        <v>1072</v>
      </c>
      <c r="B590" t="s">
        <v>174</v>
      </c>
      <c r="C590" s="4" t="s">
        <v>34</v>
      </c>
      <c r="D590">
        <v>38</v>
      </c>
      <c r="E590">
        <v>26</v>
      </c>
      <c r="F590">
        <v>72</v>
      </c>
      <c r="G590">
        <v>63</v>
      </c>
      <c r="H590">
        <v>44</v>
      </c>
      <c r="I590">
        <v>58</v>
      </c>
      <c r="J590">
        <v>71</v>
      </c>
      <c r="K590">
        <v>86</v>
      </c>
      <c r="L590">
        <v>22</v>
      </c>
      <c r="M590">
        <v>81</v>
      </c>
      <c r="N590">
        <v>75</v>
      </c>
      <c r="O590">
        <v>91</v>
      </c>
      <c r="P590">
        <v>68</v>
      </c>
      <c r="Q590">
        <v>65</v>
      </c>
      <c r="R590">
        <v>100</v>
      </c>
    </row>
    <row r="591" spans="1:18">
      <c r="A591" t="s">
        <v>1073</v>
      </c>
      <c r="B591" t="s">
        <v>174</v>
      </c>
      <c r="C591" t="s">
        <v>169</v>
      </c>
      <c r="D591">
        <v>7</v>
      </c>
      <c r="E591">
        <v>3</v>
      </c>
      <c r="F591">
        <v>6</v>
      </c>
      <c r="G591">
        <v>15</v>
      </c>
      <c r="H591">
        <v>3</v>
      </c>
      <c r="I591">
        <v>8</v>
      </c>
      <c r="J591">
        <v>0</v>
      </c>
      <c r="K591">
        <v>9</v>
      </c>
      <c r="L591">
        <v>5</v>
      </c>
      <c r="M591">
        <v>14</v>
      </c>
      <c r="N591">
        <v>8</v>
      </c>
      <c r="O591">
        <v>2</v>
      </c>
      <c r="P591">
        <v>7</v>
      </c>
      <c r="Q591">
        <v>6</v>
      </c>
      <c r="R591">
        <v>5</v>
      </c>
    </row>
    <row r="592" spans="1:18">
      <c r="A592" t="s">
        <v>1074</v>
      </c>
      <c r="B592" t="s">
        <v>174</v>
      </c>
      <c r="C592" t="s">
        <v>486</v>
      </c>
      <c r="D592">
        <v>3</v>
      </c>
      <c r="E592">
        <v>1</v>
      </c>
      <c r="F592">
        <v>1</v>
      </c>
      <c r="G592">
        <v>1</v>
      </c>
      <c r="H592">
        <v>1</v>
      </c>
      <c r="I592">
        <v>1</v>
      </c>
      <c r="J592">
        <v>1</v>
      </c>
      <c r="K592">
        <v>1</v>
      </c>
      <c r="L592">
        <v>1</v>
      </c>
      <c r="M592">
        <v>1</v>
      </c>
      <c r="N592">
        <v>1</v>
      </c>
      <c r="O592">
        <v>1</v>
      </c>
      <c r="P592">
        <v>1</v>
      </c>
      <c r="Q592">
        <v>1</v>
      </c>
      <c r="R592">
        <v>1</v>
      </c>
    </row>
    <row r="593" spans="1:18">
      <c r="A593" t="s">
        <v>1075</v>
      </c>
      <c r="B593" t="s">
        <v>174</v>
      </c>
      <c r="C593" t="s">
        <v>488</v>
      </c>
      <c r="D593">
        <v>27</v>
      </c>
      <c r="E593">
        <v>24</v>
      </c>
      <c r="F593">
        <v>23</v>
      </c>
      <c r="G593">
        <v>24</v>
      </c>
      <c r="H593">
        <v>9</v>
      </c>
      <c r="I593">
        <v>14</v>
      </c>
      <c r="J593">
        <v>16</v>
      </c>
      <c r="K593">
        <v>22</v>
      </c>
      <c r="L593">
        <v>26</v>
      </c>
      <c r="M593">
        <v>17</v>
      </c>
      <c r="N593">
        <v>15</v>
      </c>
      <c r="O593">
        <v>15</v>
      </c>
      <c r="P593">
        <v>14</v>
      </c>
      <c r="Q593">
        <v>13</v>
      </c>
      <c r="R593">
        <v>10</v>
      </c>
    </row>
    <row r="594" spans="1:18">
      <c r="A594" t="s">
        <v>1076</v>
      </c>
      <c r="B594" t="s">
        <v>174</v>
      </c>
      <c r="C594" t="s">
        <v>148</v>
      </c>
      <c r="D594">
        <v>7</v>
      </c>
      <c r="E594">
        <v>6</v>
      </c>
      <c r="F594">
        <v>1</v>
      </c>
      <c r="G594">
        <v>1</v>
      </c>
      <c r="H594">
        <v>3</v>
      </c>
      <c r="I594">
        <v>1</v>
      </c>
      <c r="J594">
        <v>1</v>
      </c>
      <c r="K594">
        <v>1</v>
      </c>
      <c r="L594">
        <v>8</v>
      </c>
      <c r="M594">
        <v>1</v>
      </c>
      <c r="N594">
        <v>1</v>
      </c>
      <c r="O594">
        <v>1</v>
      </c>
      <c r="P594">
        <v>1</v>
      </c>
      <c r="Q594">
        <v>1</v>
      </c>
      <c r="R594">
        <v>1</v>
      </c>
    </row>
    <row r="595" spans="1:18">
      <c r="A595" t="s">
        <v>1077</v>
      </c>
      <c r="B595" t="s">
        <v>174</v>
      </c>
      <c r="C595" t="s">
        <v>184</v>
      </c>
      <c r="D595">
        <v>87</v>
      </c>
      <c r="E595">
        <v>51</v>
      </c>
      <c r="F595">
        <v>13</v>
      </c>
      <c r="G595">
        <v>25</v>
      </c>
      <c r="H595">
        <v>10</v>
      </c>
      <c r="I595">
        <v>25</v>
      </c>
      <c r="J595">
        <v>8</v>
      </c>
      <c r="K595">
        <v>18</v>
      </c>
      <c r="L595">
        <v>38</v>
      </c>
      <c r="M595">
        <v>27</v>
      </c>
      <c r="N595">
        <v>18</v>
      </c>
      <c r="O595">
        <v>11</v>
      </c>
      <c r="P595">
        <v>15</v>
      </c>
      <c r="Q595">
        <v>18</v>
      </c>
      <c r="R595">
        <v>10</v>
      </c>
    </row>
    <row r="596" spans="1:18">
      <c r="A596" t="s">
        <v>1078</v>
      </c>
      <c r="B596" t="s">
        <v>174</v>
      </c>
      <c r="C596" s="4" t="s">
        <v>188</v>
      </c>
      <c r="D596">
        <v>1</v>
      </c>
      <c r="E596">
        <v>0</v>
      </c>
      <c r="F596">
        <v>2</v>
      </c>
      <c r="G596">
        <v>14</v>
      </c>
      <c r="H596">
        <v>2</v>
      </c>
      <c r="I596">
        <v>8</v>
      </c>
      <c r="J596">
        <v>0</v>
      </c>
      <c r="K596">
        <v>5</v>
      </c>
      <c r="L596">
        <v>2</v>
      </c>
      <c r="M596">
        <v>7</v>
      </c>
      <c r="N596">
        <v>3</v>
      </c>
      <c r="O596">
        <v>1</v>
      </c>
      <c r="P596">
        <v>6</v>
      </c>
      <c r="Q596">
        <v>4</v>
      </c>
      <c r="R596">
        <v>4</v>
      </c>
    </row>
    <row r="597" spans="1:18">
      <c r="A597" t="s">
        <v>1079</v>
      </c>
      <c r="B597" t="s">
        <v>174</v>
      </c>
      <c r="C597" s="35" t="s">
        <v>189</v>
      </c>
      <c r="D597">
        <v>6</v>
      </c>
      <c r="E597">
        <v>3</v>
      </c>
      <c r="F597">
        <v>4</v>
      </c>
      <c r="G597">
        <v>1</v>
      </c>
      <c r="H597">
        <v>1</v>
      </c>
      <c r="I597">
        <v>0</v>
      </c>
      <c r="J597">
        <v>0</v>
      </c>
      <c r="K597">
        <v>4</v>
      </c>
      <c r="L597">
        <v>3</v>
      </c>
      <c r="M597">
        <v>7</v>
      </c>
      <c r="N597">
        <v>5</v>
      </c>
      <c r="O597">
        <v>1</v>
      </c>
      <c r="P597">
        <v>1</v>
      </c>
      <c r="Q597">
        <v>2</v>
      </c>
      <c r="R597">
        <v>1</v>
      </c>
    </row>
    <row r="598" spans="1:18">
      <c r="A598" t="s">
        <v>1080</v>
      </c>
      <c r="B598" t="s">
        <v>174</v>
      </c>
      <c r="C598" t="s">
        <v>172</v>
      </c>
      <c r="D598">
        <v>0</v>
      </c>
      <c r="E598">
        <v>1</v>
      </c>
      <c r="F598">
        <v>4</v>
      </c>
      <c r="G598">
        <v>0</v>
      </c>
      <c r="H598">
        <v>1</v>
      </c>
      <c r="I598">
        <v>0</v>
      </c>
      <c r="J598">
        <v>0</v>
      </c>
      <c r="K598">
        <v>3</v>
      </c>
      <c r="L598">
        <v>1</v>
      </c>
      <c r="M598">
        <v>4</v>
      </c>
      <c r="N598">
        <v>2</v>
      </c>
      <c r="O598">
        <v>1</v>
      </c>
      <c r="P598">
        <v>1</v>
      </c>
      <c r="Q598">
        <v>1</v>
      </c>
      <c r="R598">
        <v>1</v>
      </c>
    </row>
    <row r="599" spans="1:18">
      <c r="A599" t="s">
        <v>1081</v>
      </c>
      <c r="B599" t="s">
        <v>174</v>
      </c>
      <c r="C599" t="s">
        <v>30</v>
      </c>
      <c r="D599">
        <v>6</v>
      </c>
      <c r="E599">
        <v>2</v>
      </c>
      <c r="F599">
        <v>0</v>
      </c>
      <c r="G599">
        <v>1</v>
      </c>
      <c r="H599">
        <v>0</v>
      </c>
      <c r="I599">
        <v>0</v>
      </c>
      <c r="J599">
        <v>0</v>
      </c>
      <c r="K599">
        <v>1</v>
      </c>
      <c r="L599">
        <v>2</v>
      </c>
      <c r="M599">
        <v>3</v>
      </c>
      <c r="N599">
        <v>3</v>
      </c>
      <c r="O599">
        <v>0</v>
      </c>
      <c r="P599">
        <v>0</v>
      </c>
      <c r="Q599">
        <v>1</v>
      </c>
      <c r="R599">
        <v>0</v>
      </c>
    </row>
    <row r="600" spans="1:18">
      <c r="A600" t="s">
        <v>1082</v>
      </c>
      <c r="B600" t="s">
        <v>175</v>
      </c>
      <c r="C600" t="s">
        <v>32</v>
      </c>
      <c r="D600">
        <v>499</v>
      </c>
      <c r="E600">
        <v>530</v>
      </c>
      <c r="F600">
        <v>603</v>
      </c>
      <c r="G600">
        <v>516</v>
      </c>
      <c r="H600">
        <v>537</v>
      </c>
      <c r="I600">
        <v>570</v>
      </c>
      <c r="J600">
        <v>527</v>
      </c>
      <c r="K600">
        <v>666</v>
      </c>
      <c r="L600">
        <v>426</v>
      </c>
      <c r="M600">
        <v>625</v>
      </c>
      <c r="N600">
        <v>576</v>
      </c>
      <c r="O600">
        <v>618</v>
      </c>
      <c r="P600">
        <v>577</v>
      </c>
      <c r="Q600">
        <v>557</v>
      </c>
      <c r="R600">
        <v>664</v>
      </c>
    </row>
    <row r="601" spans="1:18">
      <c r="A601" t="s">
        <v>1083</v>
      </c>
      <c r="B601" t="s">
        <v>175</v>
      </c>
      <c r="C601" s="4" t="s">
        <v>34</v>
      </c>
      <c r="D601">
        <v>245</v>
      </c>
      <c r="E601">
        <v>267</v>
      </c>
      <c r="F601">
        <v>293</v>
      </c>
      <c r="G601">
        <v>267</v>
      </c>
      <c r="H601">
        <v>306</v>
      </c>
      <c r="I601">
        <v>336</v>
      </c>
      <c r="J601">
        <v>396</v>
      </c>
      <c r="K601">
        <v>484</v>
      </c>
      <c r="L601">
        <v>311</v>
      </c>
      <c r="M601">
        <v>451</v>
      </c>
      <c r="N601">
        <v>451</v>
      </c>
      <c r="O601">
        <v>494</v>
      </c>
      <c r="P601">
        <v>451</v>
      </c>
      <c r="Q601">
        <v>422</v>
      </c>
      <c r="R601">
        <v>512</v>
      </c>
    </row>
    <row r="602" spans="1:18">
      <c r="A602" t="s">
        <v>1084</v>
      </c>
      <c r="B602" t="s">
        <v>175</v>
      </c>
      <c r="C602" t="s">
        <v>169</v>
      </c>
      <c r="D602">
        <v>254</v>
      </c>
      <c r="E602">
        <v>263</v>
      </c>
      <c r="F602">
        <v>310</v>
      </c>
      <c r="G602">
        <v>249</v>
      </c>
      <c r="H602">
        <v>231</v>
      </c>
      <c r="I602">
        <v>234</v>
      </c>
      <c r="J602">
        <v>131</v>
      </c>
      <c r="K602">
        <v>182</v>
      </c>
      <c r="L602">
        <v>115</v>
      </c>
      <c r="M602">
        <v>174</v>
      </c>
      <c r="N602">
        <v>125</v>
      </c>
      <c r="O602">
        <v>124</v>
      </c>
      <c r="P602">
        <v>126</v>
      </c>
      <c r="Q602">
        <v>135</v>
      </c>
      <c r="R602">
        <v>152</v>
      </c>
    </row>
    <row r="603" spans="1:18">
      <c r="A603" t="s">
        <v>1085</v>
      </c>
      <c r="B603" t="s">
        <v>175</v>
      </c>
      <c r="C603" t="s">
        <v>486</v>
      </c>
      <c r="D603">
        <v>19</v>
      </c>
      <c r="E603">
        <v>18</v>
      </c>
      <c r="F603">
        <v>12</v>
      </c>
      <c r="G603">
        <v>9</v>
      </c>
      <c r="H603">
        <v>8</v>
      </c>
      <c r="I603">
        <v>7</v>
      </c>
      <c r="J603">
        <v>6</v>
      </c>
      <c r="K603">
        <v>7</v>
      </c>
      <c r="L603">
        <v>6</v>
      </c>
      <c r="M603">
        <v>5</v>
      </c>
      <c r="N603">
        <v>4</v>
      </c>
      <c r="O603">
        <v>4</v>
      </c>
      <c r="P603">
        <v>3</v>
      </c>
      <c r="Q603">
        <v>3</v>
      </c>
      <c r="R603">
        <v>3</v>
      </c>
    </row>
    <row r="604" spans="1:18">
      <c r="A604" t="s">
        <v>1086</v>
      </c>
      <c r="B604" t="s">
        <v>175</v>
      </c>
      <c r="C604" t="s">
        <v>488</v>
      </c>
      <c r="D604">
        <v>40</v>
      </c>
      <c r="E604">
        <v>38</v>
      </c>
      <c r="F604">
        <v>37</v>
      </c>
      <c r="G604">
        <v>37</v>
      </c>
      <c r="H604">
        <v>38</v>
      </c>
      <c r="I604">
        <v>40</v>
      </c>
      <c r="J604">
        <v>41</v>
      </c>
      <c r="K604">
        <v>42</v>
      </c>
      <c r="L604">
        <v>45</v>
      </c>
      <c r="M604">
        <v>43</v>
      </c>
      <c r="N604">
        <v>37</v>
      </c>
      <c r="O604">
        <v>32</v>
      </c>
      <c r="P604">
        <v>29</v>
      </c>
      <c r="Q604">
        <v>29</v>
      </c>
      <c r="R604">
        <v>27</v>
      </c>
    </row>
    <row r="605" spans="1:18">
      <c r="A605" t="s">
        <v>1087</v>
      </c>
      <c r="B605" t="s">
        <v>175</v>
      </c>
      <c r="C605" t="s">
        <v>148</v>
      </c>
      <c r="D605">
        <v>19</v>
      </c>
      <c r="E605">
        <v>18</v>
      </c>
      <c r="F605">
        <v>19</v>
      </c>
      <c r="G605">
        <v>10</v>
      </c>
      <c r="H605">
        <v>8</v>
      </c>
      <c r="I605">
        <v>10</v>
      </c>
      <c r="J605">
        <v>6</v>
      </c>
      <c r="K605">
        <v>6</v>
      </c>
      <c r="L605">
        <v>6</v>
      </c>
      <c r="M605">
        <v>7</v>
      </c>
      <c r="N605">
        <v>4</v>
      </c>
      <c r="O605">
        <v>3</v>
      </c>
      <c r="P605">
        <v>4</v>
      </c>
      <c r="Q605">
        <v>3</v>
      </c>
      <c r="R605">
        <v>3</v>
      </c>
    </row>
    <row r="606" spans="1:18">
      <c r="A606" t="s">
        <v>1088</v>
      </c>
      <c r="B606" t="s">
        <v>175</v>
      </c>
      <c r="C606" t="s">
        <v>184</v>
      </c>
      <c r="D606">
        <v>40</v>
      </c>
      <c r="E606">
        <v>44</v>
      </c>
      <c r="F606">
        <v>37</v>
      </c>
      <c r="G606">
        <v>36</v>
      </c>
      <c r="H606">
        <v>37</v>
      </c>
      <c r="I606">
        <v>38</v>
      </c>
      <c r="J606">
        <v>41</v>
      </c>
      <c r="K606">
        <v>41</v>
      </c>
      <c r="L606">
        <v>42</v>
      </c>
      <c r="M606">
        <v>45</v>
      </c>
      <c r="N606">
        <v>50</v>
      </c>
      <c r="O606">
        <v>32</v>
      </c>
      <c r="P606">
        <v>29</v>
      </c>
      <c r="Q606">
        <v>34</v>
      </c>
      <c r="R606">
        <v>27</v>
      </c>
    </row>
    <row r="607" spans="1:18">
      <c r="A607" t="s">
        <v>1089</v>
      </c>
      <c r="B607" t="s">
        <v>175</v>
      </c>
      <c r="C607" s="4" t="s">
        <v>188</v>
      </c>
      <c r="D607">
        <v>141</v>
      </c>
      <c r="E607">
        <v>144</v>
      </c>
      <c r="F607">
        <v>215</v>
      </c>
      <c r="G607">
        <v>186</v>
      </c>
      <c r="H607">
        <v>158</v>
      </c>
      <c r="I607">
        <v>151</v>
      </c>
      <c r="J607">
        <v>32</v>
      </c>
      <c r="K607">
        <v>67</v>
      </c>
      <c r="L607">
        <v>48</v>
      </c>
      <c r="M607">
        <v>88</v>
      </c>
      <c r="N607">
        <v>29</v>
      </c>
      <c r="O607">
        <v>71</v>
      </c>
      <c r="P607">
        <v>84</v>
      </c>
      <c r="Q607">
        <v>83</v>
      </c>
      <c r="R607">
        <v>131</v>
      </c>
    </row>
    <row r="608" spans="1:18">
      <c r="A608" t="s">
        <v>1090</v>
      </c>
      <c r="B608" t="s">
        <v>175</v>
      </c>
      <c r="C608" s="35" t="s">
        <v>189</v>
      </c>
      <c r="D608">
        <v>113</v>
      </c>
      <c r="E608">
        <v>119</v>
      </c>
      <c r="F608">
        <v>95</v>
      </c>
      <c r="G608">
        <v>63</v>
      </c>
      <c r="H608">
        <v>73</v>
      </c>
      <c r="I608">
        <v>83</v>
      </c>
      <c r="J608">
        <v>99</v>
      </c>
      <c r="K608">
        <v>115</v>
      </c>
      <c r="L608">
        <v>67</v>
      </c>
      <c r="M608">
        <v>86</v>
      </c>
      <c r="N608">
        <v>96</v>
      </c>
      <c r="O608">
        <v>53</v>
      </c>
      <c r="P608">
        <v>42</v>
      </c>
      <c r="Q608">
        <v>52</v>
      </c>
      <c r="R608">
        <v>21</v>
      </c>
    </row>
    <row r="609" spans="1:18">
      <c r="A609" t="s">
        <v>1091</v>
      </c>
      <c r="B609" t="s">
        <v>175</v>
      </c>
      <c r="C609" t="s">
        <v>172</v>
      </c>
      <c r="D609">
        <v>85</v>
      </c>
      <c r="E609">
        <v>79</v>
      </c>
      <c r="F609">
        <v>89</v>
      </c>
      <c r="G609">
        <v>56</v>
      </c>
      <c r="H609">
        <v>72</v>
      </c>
      <c r="I609">
        <v>74</v>
      </c>
      <c r="J609">
        <v>81</v>
      </c>
      <c r="K609">
        <v>93</v>
      </c>
      <c r="L609">
        <v>47</v>
      </c>
      <c r="M609">
        <v>54</v>
      </c>
      <c r="N609">
        <v>49</v>
      </c>
      <c r="O609">
        <v>44</v>
      </c>
      <c r="P609">
        <v>38</v>
      </c>
      <c r="Q609">
        <v>45</v>
      </c>
      <c r="R609">
        <v>18</v>
      </c>
    </row>
    <row r="610" spans="1:18">
      <c r="A610" t="s">
        <v>1092</v>
      </c>
      <c r="B610" t="s">
        <v>175</v>
      </c>
      <c r="C610" t="s">
        <v>30</v>
      </c>
      <c r="D610">
        <v>28</v>
      </c>
      <c r="E610">
        <v>40</v>
      </c>
      <c r="F610">
        <v>6</v>
      </c>
      <c r="G610">
        <v>7</v>
      </c>
      <c r="H610">
        <v>1</v>
      </c>
      <c r="I610">
        <v>9</v>
      </c>
      <c r="J610">
        <v>18</v>
      </c>
      <c r="K610">
        <v>22</v>
      </c>
      <c r="L610">
        <v>20</v>
      </c>
      <c r="M610">
        <v>32</v>
      </c>
      <c r="N610">
        <v>47</v>
      </c>
      <c r="O610">
        <v>9</v>
      </c>
      <c r="P610">
        <v>4</v>
      </c>
      <c r="Q610">
        <v>7</v>
      </c>
      <c r="R610">
        <v>3</v>
      </c>
    </row>
    <row r="611" spans="1:18">
      <c r="A611" t="s">
        <v>1093</v>
      </c>
      <c r="B611" t="s">
        <v>175</v>
      </c>
      <c r="C611" t="s">
        <v>177</v>
      </c>
      <c r="D611">
        <v>317</v>
      </c>
      <c r="E611">
        <v>378</v>
      </c>
      <c r="F611">
        <v>476</v>
      </c>
      <c r="G611">
        <v>605</v>
      </c>
      <c r="H611">
        <v>579</v>
      </c>
      <c r="I611">
        <v>631</v>
      </c>
      <c r="J611">
        <v>635</v>
      </c>
      <c r="K611">
        <v>619</v>
      </c>
      <c r="L611">
        <v>507</v>
      </c>
      <c r="M611">
        <v>605</v>
      </c>
      <c r="N611">
        <v>553</v>
      </c>
      <c r="O611">
        <v>645</v>
      </c>
      <c r="P611">
        <v>620</v>
      </c>
      <c r="Q611">
        <v>649</v>
      </c>
      <c r="R611">
        <v>835</v>
      </c>
    </row>
    <row r="612" spans="1:18">
      <c r="A612" t="s">
        <v>1094</v>
      </c>
      <c r="B612" t="s">
        <v>175</v>
      </c>
      <c r="C612" t="s">
        <v>178</v>
      </c>
      <c r="D612">
        <v>305</v>
      </c>
      <c r="E612">
        <v>365</v>
      </c>
      <c r="F612">
        <v>435</v>
      </c>
      <c r="G612">
        <v>574</v>
      </c>
      <c r="H612">
        <v>553</v>
      </c>
      <c r="I612">
        <v>594</v>
      </c>
      <c r="J612">
        <v>597</v>
      </c>
      <c r="K612">
        <v>584</v>
      </c>
      <c r="L612">
        <v>477</v>
      </c>
      <c r="M612">
        <v>580</v>
      </c>
      <c r="N612">
        <v>519</v>
      </c>
      <c r="O612">
        <v>592</v>
      </c>
      <c r="P612">
        <v>578</v>
      </c>
      <c r="Q612">
        <v>604</v>
      </c>
      <c r="R612">
        <v>799</v>
      </c>
    </row>
    <row r="613" spans="1:18">
      <c r="A613" t="s">
        <v>1095</v>
      </c>
      <c r="B613" t="s">
        <v>176</v>
      </c>
      <c r="C613" t="s">
        <v>32</v>
      </c>
      <c r="D613">
        <v>45</v>
      </c>
      <c r="E613">
        <v>29</v>
      </c>
      <c r="F613">
        <v>78</v>
      </c>
      <c r="G613">
        <v>78</v>
      </c>
      <c r="H613">
        <v>47</v>
      </c>
      <c r="I613">
        <v>66</v>
      </c>
      <c r="J613">
        <v>71</v>
      </c>
      <c r="K613">
        <v>95</v>
      </c>
      <c r="L613">
        <v>27</v>
      </c>
      <c r="M613">
        <v>95</v>
      </c>
      <c r="N613">
        <v>83</v>
      </c>
      <c r="O613">
        <v>93</v>
      </c>
      <c r="P613">
        <v>75</v>
      </c>
      <c r="Q613">
        <v>71</v>
      </c>
      <c r="R613">
        <v>105</v>
      </c>
    </row>
    <row r="614" spans="1:18">
      <c r="A614" t="s">
        <v>1096</v>
      </c>
      <c r="B614" t="s">
        <v>176</v>
      </c>
      <c r="C614" s="4" t="s">
        <v>34</v>
      </c>
      <c r="D614">
        <v>38</v>
      </c>
      <c r="E614">
        <v>26</v>
      </c>
      <c r="F614">
        <v>72</v>
      </c>
      <c r="G614">
        <v>63</v>
      </c>
      <c r="H614">
        <v>44</v>
      </c>
      <c r="I614">
        <v>58</v>
      </c>
      <c r="J614">
        <v>71</v>
      </c>
      <c r="K614">
        <v>86</v>
      </c>
      <c r="L614">
        <v>22</v>
      </c>
      <c r="M614">
        <v>81</v>
      </c>
      <c r="N614">
        <v>75</v>
      </c>
      <c r="O614">
        <v>91</v>
      </c>
      <c r="P614">
        <v>68</v>
      </c>
      <c r="Q614">
        <v>65</v>
      </c>
      <c r="R614">
        <v>100</v>
      </c>
    </row>
    <row r="615" spans="1:18">
      <c r="A615" t="s">
        <v>1097</v>
      </c>
      <c r="B615" t="s">
        <v>176</v>
      </c>
      <c r="C615" t="s">
        <v>169</v>
      </c>
      <c r="D615">
        <v>7</v>
      </c>
      <c r="E615">
        <v>3</v>
      </c>
      <c r="F615">
        <v>6</v>
      </c>
      <c r="G615">
        <v>15</v>
      </c>
      <c r="H615">
        <v>3</v>
      </c>
      <c r="I615">
        <v>8</v>
      </c>
      <c r="J615">
        <v>0</v>
      </c>
      <c r="K615">
        <v>9</v>
      </c>
      <c r="L615">
        <v>5</v>
      </c>
      <c r="M615">
        <v>14</v>
      </c>
      <c r="N615">
        <v>8</v>
      </c>
      <c r="O615">
        <v>2</v>
      </c>
      <c r="P615">
        <v>7</v>
      </c>
      <c r="Q615">
        <v>6</v>
      </c>
      <c r="R615">
        <v>5</v>
      </c>
    </row>
    <row r="616" spans="1:18">
      <c r="A616" t="s">
        <v>1098</v>
      </c>
      <c r="B616" t="s">
        <v>176</v>
      </c>
      <c r="C616" t="s">
        <v>170</v>
      </c>
      <c r="D616">
        <v>305</v>
      </c>
      <c r="E616">
        <v>365</v>
      </c>
      <c r="F616">
        <v>435</v>
      </c>
      <c r="G616">
        <v>574</v>
      </c>
      <c r="H616">
        <v>553</v>
      </c>
      <c r="I616">
        <v>594</v>
      </c>
      <c r="J616">
        <v>597</v>
      </c>
      <c r="K616">
        <v>584</v>
      </c>
      <c r="L616">
        <v>477</v>
      </c>
      <c r="M616">
        <v>580</v>
      </c>
      <c r="N616">
        <v>519</v>
      </c>
      <c r="O616">
        <v>592</v>
      </c>
      <c r="P616">
        <v>578</v>
      </c>
      <c r="Q616">
        <v>604</v>
      </c>
      <c r="R616">
        <v>799</v>
      </c>
    </row>
    <row r="617" spans="1:18">
      <c r="A617" t="s">
        <v>1099</v>
      </c>
      <c r="B617" t="s">
        <v>176</v>
      </c>
      <c r="C617" t="s">
        <v>171</v>
      </c>
      <c r="D617">
        <v>317</v>
      </c>
      <c r="E617">
        <v>378</v>
      </c>
      <c r="F617">
        <v>476</v>
      </c>
      <c r="G617">
        <v>605</v>
      </c>
      <c r="H617">
        <v>579</v>
      </c>
      <c r="I617">
        <v>631</v>
      </c>
      <c r="J617">
        <v>635</v>
      </c>
      <c r="K617">
        <v>619</v>
      </c>
      <c r="L617">
        <v>507</v>
      </c>
      <c r="M617">
        <v>605</v>
      </c>
      <c r="N617">
        <v>553</v>
      </c>
      <c r="O617">
        <v>645</v>
      </c>
      <c r="P617">
        <v>620</v>
      </c>
      <c r="Q617">
        <v>649</v>
      </c>
      <c r="R617">
        <v>835</v>
      </c>
    </row>
    <row r="618" spans="1:18">
      <c r="A618" t="s">
        <v>1100</v>
      </c>
      <c r="B618" t="s">
        <v>176</v>
      </c>
      <c r="C618" t="s">
        <v>148</v>
      </c>
      <c r="D618">
        <v>7</v>
      </c>
      <c r="E618">
        <v>6</v>
      </c>
      <c r="F618">
        <v>1</v>
      </c>
      <c r="G618">
        <v>1</v>
      </c>
      <c r="H618">
        <v>3</v>
      </c>
      <c r="I618">
        <v>1</v>
      </c>
      <c r="J618">
        <v>1</v>
      </c>
      <c r="K618">
        <v>1</v>
      </c>
      <c r="L618">
        <v>8</v>
      </c>
      <c r="M618">
        <v>1</v>
      </c>
      <c r="N618">
        <v>1</v>
      </c>
      <c r="O618">
        <v>1</v>
      </c>
      <c r="P618">
        <v>1</v>
      </c>
      <c r="Q618">
        <v>1</v>
      </c>
      <c r="R618">
        <v>1</v>
      </c>
    </row>
    <row r="619" spans="1:18">
      <c r="A619" t="s">
        <v>1101</v>
      </c>
      <c r="B619" t="s">
        <v>176</v>
      </c>
      <c r="C619" t="s">
        <v>184</v>
      </c>
      <c r="D619">
        <v>87</v>
      </c>
      <c r="E619">
        <v>51</v>
      </c>
      <c r="F619">
        <v>13</v>
      </c>
      <c r="G619">
        <v>25</v>
      </c>
      <c r="H619">
        <v>10</v>
      </c>
      <c r="I619">
        <v>25</v>
      </c>
      <c r="J619">
        <v>8</v>
      </c>
      <c r="K619">
        <v>18</v>
      </c>
      <c r="L619">
        <v>38</v>
      </c>
      <c r="M619">
        <v>27</v>
      </c>
      <c r="N619">
        <v>18</v>
      </c>
      <c r="O619">
        <v>11</v>
      </c>
      <c r="P619">
        <v>15</v>
      </c>
      <c r="Q619">
        <v>18</v>
      </c>
      <c r="R619">
        <v>10</v>
      </c>
    </row>
    <row r="620" spans="1:18">
      <c r="A620" t="s">
        <v>1102</v>
      </c>
      <c r="B620" t="s">
        <v>176</v>
      </c>
      <c r="C620" s="4" t="s">
        <v>188</v>
      </c>
      <c r="D620">
        <v>1</v>
      </c>
      <c r="E620">
        <v>0</v>
      </c>
      <c r="F620">
        <v>2</v>
      </c>
      <c r="G620">
        <v>14</v>
      </c>
      <c r="H620">
        <v>2</v>
      </c>
      <c r="I620">
        <v>8</v>
      </c>
      <c r="J620">
        <v>0</v>
      </c>
      <c r="K620">
        <v>5</v>
      </c>
      <c r="L620">
        <v>2</v>
      </c>
      <c r="M620">
        <v>7</v>
      </c>
      <c r="N620">
        <v>3</v>
      </c>
      <c r="O620">
        <v>1</v>
      </c>
      <c r="P620">
        <v>6</v>
      </c>
      <c r="Q620">
        <v>4</v>
      </c>
      <c r="R620">
        <v>4</v>
      </c>
    </row>
    <row r="621" spans="1:18">
      <c r="A621" t="s">
        <v>1103</v>
      </c>
      <c r="B621" t="s">
        <v>176</v>
      </c>
      <c r="C621" s="35" t="s">
        <v>189</v>
      </c>
      <c r="D621">
        <v>6</v>
      </c>
      <c r="E621">
        <v>3</v>
      </c>
      <c r="F621">
        <v>4</v>
      </c>
      <c r="G621">
        <v>1</v>
      </c>
      <c r="H621">
        <v>1</v>
      </c>
      <c r="I621">
        <v>0</v>
      </c>
      <c r="J621">
        <v>0</v>
      </c>
      <c r="K621">
        <v>4</v>
      </c>
      <c r="L621">
        <v>3</v>
      </c>
      <c r="M621">
        <v>7</v>
      </c>
      <c r="N621">
        <v>5</v>
      </c>
      <c r="O621">
        <v>1</v>
      </c>
      <c r="P621">
        <v>1</v>
      </c>
      <c r="Q621">
        <v>2</v>
      </c>
      <c r="R621">
        <v>1</v>
      </c>
    </row>
    <row r="622" spans="1:18">
      <c r="A622" t="s">
        <v>1104</v>
      </c>
      <c r="B622" t="s">
        <v>176</v>
      </c>
      <c r="C622" t="s">
        <v>172</v>
      </c>
      <c r="D622">
        <v>0</v>
      </c>
      <c r="E622">
        <v>1</v>
      </c>
      <c r="F622">
        <v>4</v>
      </c>
      <c r="G622">
        <v>0</v>
      </c>
      <c r="H622">
        <v>1</v>
      </c>
      <c r="I622">
        <v>0</v>
      </c>
      <c r="J622">
        <v>0</v>
      </c>
      <c r="K622">
        <v>3</v>
      </c>
      <c r="L622">
        <v>1</v>
      </c>
      <c r="M622">
        <v>4</v>
      </c>
      <c r="N622">
        <v>2</v>
      </c>
      <c r="O622">
        <v>1</v>
      </c>
      <c r="P622">
        <v>1</v>
      </c>
      <c r="Q622">
        <v>1</v>
      </c>
      <c r="R622">
        <v>1</v>
      </c>
    </row>
    <row r="623" spans="1:18">
      <c r="A623" t="s">
        <v>1105</v>
      </c>
      <c r="B623" t="s">
        <v>176</v>
      </c>
      <c r="C623" t="s">
        <v>30</v>
      </c>
      <c r="D623">
        <v>6</v>
      </c>
      <c r="E623">
        <v>2</v>
      </c>
      <c r="F623">
        <v>0</v>
      </c>
      <c r="G623">
        <v>1</v>
      </c>
      <c r="H623">
        <v>0</v>
      </c>
      <c r="I623">
        <v>0</v>
      </c>
      <c r="J623">
        <v>0</v>
      </c>
      <c r="K623">
        <v>1</v>
      </c>
      <c r="L623">
        <v>2</v>
      </c>
      <c r="M623">
        <v>3</v>
      </c>
      <c r="N623">
        <v>3</v>
      </c>
      <c r="O623">
        <v>0</v>
      </c>
      <c r="P623">
        <v>0</v>
      </c>
      <c r="Q623">
        <v>1</v>
      </c>
      <c r="R623">
        <v>0</v>
      </c>
    </row>
    <row r="624" spans="1:18">
      <c r="A624" t="s">
        <v>1106</v>
      </c>
      <c r="B624" t="s">
        <v>176</v>
      </c>
      <c r="C624" t="s">
        <v>177</v>
      </c>
      <c r="D624">
        <v>28</v>
      </c>
      <c r="E624">
        <v>25</v>
      </c>
      <c r="F624">
        <v>25</v>
      </c>
      <c r="G624">
        <v>106</v>
      </c>
      <c r="H624">
        <v>53</v>
      </c>
      <c r="I624">
        <v>100</v>
      </c>
      <c r="J624">
        <v>48</v>
      </c>
      <c r="K624">
        <v>107</v>
      </c>
      <c r="L624">
        <v>46</v>
      </c>
      <c r="M624">
        <v>95</v>
      </c>
      <c r="N624">
        <v>77</v>
      </c>
      <c r="O624">
        <v>95</v>
      </c>
      <c r="P624">
        <v>81</v>
      </c>
      <c r="Q624">
        <v>87</v>
      </c>
      <c r="R624">
        <v>132</v>
      </c>
    </row>
    <row r="625" spans="1:18">
      <c r="A625" t="s">
        <v>1107</v>
      </c>
      <c r="B625" t="s">
        <v>176</v>
      </c>
      <c r="C625" t="s">
        <v>178</v>
      </c>
      <c r="D625">
        <v>28</v>
      </c>
      <c r="E625">
        <v>25</v>
      </c>
      <c r="F625">
        <v>24</v>
      </c>
      <c r="G625">
        <v>104</v>
      </c>
      <c r="H625">
        <v>52</v>
      </c>
      <c r="I625">
        <v>100</v>
      </c>
      <c r="J625">
        <v>47</v>
      </c>
      <c r="K625">
        <v>104</v>
      </c>
      <c r="L625">
        <v>42</v>
      </c>
      <c r="M625">
        <v>91</v>
      </c>
      <c r="N625">
        <v>77</v>
      </c>
      <c r="O625">
        <v>95</v>
      </c>
      <c r="P625">
        <v>80</v>
      </c>
      <c r="Q625">
        <v>85</v>
      </c>
      <c r="R625">
        <v>131</v>
      </c>
    </row>
    <row r="626" spans="1:18">
      <c r="A626" t="s">
        <v>1108</v>
      </c>
      <c r="B626" t="s">
        <v>173</v>
      </c>
      <c r="C626" t="s">
        <v>32</v>
      </c>
      <c r="D626">
        <v>2</v>
      </c>
      <c r="E626">
        <v>4</v>
      </c>
      <c r="F626">
        <v>0</v>
      </c>
      <c r="G626">
        <v>3</v>
      </c>
      <c r="H626">
        <v>4</v>
      </c>
      <c r="I626">
        <v>2</v>
      </c>
      <c r="J626">
        <v>8</v>
      </c>
      <c r="K626">
        <v>6</v>
      </c>
      <c r="L626">
        <v>2</v>
      </c>
      <c r="M626">
        <v>3</v>
      </c>
      <c r="N626">
        <v>1</v>
      </c>
      <c r="O626">
        <v>5</v>
      </c>
      <c r="P626">
        <v>7</v>
      </c>
      <c r="Q626">
        <v>0</v>
      </c>
      <c r="R626">
        <v>4</v>
      </c>
    </row>
    <row r="627" spans="1:18">
      <c r="A627" t="s">
        <v>1109</v>
      </c>
      <c r="B627" t="s">
        <v>173</v>
      </c>
      <c r="C627" s="4" t="s">
        <v>34</v>
      </c>
      <c r="D627">
        <v>2</v>
      </c>
      <c r="E627">
        <v>4</v>
      </c>
      <c r="F627">
        <v>0</v>
      </c>
      <c r="G627">
        <v>3</v>
      </c>
      <c r="H627">
        <v>4</v>
      </c>
      <c r="I627">
        <v>2</v>
      </c>
      <c r="J627">
        <v>8</v>
      </c>
      <c r="K627">
        <v>6</v>
      </c>
      <c r="L627">
        <v>2</v>
      </c>
      <c r="M627">
        <v>3</v>
      </c>
      <c r="N627">
        <v>1</v>
      </c>
      <c r="O627">
        <v>5</v>
      </c>
      <c r="P627">
        <v>7</v>
      </c>
      <c r="Q627">
        <v>0</v>
      </c>
      <c r="R627">
        <v>4</v>
      </c>
    </row>
    <row r="628" spans="1:18">
      <c r="A628" t="s">
        <v>1110</v>
      </c>
      <c r="B628" t="s">
        <v>173</v>
      </c>
      <c r="C628" t="s">
        <v>169</v>
      </c>
      <c r="D628">
        <v>0</v>
      </c>
      <c r="E628">
        <v>0</v>
      </c>
      <c r="F628">
        <v>0</v>
      </c>
      <c r="G628">
        <v>0</v>
      </c>
      <c r="H628">
        <v>0</v>
      </c>
      <c r="I628">
        <v>0</v>
      </c>
      <c r="J628">
        <v>0</v>
      </c>
      <c r="K628">
        <v>0</v>
      </c>
      <c r="L628">
        <v>0</v>
      </c>
      <c r="M628">
        <v>0</v>
      </c>
      <c r="N628">
        <v>0</v>
      </c>
      <c r="O628">
        <v>0</v>
      </c>
      <c r="P628">
        <v>0</v>
      </c>
      <c r="Q628">
        <v>0</v>
      </c>
      <c r="R628">
        <v>0</v>
      </c>
    </row>
    <row r="629" spans="1:18">
      <c r="A629" t="s">
        <v>1111</v>
      </c>
      <c r="B629" t="s">
        <v>173</v>
      </c>
      <c r="C629" t="s">
        <v>486</v>
      </c>
      <c r="D629">
        <v>2</v>
      </c>
      <c r="E629">
        <v>3</v>
      </c>
      <c r="F629">
        <v>2</v>
      </c>
      <c r="G629">
        <v>2</v>
      </c>
      <c r="H629">
        <v>3</v>
      </c>
      <c r="I629">
        <v>2</v>
      </c>
      <c r="J629">
        <v>2</v>
      </c>
      <c r="K629">
        <v>2</v>
      </c>
      <c r="L629">
        <v>3</v>
      </c>
      <c r="M629">
        <v>3</v>
      </c>
      <c r="N629">
        <v>3</v>
      </c>
      <c r="O629">
        <v>2</v>
      </c>
      <c r="P629">
        <v>2</v>
      </c>
      <c r="Q629">
        <v>3</v>
      </c>
      <c r="R629">
        <v>3</v>
      </c>
    </row>
    <row r="630" spans="1:18">
      <c r="A630" t="s">
        <v>1112</v>
      </c>
      <c r="B630" t="s">
        <v>173</v>
      </c>
      <c r="C630" t="s">
        <v>488</v>
      </c>
      <c r="D630">
        <v>7</v>
      </c>
      <c r="E630">
        <v>7</v>
      </c>
      <c r="F630">
        <v>11</v>
      </c>
      <c r="G630">
        <v>11</v>
      </c>
      <c r="H630">
        <v>6</v>
      </c>
      <c r="I630">
        <v>6</v>
      </c>
      <c r="J630">
        <v>6</v>
      </c>
      <c r="K630">
        <v>4</v>
      </c>
      <c r="L630">
        <v>4</v>
      </c>
      <c r="M630">
        <v>4</v>
      </c>
      <c r="N630">
        <v>4</v>
      </c>
      <c r="O630">
        <v>4</v>
      </c>
      <c r="P630">
        <v>5</v>
      </c>
      <c r="Q630">
        <v>9</v>
      </c>
      <c r="R630">
        <v>9</v>
      </c>
    </row>
    <row r="631" spans="1:18">
      <c r="A631" t="s">
        <v>1113</v>
      </c>
      <c r="B631" t="s">
        <v>173</v>
      </c>
      <c r="C631" t="s">
        <v>148</v>
      </c>
      <c r="D631">
        <v>1</v>
      </c>
      <c r="E631">
        <v>3</v>
      </c>
      <c r="F631">
        <v>0</v>
      </c>
      <c r="G631">
        <v>2</v>
      </c>
      <c r="H631">
        <v>1</v>
      </c>
      <c r="I631">
        <v>1</v>
      </c>
      <c r="J631">
        <v>3</v>
      </c>
      <c r="K631">
        <v>2</v>
      </c>
      <c r="L631">
        <v>1</v>
      </c>
      <c r="M631">
        <v>4</v>
      </c>
      <c r="N631">
        <v>3</v>
      </c>
      <c r="O631">
        <v>3</v>
      </c>
      <c r="P631">
        <v>2</v>
      </c>
      <c r="Q631">
        <v>0</v>
      </c>
      <c r="R631">
        <v>3</v>
      </c>
    </row>
    <row r="632" spans="1:18">
      <c r="A632" t="s">
        <v>1114</v>
      </c>
      <c r="B632" t="s">
        <v>173</v>
      </c>
      <c r="C632" t="s">
        <v>184</v>
      </c>
      <c r="D632">
        <v>1</v>
      </c>
      <c r="E632">
        <v>7</v>
      </c>
      <c r="F632">
        <v>0</v>
      </c>
      <c r="G632">
        <v>3</v>
      </c>
      <c r="H632">
        <v>11</v>
      </c>
      <c r="I632">
        <v>3</v>
      </c>
      <c r="J632">
        <v>6</v>
      </c>
      <c r="K632">
        <v>6</v>
      </c>
      <c r="L632">
        <v>3</v>
      </c>
      <c r="M632">
        <v>4</v>
      </c>
      <c r="N632">
        <v>3</v>
      </c>
      <c r="O632">
        <v>4</v>
      </c>
      <c r="P632">
        <v>4</v>
      </c>
      <c r="Q632">
        <v>0</v>
      </c>
      <c r="R632">
        <v>9</v>
      </c>
    </row>
    <row r="633" spans="1:18">
      <c r="A633" t="s">
        <v>1115</v>
      </c>
      <c r="B633" t="s">
        <v>173</v>
      </c>
      <c r="C633" s="4" t="s">
        <v>188</v>
      </c>
      <c r="D633">
        <v>0</v>
      </c>
      <c r="E633">
        <v>0</v>
      </c>
      <c r="F633">
        <v>0</v>
      </c>
      <c r="G633">
        <v>0</v>
      </c>
      <c r="H633">
        <v>0</v>
      </c>
      <c r="I633">
        <v>0</v>
      </c>
      <c r="J633">
        <v>0</v>
      </c>
      <c r="K633">
        <v>0</v>
      </c>
      <c r="L633">
        <v>0</v>
      </c>
      <c r="M633">
        <v>0</v>
      </c>
      <c r="N633">
        <v>0</v>
      </c>
      <c r="O633">
        <v>0</v>
      </c>
      <c r="P633">
        <v>0</v>
      </c>
      <c r="Q633">
        <v>0</v>
      </c>
      <c r="R633">
        <v>0</v>
      </c>
    </row>
    <row r="634" spans="1:18">
      <c r="A634" t="s">
        <v>1116</v>
      </c>
      <c r="B634" t="s">
        <v>173</v>
      </c>
      <c r="C634" s="35" t="s">
        <v>189</v>
      </c>
      <c r="D634">
        <v>0</v>
      </c>
      <c r="E634">
        <v>0</v>
      </c>
      <c r="F634">
        <v>0</v>
      </c>
      <c r="G634">
        <v>0</v>
      </c>
      <c r="H634">
        <v>0</v>
      </c>
      <c r="I634">
        <v>0</v>
      </c>
      <c r="J634">
        <v>0</v>
      </c>
      <c r="K634">
        <v>0</v>
      </c>
      <c r="L634">
        <v>0</v>
      </c>
      <c r="M634">
        <v>0</v>
      </c>
      <c r="N634">
        <v>0</v>
      </c>
      <c r="O634">
        <v>0</v>
      </c>
      <c r="P634">
        <v>0</v>
      </c>
      <c r="Q634">
        <v>0</v>
      </c>
      <c r="R634">
        <v>0</v>
      </c>
    </row>
    <row r="635" spans="1:18">
      <c r="A635" t="s">
        <v>1117</v>
      </c>
      <c r="B635" t="s">
        <v>173</v>
      </c>
      <c r="C635" t="s">
        <v>172</v>
      </c>
      <c r="D635">
        <v>0</v>
      </c>
      <c r="E635">
        <v>0</v>
      </c>
      <c r="F635">
        <v>0</v>
      </c>
      <c r="G635">
        <v>0</v>
      </c>
      <c r="H635">
        <v>0</v>
      </c>
      <c r="I635">
        <v>0</v>
      </c>
      <c r="J635">
        <v>0</v>
      </c>
      <c r="K635">
        <v>0</v>
      </c>
      <c r="L635">
        <v>0</v>
      </c>
      <c r="M635">
        <v>0</v>
      </c>
      <c r="N635">
        <v>0</v>
      </c>
      <c r="O635">
        <v>0</v>
      </c>
      <c r="P635">
        <v>0</v>
      </c>
      <c r="Q635">
        <v>0</v>
      </c>
      <c r="R635">
        <v>0</v>
      </c>
    </row>
    <row r="636" spans="1:18">
      <c r="A636" t="s">
        <v>1118</v>
      </c>
      <c r="B636" t="s">
        <v>173</v>
      </c>
      <c r="C636" t="s">
        <v>30</v>
      </c>
      <c r="D636">
        <v>0</v>
      </c>
      <c r="E636">
        <v>0</v>
      </c>
      <c r="F636">
        <v>0</v>
      </c>
      <c r="G636">
        <v>0</v>
      </c>
      <c r="H636">
        <v>0</v>
      </c>
      <c r="I636">
        <v>0</v>
      </c>
      <c r="J636">
        <v>0</v>
      </c>
      <c r="K636">
        <v>0</v>
      </c>
      <c r="L636">
        <v>0</v>
      </c>
      <c r="M636">
        <v>0</v>
      </c>
      <c r="N636">
        <v>0</v>
      </c>
      <c r="O636">
        <v>0</v>
      </c>
      <c r="P636">
        <v>0</v>
      </c>
      <c r="Q636">
        <v>0</v>
      </c>
      <c r="R636">
        <v>0</v>
      </c>
    </row>
    <row r="637" spans="1:18">
      <c r="A637" t="s">
        <v>1119</v>
      </c>
      <c r="B637" t="s">
        <v>174</v>
      </c>
      <c r="C637" t="s">
        <v>32</v>
      </c>
      <c r="D637">
        <v>0</v>
      </c>
      <c r="E637">
        <v>0</v>
      </c>
      <c r="F637">
        <v>0</v>
      </c>
      <c r="G637">
        <v>0</v>
      </c>
      <c r="H637">
        <v>0</v>
      </c>
      <c r="I637">
        <v>0</v>
      </c>
      <c r="J637">
        <v>0</v>
      </c>
      <c r="K637">
        <v>0</v>
      </c>
      <c r="L637">
        <v>0</v>
      </c>
      <c r="M637">
        <v>0</v>
      </c>
      <c r="N637">
        <v>0</v>
      </c>
      <c r="O637">
        <v>0</v>
      </c>
      <c r="P637">
        <v>0</v>
      </c>
      <c r="Q637">
        <v>0</v>
      </c>
      <c r="R637">
        <v>0</v>
      </c>
    </row>
    <row r="638" spans="1:18">
      <c r="A638" t="s">
        <v>1120</v>
      </c>
      <c r="B638" t="s">
        <v>174</v>
      </c>
      <c r="C638" s="4" t="s">
        <v>34</v>
      </c>
      <c r="D638">
        <v>0</v>
      </c>
      <c r="E638">
        <v>0</v>
      </c>
      <c r="F638">
        <v>0</v>
      </c>
      <c r="G638">
        <v>0</v>
      </c>
      <c r="H638">
        <v>0</v>
      </c>
      <c r="I638">
        <v>0</v>
      </c>
      <c r="J638">
        <v>0</v>
      </c>
      <c r="K638">
        <v>0</v>
      </c>
      <c r="L638">
        <v>0</v>
      </c>
      <c r="M638">
        <v>0</v>
      </c>
      <c r="N638">
        <v>0</v>
      </c>
      <c r="O638">
        <v>0</v>
      </c>
      <c r="P638">
        <v>0</v>
      </c>
      <c r="Q638">
        <v>0</v>
      </c>
      <c r="R638">
        <v>0</v>
      </c>
    </row>
    <row r="639" spans="1:18">
      <c r="A639" t="s">
        <v>1121</v>
      </c>
      <c r="B639" t="s">
        <v>174</v>
      </c>
      <c r="C639" t="s">
        <v>169</v>
      </c>
      <c r="D639">
        <v>0</v>
      </c>
      <c r="E639">
        <v>0</v>
      </c>
      <c r="F639">
        <v>0</v>
      </c>
      <c r="G639">
        <v>0</v>
      </c>
      <c r="H639">
        <v>0</v>
      </c>
      <c r="I639">
        <v>0</v>
      </c>
      <c r="J639">
        <v>0</v>
      </c>
      <c r="K639">
        <v>0</v>
      </c>
      <c r="L639">
        <v>0</v>
      </c>
      <c r="M639">
        <v>0</v>
      </c>
      <c r="N639">
        <v>0</v>
      </c>
      <c r="O639">
        <v>0</v>
      </c>
      <c r="P639">
        <v>0</v>
      </c>
      <c r="Q639">
        <v>0</v>
      </c>
      <c r="R639">
        <v>0</v>
      </c>
    </row>
    <row r="640" spans="1:18">
      <c r="A640" t="s">
        <v>1122</v>
      </c>
      <c r="B640" t="s">
        <v>174</v>
      </c>
      <c r="C640" t="s">
        <v>486</v>
      </c>
      <c r="D640">
        <v>1</v>
      </c>
      <c r="E640">
        <v>1</v>
      </c>
      <c r="F640">
        <v>1</v>
      </c>
      <c r="G640">
        <v>1</v>
      </c>
      <c r="H640">
        <v>1</v>
      </c>
      <c r="I640">
        <v>1</v>
      </c>
      <c r="J640">
        <v>1</v>
      </c>
      <c r="K640">
        <v>1</v>
      </c>
      <c r="L640">
        <v>1</v>
      </c>
      <c r="M640">
        <v>1</v>
      </c>
      <c r="N640">
        <v>1</v>
      </c>
      <c r="O640">
        <v>1</v>
      </c>
      <c r="P640">
        <v>1</v>
      </c>
      <c r="Q640">
        <v>1</v>
      </c>
      <c r="R640">
        <v>1</v>
      </c>
    </row>
    <row r="641" spans="1:18">
      <c r="A641" t="s">
        <v>1123</v>
      </c>
      <c r="B641" t="s">
        <v>174</v>
      </c>
      <c r="C641" t="s">
        <v>488</v>
      </c>
      <c r="D641">
        <v>1</v>
      </c>
      <c r="E641">
        <v>1</v>
      </c>
      <c r="F641">
        <v>1</v>
      </c>
      <c r="G641">
        <v>1</v>
      </c>
      <c r="H641">
        <v>1</v>
      </c>
      <c r="I641">
        <v>1</v>
      </c>
      <c r="J641">
        <v>1</v>
      </c>
      <c r="K641">
        <v>1</v>
      </c>
      <c r="L641">
        <v>1</v>
      </c>
      <c r="M641">
        <v>1</v>
      </c>
      <c r="N641">
        <v>1</v>
      </c>
      <c r="O641">
        <v>1</v>
      </c>
      <c r="P641">
        <v>1</v>
      </c>
      <c r="Q641">
        <v>1</v>
      </c>
      <c r="R641">
        <v>1</v>
      </c>
    </row>
    <row r="642" spans="1:18">
      <c r="A642" t="s">
        <v>1124</v>
      </c>
      <c r="B642" t="s">
        <v>174</v>
      </c>
      <c r="C642" t="s">
        <v>148</v>
      </c>
      <c r="D642">
        <v>0</v>
      </c>
      <c r="E642">
        <v>0</v>
      </c>
      <c r="F642">
        <v>0</v>
      </c>
      <c r="G642">
        <v>0</v>
      </c>
      <c r="H642">
        <v>0</v>
      </c>
      <c r="I642">
        <v>0</v>
      </c>
      <c r="J642">
        <v>0</v>
      </c>
      <c r="K642">
        <v>0</v>
      </c>
      <c r="L642">
        <v>0</v>
      </c>
      <c r="M642">
        <v>0</v>
      </c>
      <c r="N642">
        <v>0</v>
      </c>
      <c r="O642">
        <v>0</v>
      </c>
      <c r="P642">
        <v>0</v>
      </c>
      <c r="Q642">
        <v>0</v>
      </c>
      <c r="R642">
        <v>0</v>
      </c>
    </row>
    <row r="643" spans="1:18">
      <c r="A643" t="s">
        <v>1125</v>
      </c>
      <c r="B643" t="s">
        <v>174</v>
      </c>
      <c r="C643" t="s">
        <v>184</v>
      </c>
      <c r="D643">
        <v>0</v>
      </c>
      <c r="E643">
        <v>0</v>
      </c>
      <c r="F643">
        <v>0</v>
      </c>
      <c r="G643">
        <v>0</v>
      </c>
      <c r="H643">
        <v>0</v>
      </c>
      <c r="I643">
        <v>0</v>
      </c>
      <c r="J643">
        <v>0</v>
      </c>
      <c r="K643">
        <v>0</v>
      </c>
      <c r="L643">
        <v>0</v>
      </c>
      <c r="M643">
        <v>0</v>
      </c>
      <c r="N643">
        <v>0</v>
      </c>
      <c r="O643">
        <v>0</v>
      </c>
      <c r="P643">
        <v>0</v>
      </c>
      <c r="Q643">
        <v>0</v>
      </c>
      <c r="R643">
        <v>0</v>
      </c>
    </row>
    <row r="644" spans="1:18">
      <c r="A644" t="s">
        <v>1126</v>
      </c>
      <c r="B644" t="s">
        <v>174</v>
      </c>
      <c r="C644" s="4" t="s">
        <v>188</v>
      </c>
      <c r="D644">
        <v>0</v>
      </c>
      <c r="E644">
        <v>0</v>
      </c>
      <c r="F644">
        <v>0</v>
      </c>
      <c r="G644">
        <v>0</v>
      </c>
      <c r="H644">
        <v>0</v>
      </c>
      <c r="I644">
        <v>0</v>
      </c>
      <c r="J644">
        <v>0</v>
      </c>
      <c r="K644">
        <v>0</v>
      </c>
      <c r="L644">
        <v>0</v>
      </c>
      <c r="M644">
        <v>0</v>
      </c>
      <c r="N644">
        <v>0</v>
      </c>
      <c r="O644">
        <v>0</v>
      </c>
      <c r="P644">
        <v>0</v>
      </c>
      <c r="Q644">
        <v>0</v>
      </c>
      <c r="R644">
        <v>0</v>
      </c>
    </row>
    <row r="645" spans="1:18">
      <c r="A645" t="s">
        <v>1127</v>
      </c>
      <c r="B645" t="s">
        <v>174</v>
      </c>
      <c r="C645" s="35" t="s">
        <v>189</v>
      </c>
      <c r="D645">
        <v>0</v>
      </c>
      <c r="E645">
        <v>0</v>
      </c>
      <c r="F645">
        <v>0</v>
      </c>
      <c r="G645">
        <v>0</v>
      </c>
      <c r="H645">
        <v>0</v>
      </c>
      <c r="I645">
        <v>0</v>
      </c>
      <c r="J645">
        <v>0</v>
      </c>
      <c r="K645">
        <v>0</v>
      </c>
      <c r="L645">
        <v>0</v>
      </c>
      <c r="M645">
        <v>0</v>
      </c>
      <c r="N645">
        <v>0</v>
      </c>
      <c r="O645">
        <v>0</v>
      </c>
      <c r="P645">
        <v>0</v>
      </c>
      <c r="Q645">
        <v>0</v>
      </c>
      <c r="R645">
        <v>0</v>
      </c>
    </row>
    <row r="646" spans="1:18">
      <c r="A646" t="s">
        <v>1128</v>
      </c>
      <c r="B646" t="s">
        <v>174</v>
      </c>
      <c r="C646" t="s">
        <v>172</v>
      </c>
      <c r="D646">
        <v>0</v>
      </c>
      <c r="E646">
        <v>0</v>
      </c>
      <c r="F646">
        <v>0</v>
      </c>
      <c r="G646">
        <v>0</v>
      </c>
      <c r="H646">
        <v>0</v>
      </c>
      <c r="I646">
        <v>0</v>
      </c>
      <c r="J646">
        <v>0</v>
      </c>
      <c r="K646">
        <v>0</v>
      </c>
      <c r="L646">
        <v>0</v>
      </c>
      <c r="M646">
        <v>0</v>
      </c>
      <c r="N646">
        <v>0</v>
      </c>
      <c r="O646">
        <v>0</v>
      </c>
      <c r="P646">
        <v>0</v>
      </c>
      <c r="Q646">
        <v>0</v>
      </c>
      <c r="R646">
        <v>0</v>
      </c>
    </row>
    <row r="647" spans="1:18">
      <c r="A647" t="s">
        <v>1129</v>
      </c>
      <c r="B647" t="s">
        <v>174</v>
      </c>
      <c r="C647" t="s">
        <v>30</v>
      </c>
      <c r="D647">
        <v>0</v>
      </c>
      <c r="E647">
        <v>0</v>
      </c>
      <c r="F647">
        <v>0</v>
      </c>
      <c r="G647">
        <v>0</v>
      </c>
      <c r="H647">
        <v>0</v>
      </c>
      <c r="I647">
        <v>0</v>
      </c>
      <c r="J647">
        <v>0</v>
      </c>
      <c r="K647">
        <v>0</v>
      </c>
      <c r="L647">
        <v>0</v>
      </c>
      <c r="M647">
        <v>0</v>
      </c>
      <c r="N647">
        <v>0</v>
      </c>
      <c r="O647">
        <v>0</v>
      </c>
      <c r="P647">
        <v>0</v>
      </c>
      <c r="Q647">
        <v>0</v>
      </c>
      <c r="R647">
        <v>0</v>
      </c>
    </row>
    <row r="648" spans="1:18">
      <c r="A648" t="s">
        <v>1130</v>
      </c>
      <c r="B648" t="s">
        <v>175</v>
      </c>
      <c r="C648" t="s">
        <v>32</v>
      </c>
      <c r="D648">
        <v>2</v>
      </c>
      <c r="E648">
        <v>4</v>
      </c>
      <c r="F648">
        <v>0</v>
      </c>
      <c r="G648">
        <v>3</v>
      </c>
      <c r="H648">
        <v>4</v>
      </c>
      <c r="I648">
        <v>2</v>
      </c>
      <c r="J648">
        <v>8</v>
      </c>
      <c r="K648">
        <v>6</v>
      </c>
      <c r="L648">
        <v>2</v>
      </c>
      <c r="M648">
        <v>3</v>
      </c>
      <c r="N648">
        <v>1</v>
      </c>
      <c r="O648">
        <v>5</v>
      </c>
      <c r="P648">
        <v>7</v>
      </c>
      <c r="Q648">
        <v>0</v>
      </c>
      <c r="R648">
        <v>4</v>
      </c>
    </row>
    <row r="649" spans="1:18">
      <c r="A649" t="s">
        <v>1131</v>
      </c>
      <c r="B649" t="s">
        <v>175</v>
      </c>
      <c r="C649" s="4" t="s">
        <v>34</v>
      </c>
      <c r="D649">
        <v>0</v>
      </c>
      <c r="E649">
        <v>0</v>
      </c>
      <c r="F649">
        <v>0</v>
      </c>
      <c r="G649">
        <v>1</v>
      </c>
      <c r="H649">
        <v>3</v>
      </c>
      <c r="I649">
        <v>2</v>
      </c>
      <c r="J649">
        <v>5</v>
      </c>
      <c r="K649">
        <v>5</v>
      </c>
      <c r="L649">
        <v>1</v>
      </c>
      <c r="M649">
        <v>0</v>
      </c>
      <c r="N649">
        <v>1</v>
      </c>
      <c r="O649">
        <v>0</v>
      </c>
      <c r="P649">
        <v>5</v>
      </c>
      <c r="Q649">
        <v>0</v>
      </c>
      <c r="R649">
        <v>3</v>
      </c>
    </row>
    <row r="650" spans="1:18">
      <c r="A650" t="s">
        <v>1132</v>
      </c>
      <c r="B650" t="s">
        <v>175</v>
      </c>
      <c r="C650" t="s">
        <v>169</v>
      </c>
      <c r="D650">
        <v>2</v>
      </c>
      <c r="E650">
        <v>4</v>
      </c>
      <c r="F650">
        <v>0</v>
      </c>
      <c r="G650">
        <v>2</v>
      </c>
      <c r="H650">
        <v>1</v>
      </c>
      <c r="I650">
        <v>0</v>
      </c>
      <c r="J650">
        <v>3</v>
      </c>
      <c r="K650">
        <v>1</v>
      </c>
      <c r="L650">
        <v>1</v>
      </c>
      <c r="M650">
        <v>3</v>
      </c>
      <c r="N650">
        <v>0</v>
      </c>
      <c r="O650">
        <v>5</v>
      </c>
      <c r="P650">
        <v>2</v>
      </c>
      <c r="Q650">
        <v>0</v>
      </c>
      <c r="R650">
        <v>1</v>
      </c>
    </row>
    <row r="651" spans="1:18">
      <c r="A651" t="s">
        <v>1133</v>
      </c>
      <c r="B651" t="s">
        <v>175</v>
      </c>
      <c r="C651" t="s">
        <v>486</v>
      </c>
      <c r="D651">
        <v>23</v>
      </c>
      <c r="E651">
        <v>25</v>
      </c>
      <c r="F651">
        <v>12</v>
      </c>
      <c r="G651">
        <v>12</v>
      </c>
      <c r="H651">
        <v>3</v>
      </c>
      <c r="I651">
        <v>3</v>
      </c>
      <c r="J651">
        <v>3</v>
      </c>
      <c r="K651">
        <v>6</v>
      </c>
      <c r="L651">
        <v>37</v>
      </c>
      <c r="M651">
        <v>22</v>
      </c>
      <c r="N651">
        <v>19</v>
      </c>
      <c r="O651">
        <v>19</v>
      </c>
      <c r="P651">
        <v>7</v>
      </c>
      <c r="Q651">
        <v>7</v>
      </c>
      <c r="R651">
        <v>7</v>
      </c>
    </row>
    <row r="652" spans="1:18">
      <c r="A652" t="s">
        <v>1134</v>
      </c>
      <c r="B652" t="s">
        <v>175</v>
      </c>
      <c r="C652" t="s">
        <v>488</v>
      </c>
      <c r="D652">
        <v>80</v>
      </c>
      <c r="E652">
        <v>80</v>
      </c>
      <c r="F652">
        <v>31</v>
      </c>
      <c r="G652">
        <v>31</v>
      </c>
      <c r="H652">
        <v>36</v>
      </c>
      <c r="I652">
        <v>36</v>
      </c>
      <c r="J652">
        <v>44</v>
      </c>
      <c r="K652">
        <v>44</v>
      </c>
      <c r="L652">
        <v>57</v>
      </c>
      <c r="M652">
        <v>57</v>
      </c>
      <c r="N652">
        <v>42</v>
      </c>
      <c r="O652">
        <v>42</v>
      </c>
      <c r="P652">
        <v>42</v>
      </c>
      <c r="Q652">
        <v>38</v>
      </c>
      <c r="R652">
        <v>38</v>
      </c>
    </row>
    <row r="653" spans="1:18">
      <c r="A653" t="s">
        <v>1135</v>
      </c>
      <c r="B653" t="s">
        <v>175</v>
      </c>
      <c r="C653" t="s">
        <v>148</v>
      </c>
      <c r="D653">
        <v>19</v>
      </c>
      <c r="E653">
        <v>31</v>
      </c>
      <c r="F653">
        <v>0</v>
      </c>
      <c r="G653">
        <v>25</v>
      </c>
      <c r="H653">
        <v>1</v>
      </c>
      <c r="I653">
        <v>1</v>
      </c>
      <c r="J653">
        <v>3</v>
      </c>
      <c r="K653">
        <v>3</v>
      </c>
      <c r="L653">
        <v>3</v>
      </c>
      <c r="M653">
        <v>44</v>
      </c>
      <c r="N653">
        <v>3</v>
      </c>
      <c r="O653">
        <v>22</v>
      </c>
      <c r="P653">
        <v>5</v>
      </c>
      <c r="Q653">
        <v>0</v>
      </c>
      <c r="R653">
        <v>7</v>
      </c>
    </row>
    <row r="654" spans="1:18">
      <c r="A654" t="s">
        <v>1136</v>
      </c>
      <c r="B654" t="s">
        <v>175</v>
      </c>
      <c r="C654" t="s">
        <v>184</v>
      </c>
      <c r="D654">
        <v>22</v>
      </c>
      <c r="E654">
        <v>80</v>
      </c>
      <c r="F654">
        <v>0</v>
      </c>
      <c r="G654">
        <v>25</v>
      </c>
      <c r="H654">
        <v>31</v>
      </c>
      <c r="I654">
        <v>13</v>
      </c>
      <c r="J654">
        <v>48</v>
      </c>
      <c r="K654">
        <v>36</v>
      </c>
      <c r="L654">
        <v>44</v>
      </c>
      <c r="M654">
        <v>57</v>
      </c>
      <c r="N654">
        <v>3</v>
      </c>
      <c r="O654">
        <v>25</v>
      </c>
      <c r="P654">
        <v>105</v>
      </c>
      <c r="Q654">
        <v>0</v>
      </c>
      <c r="R654">
        <v>38</v>
      </c>
    </row>
    <row r="655" spans="1:18">
      <c r="A655" t="s">
        <v>1137</v>
      </c>
      <c r="B655" t="s">
        <v>175</v>
      </c>
      <c r="C655" s="4" t="s">
        <v>188</v>
      </c>
      <c r="D655">
        <v>2</v>
      </c>
      <c r="E655">
        <v>2</v>
      </c>
      <c r="F655">
        <v>0</v>
      </c>
      <c r="G655">
        <v>2</v>
      </c>
      <c r="H655">
        <v>1</v>
      </c>
      <c r="I655">
        <v>0</v>
      </c>
      <c r="J655">
        <v>1</v>
      </c>
      <c r="K655">
        <v>0</v>
      </c>
      <c r="L655">
        <v>0</v>
      </c>
      <c r="M655">
        <v>0</v>
      </c>
      <c r="N655">
        <v>0</v>
      </c>
      <c r="O655">
        <v>5</v>
      </c>
      <c r="P655">
        <v>0</v>
      </c>
      <c r="Q655">
        <v>0</v>
      </c>
      <c r="R655">
        <v>0</v>
      </c>
    </row>
    <row r="656" spans="1:18">
      <c r="A656" t="s">
        <v>1138</v>
      </c>
      <c r="B656" t="s">
        <v>175</v>
      </c>
      <c r="C656" s="35" t="s">
        <v>189</v>
      </c>
      <c r="D656">
        <v>0</v>
      </c>
      <c r="E656">
        <v>2</v>
      </c>
      <c r="F656">
        <v>0</v>
      </c>
      <c r="G656">
        <v>0</v>
      </c>
      <c r="H656">
        <v>0</v>
      </c>
      <c r="I656">
        <v>0</v>
      </c>
      <c r="J656">
        <v>2</v>
      </c>
      <c r="K656">
        <v>1</v>
      </c>
      <c r="L656">
        <v>1</v>
      </c>
      <c r="M656">
        <v>3</v>
      </c>
      <c r="N656">
        <v>0</v>
      </c>
      <c r="O656">
        <v>0</v>
      </c>
      <c r="P656">
        <v>2</v>
      </c>
      <c r="Q656">
        <v>0</v>
      </c>
      <c r="R656">
        <v>1</v>
      </c>
    </row>
    <row r="657" spans="1:18">
      <c r="A657" t="s">
        <v>1139</v>
      </c>
      <c r="B657" t="s">
        <v>175</v>
      </c>
      <c r="C657" t="s">
        <v>172</v>
      </c>
      <c r="D657">
        <v>0</v>
      </c>
      <c r="E657">
        <v>0</v>
      </c>
      <c r="F657">
        <v>0</v>
      </c>
      <c r="G657">
        <v>0</v>
      </c>
      <c r="H657">
        <v>0</v>
      </c>
      <c r="I657">
        <v>0</v>
      </c>
      <c r="J657">
        <v>2</v>
      </c>
      <c r="K657">
        <v>1</v>
      </c>
      <c r="L657">
        <v>1</v>
      </c>
      <c r="M657">
        <v>2</v>
      </c>
      <c r="N657">
        <v>0</v>
      </c>
      <c r="O657">
        <v>0</v>
      </c>
      <c r="P657">
        <v>1</v>
      </c>
      <c r="Q657">
        <v>0</v>
      </c>
      <c r="R657">
        <v>1</v>
      </c>
    </row>
    <row r="658" spans="1:18">
      <c r="A658" t="s">
        <v>1140</v>
      </c>
      <c r="B658" t="s">
        <v>175</v>
      </c>
      <c r="C658" t="s">
        <v>30</v>
      </c>
      <c r="D658">
        <v>0</v>
      </c>
      <c r="E658">
        <v>2</v>
      </c>
      <c r="F658">
        <v>0</v>
      </c>
      <c r="G658">
        <v>0</v>
      </c>
      <c r="H658">
        <v>0</v>
      </c>
      <c r="I658">
        <v>0</v>
      </c>
      <c r="J658">
        <v>0</v>
      </c>
      <c r="K658">
        <v>0</v>
      </c>
      <c r="L658">
        <v>0</v>
      </c>
      <c r="M658">
        <v>1</v>
      </c>
      <c r="N658">
        <v>0</v>
      </c>
      <c r="O658">
        <v>0</v>
      </c>
      <c r="P658">
        <v>1</v>
      </c>
      <c r="Q658">
        <v>0</v>
      </c>
      <c r="R658">
        <v>0</v>
      </c>
    </row>
    <row r="659" spans="1:18">
      <c r="A659" t="s">
        <v>1141</v>
      </c>
      <c r="B659" t="s">
        <v>175</v>
      </c>
      <c r="C659" t="s">
        <v>177</v>
      </c>
      <c r="D659">
        <v>1</v>
      </c>
      <c r="E659">
        <v>14</v>
      </c>
      <c r="F659">
        <v>6</v>
      </c>
      <c r="G659">
        <v>6</v>
      </c>
      <c r="H659">
        <v>14</v>
      </c>
      <c r="I659">
        <v>7</v>
      </c>
      <c r="J659">
        <v>11</v>
      </c>
      <c r="K659">
        <v>8</v>
      </c>
      <c r="L659">
        <v>5</v>
      </c>
      <c r="M659">
        <v>4</v>
      </c>
      <c r="N659">
        <v>4</v>
      </c>
      <c r="O659">
        <v>7</v>
      </c>
      <c r="P659">
        <v>6</v>
      </c>
      <c r="Q659">
        <v>4</v>
      </c>
      <c r="R659">
        <v>1</v>
      </c>
    </row>
    <row r="660" spans="1:18">
      <c r="A660" t="s">
        <v>1142</v>
      </c>
      <c r="B660" t="s">
        <v>175</v>
      </c>
      <c r="C660" t="s">
        <v>178</v>
      </c>
      <c r="D660">
        <v>1</v>
      </c>
      <c r="E660">
        <v>14</v>
      </c>
      <c r="F660">
        <v>6</v>
      </c>
      <c r="G660">
        <v>6</v>
      </c>
      <c r="H660">
        <v>14</v>
      </c>
      <c r="I660">
        <v>7</v>
      </c>
      <c r="J660">
        <v>11</v>
      </c>
      <c r="K660">
        <v>8</v>
      </c>
      <c r="L660">
        <v>5</v>
      </c>
      <c r="M660">
        <v>4</v>
      </c>
      <c r="N660">
        <v>4</v>
      </c>
      <c r="O660">
        <v>7</v>
      </c>
      <c r="P660">
        <v>6</v>
      </c>
      <c r="Q660">
        <v>4</v>
      </c>
      <c r="R660">
        <v>1</v>
      </c>
    </row>
    <row r="661" spans="1:18">
      <c r="A661" t="s">
        <v>1143</v>
      </c>
      <c r="B661" t="s">
        <v>176</v>
      </c>
      <c r="C661" t="s">
        <v>32</v>
      </c>
      <c r="D661">
        <v>0</v>
      </c>
      <c r="E661">
        <v>0</v>
      </c>
      <c r="F661">
        <v>0</v>
      </c>
      <c r="G661">
        <v>0</v>
      </c>
      <c r="H661">
        <v>0</v>
      </c>
      <c r="I661">
        <v>0</v>
      </c>
      <c r="J661">
        <v>0</v>
      </c>
      <c r="K661">
        <v>0</v>
      </c>
      <c r="L661">
        <v>0</v>
      </c>
      <c r="M661">
        <v>0</v>
      </c>
      <c r="N661">
        <v>0</v>
      </c>
      <c r="O661">
        <v>0</v>
      </c>
      <c r="P661">
        <v>0</v>
      </c>
      <c r="Q661">
        <v>0</v>
      </c>
      <c r="R661">
        <v>0</v>
      </c>
    </row>
    <row r="662" spans="1:18">
      <c r="A662" t="s">
        <v>1144</v>
      </c>
      <c r="B662" t="s">
        <v>176</v>
      </c>
      <c r="C662" s="4" t="s">
        <v>34</v>
      </c>
      <c r="D662">
        <v>0</v>
      </c>
      <c r="E662">
        <v>0</v>
      </c>
      <c r="F662">
        <v>0</v>
      </c>
      <c r="G662">
        <v>0</v>
      </c>
      <c r="H662">
        <v>0</v>
      </c>
      <c r="I662">
        <v>0</v>
      </c>
      <c r="J662">
        <v>0</v>
      </c>
      <c r="K662">
        <v>0</v>
      </c>
      <c r="L662">
        <v>0</v>
      </c>
      <c r="M662">
        <v>0</v>
      </c>
      <c r="N662">
        <v>0</v>
      </c>
      <c r="O662">
        <v>0</v>
      </c>
      <c r="P662">
        <v>0</v>
      </c>
      <c r="Q662">
        <v>0</v>
      </c>
      <c r="R662">
        <v>0</v>
      </c>
    </row>
    <row r="663" spans="1:18">
      <c r="A663" t="s">
        <v>1145</v>
      </c>
      <c r="B663" t="s">
        <v>176</v>
      </c>
      <c r="C663" t="s">
        <v>169</v>
      </c>
      <c r="D663">
        <v>0</v>
      </c>
      <c r="E663">
        <v>0</v>
      </c>
      <c r="F663">
        <v>0</v>
      </c>
      <c r="G663">
        <v>0</v>
      </c>
      <c r="H663">
        <v>0</v>
      </c>
      <c r="I663">
        <v>0</v>
      </c>
      <c r="J663">
        <v>0</v>
      </c>
      <c r="K663">
        <v>0</v>
      </c>
      <c r="L663">
        <v>0</v>
      </c>
      <c r="M663">
        <v>0</v>
      </c>
      <c r="N663">
        <v>0</v>
      </c>
      <c r="O663">
        <v>0</v>
      </c>
      <c r="P663">
        <v>0</v>
      </c>
      <c r="Q663">
        <v>0</v>
      </c>
      <c r="R663">
        <v>0</v>
      </c>
    </row>
    <row r="664" spans="1:18">
      <c r="A664" t="s">
        <v>1146</v>
      </c>
      <c r="B664" t="s">
        <v>176</v>
      </c>
      <c r="C664" t="s">
        <v>170</v>
      </c>
      <c r="D664">
        <v>1</v>
      </c>
      <c r="E664">
        <v>14</v>
      </c>
      <c r="F664">
        <v>6</v>
      </c>
      <c r="G664">
        <v>6</v>
      </c>
      <c r="H664">
        <v>14</v>
      </c>
      <c r="I664">
        <v>7</v>
      </c>
      <c r="J664">
        <v>11</v>
      </c>
      <c r="K664">
        <v>8</v>
      </c>
      <c r="L664">
        <v>5</v>
      </c>
      <c r="M664">
        <v>4</v>
      </c>
      <c r="N664">
        <v>4</v>
      </c>
      <c r="O664">
        <v>7</v>
      </c>
      <c r="P664">
        <v>6</v>
      </c>
      <c r="Q664">
        <v>4</v>
      </c>
      <c r="R664">
        <v>1</v>
      </c>
    </row>
    <row r="665" spans="1:18">
      <c r="A665" t="s">
        <v>1147</v>
      </c>
      <c r="B665" t="s">
        <v>176</v>
      </c>
      <c r="C665" t="s">
        <v>171</v>
      </c>
      <c r="D665">
        <v>1</v>
      </c>
      <c r="E665">
        <v>14</v>
      </c>
      <c r="F665">
        <v>6</v>
      </c>
      <c r="G665">
        <v>6</v>
      </c>
      <c r="H665">
        <v>14</v>
      </c>
      <c r="I665">
        <v>7</v>
      </c>
      <c r="J665">
        <v>11</v>
      </c>
      <c r="K665">
        <v>8</v>
      </c>
      <c r="L665">
        <v>5</v>
      </c>
      <c r="M665">
        <v>4</v>
      </c>
      <c r="N665">
        <v>4</v>
      </c>
      <c r="O665">
        <v>7</v>
      </c>
      <c r="P665">
        <v>6</v>
      </c>
      <c r="Q665">
        <v>4</v>
      </c>
      <c r="R665">
        <v>1</v>
      </c>
    </row>
    <row r="666" spans="1:18">
      <c r="A666" t="s">
        <v>1148</v>
      </c>
      <c r="B666" t="s">
        <v>176</v>
      </c>
      <c r="C666" t="s">
        <v>148</v>
      </c>
      <c r="D666">
        <v>0</v>
      </c>
      <c r="E666">
        <v>0</v>
      </c>
      <c r="F666">
        <v>0</v>
      </c>
      <c r="G666">
        <v>0</v>
      </c>
      <c r="H666">
        <v>0</v>
      </c>
      <c r="I666">
        <v>0</v>
      </c>
      <c r="J666">
        <v>0</v>
      </c>
      <c r="K666">
        <v>0</v>
      </c>
      <c r="L666">
        <v>0</v>
      </c>
      <c r="M666">
        <v>0</v>
      </c>
      <c r="N666">
        <v>0</v>
      </c>
      <c r="O666">
        <v>0</v>
      </c>
      <c r="P666">
        <v>0</v>
      </c>
      <c r="Q666">
        <v>0</v>
      </c>
      <c r="R666">
        <v>0</v>
      </c>
    </row>
    <row r="667" spans="1:18">
      <c r="A667" t="s">
        <v>1149</v>
      </c>
      <c r="B667" t="s">
        <v>176</v>
      </c>
      <c r="C667" t="s">
        <v>184</v>
      </c>
      <c r="D667">
        <v>0</v>
      </c>
      <c r="E667">
        <v>0</v>
      </c>
      <c r="F667">
        <v>0</v>
      </c>
      <c r="G667">
        <v>0</v>
      </c>
      <c r="H667">
        <v>0</v>
      </c>
      <c r="I667">
        <v>0</v>
      </c>
      <c r="J667">
        <v>0</v>
      </c>
      <c r="K667">
        <v>0</v>
      </c>
      <c r="L667">
        <v>0</v>
      </c>
      <c r="M667">
        <v>0</v>
      </c>
      <c r="N667">
        <v>0</v>
      </c>
      <c r="O667">
        <v>0</v>
      </c>
      <c r="P667">
        <v>0</v>
      </c>
      <c r="Q667">
        <v>0</v>
      </c>
      <c r="R667">
        <v>0</v>
      </c>
    </row>
    <row r="668" spans="1:18">
      <c r="A668" t="s">
        <v>1150</v>
      </c>
      <c r="B668" t="s">
        <v>176</v>
      </c>
      <c r="C668" s="4" t="s">
        <v>188</v>
      </c>
      <c r="D668">
        <v>0</v>
      </c>
      <c r="E668">
        <v>0</v>
      </c>
      <c r="F668">
        <v>0</v>
      </c>
      <c r="G668">
        <v>0</v>
      </c>
      <c r="H668">
        <v>0</v>
      </c>
      <c r="I668">
        <v>0</v>
      </c>
      <c r="J668">
        <v>0</v>
      </c>
      <c r="K668">
        <v>0</v>
      </c>
      <c r="L668">
        <v>0</v>
      </c>
      <c r="M668">
        <v>0</v>
      </c>
      <c r="N668">
        <v>0</v>
      </c>
      <c r="O668">
        <v>0</v>
      </c>
      <c r="P668">
        <v>0</v>
      </c>
      <c r="Q668">
        <v>0</v>
      </c>
      <c r="R668">
        <v>0</v>
      </c>
    </row>
    <row r="669" spans="1:18">
      <c r="A669" t="s">
        <v>1151</v>
      </c>
      <c r="B669" t="s">
        <v>176</v>
      </c>
      <c r="C669" s="35" t="s">
        <v>189</v>
      </c>
      <c r="D669">
        <v>0</v>
      </c>
      <c r="E669">
        <v>0</v>
      </c>
      <c r="F669">
        <v>0</v>
      </c>
      <c r="G669">
        <v>0</v>
      </c>
      <c r="H669">
        <v>0</v>
      </c>
      <c r="I669">
        <v>0</v>
      </c>
      <c r="J669">
        <v>0</v>
      </c>
      <c r="K669">
        <v>0</v>
      </c>
      <c r="L669">
        <v>0</v>
      </c>
      <c r="M669">
        <v>0</v>
      </c>
      <c r="N669">
        <v>0</v>
      </c>
      <c r="O669">
        <v>0</v>
      </c>
      <c r="P669">
        <v>0</v>
      </c>
      <c r="Q669">
        <v>0</v>
      </c>
      <c r="R669">
        <v>0</v>
      </c>
    </row>
    <row r="670" spans="1:18">
      <c r="A670" t="s">
        <v>1152</v>
      </c>
      <c r="B670" t="s">
        <v>176</v>
      </c>
      <c r="C670" t="s">
        <v>172</v>
      </c>
      <c r="D670">
        <v>0</v>
      </c>
      <c r="E670">
        <v>0</v>
      </c>
      <c r="F670">
        <v>0</v>
      </c>
      <c r="G670">
        <v>0</v>
      </c>
      <c r="H670">
        <v>0</v>
      </c>
      <c r="I670">
        <v>0</v>
      </c>
      <c r="J670">
        <v>0</v>
      </c>
      <c r="K670">
        <v>0</v>
      </c>
      <c r="L670">
        <v>0</v>
      </c>
      <c r="M670">
        <v>0</v>
      </c>
      <c r="N670">
        <v>0</v>
      </c>
      <c r="O670">
        <v>0</v>
      </c>
      <c r="P670">
        <v>0</v>
      </c>
      <c r="Q670">
        <v>0</v>
      </c>
      <c r="R670">
        <v>0</v>
      </c>
    </row>
    <row r="671" spans="1:18">
      <c r="A671" t="s">
        <v>1153</v>
      </c>
      <c r="B671" t="s">
        <v>176</v>
      </c>
      <c r="C671" t="s">
        <v>30</v>
      </c>
      <c r="D671">
        <v>0</v>
      </c>
      <c r="E671">
        <v>0</v>
      </c>
      <c r="F671">
        <v>0</v>
      </c>
      <c r="G671">
        <v>0</v>
      </c>
      <c r="H671">
        <v>0</v>
      </c>
      <c r="I671">
        <v>0</v>
      </c>
      <c r="J671">
        <v>0</v>
      </c>
      <c r="K671">
        <v>0</v>
      </c>
      <c r="L671">
        <v>0</v>
      </c>
      <c r="M671">
        <v>0</v>
      </c>
      <c r="N671">
        <v>0</v>
      </c>
      <c r="O671">
        <v>0</v>
      </c>
      <c r="P671">
        <v>0</v>
      </c>
      <c r="Q671">
        <v>0</v>
      </c>
      <c r="R671">
        <v>0</v>
      </c>
    </row>
    <row r="672" spans="1:18">
      <c r="A672" t="s">
        <v>1154</v>
      </c>
      <c r="B672" t="s">
        <v>176</v>
      </c>
      <c r="C672" t="s">
        <v>177</v>
      </c>
      <c r="D672">
        <v>0</v>
      </c>
      <c r="E672">
        <v>1</v>
      </c>
      <c r="F672">
        <v>1</v>
      </c>
      <c r="G672">
        <v>2</v>
      </c>
      <c r="H672">
        <v>0</v>
      </c>
      <c r="I672">
        <v>0</v>
      </c>
      <c r="J672">
        <v>0</v>
      </c>
      <c r="K672">
        <v>0</v>
      </c>
      <c r="L672">
        <v>0</v>
      </c>
      <c r="M672">
        <v>1</v>
      </c>
      <c r="N672">
        <v>0</v>
      </c>
      <c r="O672">
        <v>0</v>
      </c>
      <c r="P672">
        <v>0</v>
      </c>
      <c r="Q672">
        <v>0</v>
      </c>
      <c r="R672">
        <v>0</v>
      </c>
    </row>
    <row r="673" spans="1:18">
      <c r="A673" t="s">
        <v>1155</v>
      </c>
      <c r="B673" t="s">
        <v>176</v>
      </c>
      <c r="C673" t="s">
        <v>178</v>
      </c>
      <c r="D673">
        <v>0</v>
      </c>
      <c r="E673">
        <v>1</v>
      </c>
      <c r="F673">
        <v>1</v>
      </c>
      <c r="G673">
        <v>2</v>
      </c>
      <c r="H673">
        <v>0</v>
      </c>
      <c r="I673">
        <v>0</v>
      </c>
      <c r="J673">
        <v>0</v>
      </c>
      <c r="K673">
        <v>0</v>
      </c>
      <c r="L673">
        <v>0</v>
      </c>
      <c r="M673">
        <v>1</v>
      </c>
      <c r="N673">
        <v>0</v>
      </c>
      <c r="O673">
        <v>0</v>
      </c>
      <c r="P673">
        <v>0</v>
      </c>
      <c r="Q673">
        <v>0</v>
      </c>
      <c r="R673">
        <v>0</v>
      </c>
    </row>
    <row r="674" spans="1:18">
      <c r="A674" t="s">
        <v>1156</v>
      </c>
      <c r="B674" t="s">
        <v>173</v>
      </c>
      <c r="C674" t="s">
        <v>32</v>
      </c>
      <c r="D674">
        <v>3042</v>
      </c>
      <c r="E674">
        <v>3446</v>
      </c>
      <c r="F674">
        <v>4332</v>
      </c>
      <c r="G674">
        <v>4930</v>
      </c>
      <c r="H674">
        <v>4777</v>
      </c>
      <c r="I674">
        <v>5311</v>
      </c>
      <c r="J674">
        <v>5524</v>
      </c>
      <c r="K674">
        <v>6450</v>
      </c>
      <c r="L674">
        <v>5049</v>
      </c>
      <c r="M674">
        <v>5745</v>
      </c>
      <c r="N674">
        <v>5855</v>
      </c>
      <c r="O674">
        <v>6523</v>
      </c>
      <c r="P674">
        <v>6385</v>
      </c>
      <c r="Q674">
        <v>6483</v>
      </c>
      <c r="R674">
        <v>6719</v>
      </c>
    </row>
    <row r="675" spans="1:18">
      <c r="A675" t="s">
        <v>1157</v>
      </c>
      <c r="B675" t="s">
        <v>173</v>
      </c>
      <c r="C675" s="4" t="s">
        <v>34</v>
      </c>
      <c r="D675">
        <v>2293</v>
      </c>
      <c r="E675">
        <v>2635</v>
      </c>
      <c r="F675">
        <v>3157</v>
      </c>
      <c r="G675">
        <v>3668</v>
      </c>
      <c r="H675">
        <v>3598</v>
      </c>
      <c r="I675">
        <v>4032</v>
      </c>
      <c r="J675">
        <v>4384</v>
      </c>
      <c r="K675">
        <v>5040</v>
      </c>
      <c r="L675">
        <v>4201</v>
      </c>
      <c r="M675">
        <v>4564</v>
      </c>
      <c r="N675">
        <v>4752</v>
      </c>
      <c r="O675">
        <v>5276</v>
      </c>
      <c r="P675">
        <v>5191</v>
      </c>
      <c r="Q675">
        <v>5346</v>
      </c>
      <c r="R675">
        <v>5664</v>
      </c>
    </row>
    <row r="676" spans="1:18">
      <c r="A676" t="s">
        <v>1158</v>
      </c>
      <c r="B676" t="s">
        <v>173</v>
      </c>
      <c r="C676" t="s">
        <v>169</v>
      </c>
      <c r="D676">
        <v>749</v>
      </c>
      <c r="E676">
        <v>811</v>
      </c>
      <c r="F676">
        <v>1175</v>
      </c>
      <c r="G676">
        <v>1262</v>
      </c>
      <c r="H676">
        <v>1179</v>
      </c>
      <c r="I676">
        <v>1279</v>
      </c>
      <c r="J676">
        <v>1140</v>
      </c>
      <c r="K676">
        <v>1410</v>
      </c>
      <c r="L676">
        <v>848</v>
      </c>
      <c r="M676">
        <v>1181</v>
      </c>
      <c r="N676">
        <v>1103</v>
      </c>
      <c r="O676">
        <v>1247</v>
      </c>
      <c r="P676">
        <v>1194</v>
      </c>
      <c r="Q676">
        <v>1137</v>
      </c>
      <c r="R676">
        <v>1055</v>
      </c>
    </row>
    <row r="677" spans="1:18">
      <c r="A677" t="s">
        <v>1159</v>
      </c>
      <c r="B677" t="s">
        <v>173</v>
      </c>
      <c r="C677" t="s">
        <v>486</v>
      </c>
      <c r="D677">
        <v>3</v>
      </c>
      <c r="E677">
        <v>2</v>
      </c>
      <c r="F677">
        <v>2</v>
      </c>
      <c r="G677">
        <v>2</v>
      </c>
      <c r="H677">
        <v>2</v>
      </c>
      <c r="I677">
        <v>2</v>
      </c>
      <c r="J677">
        <v>2</v>
      </c>
      <c r="K677">
        <v>2</v>
      </c>
      <c r="L677">
        <v>2</v>
      </c>
      <c r="M677">
        <v>3</v>
      </c>
      <c r="N677">
        <v>2</v>
      </c>
      <c r="O677">
        <v>2</v>
      </c>
      <c r="P677">
        <v>2</v>
      </c>
      <c r="Q677">
        <v>3</v>
      </c>
      <c r="R677">
        <v>3</v>
      </c>
    </row>
    <row r="678" spans="1:18">
      <c r="A678" t="s">
        <v>1160</v>
      </c>
      <c r="B678" t="s">
        <v>173</v>
      </c>
      <c r="C678" t="s">
        <v>488</v>
      </c>
      <c r="D678">
        <v>37</v>
      </c>
      <c r="E678">
        <v>37</v>
      </c>
      <c r="F678">
        <v>37</v>
      </c>
      <c r="G678">
        <v>38</v>
      </c>
      <c r="H678">
        <v>40</v>
      </c>
      <c r="I678">
        <v>44</v>
      </c>
      <c r="J678">
        <v>44</v>
      </c>
      <c r="K678">
        <v>45</v>
      </c>
      <c r="L678">
        <v>44</v>
      </c>
      <c r="M678">
        <v>43</v>
      </c>
      <c r="N678">
        <v>37</v>
      </c>
      <c r="O678">
        <v>34</v>
      </c>
      <c r="P678">
        <v>31</v>
      </c>
      <c r="Q678">
        <v>30</v>
      </c>
      <c r="R678">
        <v>30</v>
      </c>
    </row>
    <row r="679" spans="1:18">
      <c r="A679" t="s">
        <v>1161</v>
      </c>
      <c r="B679" t="s">
        <v>173</v>
      </c>
      <c r="C679" t="s">
        <v>148</v>
      </c>
      <c r="D679">
        <v>6</v>
      </c>
      <c r="E679">
        <v>2</v>
      </c>
      <c r="F679">
        <v>2</v>
      </c>
      <c r="G679">
        <v>2</v>
      </c>
      <c r="H679">
        <v>2</v>
      </c>
      <c r="I679">
        <v>2</v>
      </c>
      <c r="J679">
        <v>2</v>
      </c>
      <c r="K679">
        <v>2</v>
      </c>
      <c r="L679">
        <v>2</v>
      </c>
      <c r="M679">
        <v>4</v>
      </c>
      <c r="N679">
        <v>2</v>
      </c>
      <c r="O679">
        <v>2</v>
      </c>
      <c r="P679">
        <v>2</v>
      </c>
      <c r="Q679">
        <v>3</v>
      </c>
      <c r="R679">
        <v>3</v>
      </c>
    </row>
    <row r="680" spans="1:18">
      <c r="A680" t="s">
        <v>1162</v>
      </c>
      <c r="B680" t="s">
        <v>173</v>
      </c>
      <c r="C680" t="s">
        <v>184</v>
      </c>
      <c r="D680">
        <v>35</v>
      </c>
      <c r="E680">
        <v>38</v>
      </c>
      <c r="F680">
        <v>37</v>
      </c>
      <c r="G680">
        <v>37</v>
      </c>
      <c r="H680">
        <v>37</v>
      </c>
      <c r="I680">
        <v>40</v>
      </c>
      <c r="J680">
        <v>43</v>
      </c>
      <c r="K680">
        <v>47</v>
      </c>
      <c r="L680">
        <v>42</v>
      </c>
      <c r="M680">
        <v>47</v>
      </c>
      <c r="N680">
        <v>41</v>
      </c>
      <c r="O680">
        <v>36</v>
      </c>
      <c r="P680">
        <v>34</v>
      </c>
      <c r="Q680">
        <v>31</v>
      </c>
      <c r="R680">
        <v>30</v>
      </c>
    </row>
    <row r="681" spans="1:18">
      <c r="A681" t="s">
        <v>1163</v>
      </c>
      <c r="B681" t="s">
        <v>173</v>
      </c>
      <c r="C681" s="4" t="s">
        <v>188</v>
      </c>
      <c r="D681">
        <v>449</v>
      </c>
      <c r="E681">
        <v>418</v>
      </c>
      <c r="F681">
        <v>661</v>
      </c>
      <c r="G681">
        <v>720</v>
      </c>
      <c r="H681">
        <v>645</v>
      </c>
      <c r="I681">
        <v>630</v>
      </c>
      <c r="J681">
        <v>378</v>
      </c>
      <c r="K681">
        <v>321</v>
      </c>
      <c r="L681">
        <v>210</v>
      </c>
      <c r="M681">
        <v>385</v>
      </c>
      <c r="N681">
        <v>430</v>
      </c>
      <c r="O681">
        <v>589</v>
      </c>
      <c r="P681">
        <v>572</v>
      </c>
      <c r="Q681">
        <v>579</v>
      </c>
      <c r="R681">
        <v>495</v>
      </c>
    </row>
    <row r="682" spans="1:18">
      <c r="A682" t="s">
        <v>1164</v>
      </c>
      <c r="B682" t="s">
        <v>173</v>
      </c>
      <c r="C682" s="35" t="s">
        <v>189</v>
      </c>
      <c r="D682">
        <v>300</v>
      </c>
      <c r="E682">
        <v>393</v>
      </c>
      <c r="F682">
        <v>514</v>
      </c>
      <c r="G682">
        <v>542</v>
      </c>
      <c r="H682">
        <v>534</v>
      </c>
      <c r="I682">
        <v>649</v>
      </c>
      <c r="J682">
        <v>762</v>
      </c>
      <c r="K682">
        <v>1089</v>
      </c>
      <c r="L682">
        <v>638</v>
      </c>
      <c r="M682">
        <v>796</v>
      </c>
      <c r="N682">
        <v>673</v>
      </c>
      <c r="O682">
        <v>658</v>
      </c>
      <c r="P682">
        <v>622</v>
      </c>
      <c r="Q682">
        <v>558</v>
      </c>
      <c r="R682">
        <v>560</v>
      </c>
    </row>
    <row r="683" spans="1:18">
      <c r="A683" t="s">
        <v>1165</v>
      </c>
      <c r="B683" t="s">
        <v>173</v>
      </c>
      <c r="C683" t="s">
        <v>172</v>
      </c>
      <c r="D683">
        <v>143</v>
      </c>
      <c r="E683">
        <v>176</v>
      </c>
      <c r="F683">
        <v>255</v>
      </c>
      <c r="G683">
        <v>274</v>
      </c>
      <c r="H683">
        <v>262</v>
      </c>
      <c r="I683">
        <v>338</v>
      </c>
      <c r="J683">
        <v>379</v>
      </c>
      <c r="K683">
        <v>598</v>
      </c>
      <c r="L683">
        <v>365</v>
      </c>
      <c r="M683">
        <v>391</v>
      </c>
      <c r="N683">
        <v>324</v>
      </c>
      <c r="O683">
        <v>211</v>
      </c>
      <c r="P683">
        <v>212</v>
      </c>
      <c r="Q683">
        <v>201</v>
      </c>
      <c r="R683">
        <v>255</v>
      </c>
    </row>
    <row r="684" spans="1:18">
      <c r="A684" t="s">
        <v>1166</v>
      </c>
      <c r="B684" t="s">
        <v>173</v>
      </c>
      <c r="C684" t="s">
        <v>30</v>
      </c>
      <c r="D684">
        <v>157</v>
      </c>
      <c r="E684">
        <v>217</v>
      </c>
      <c r="F684">
        <v>259</v>
      </c>
      <c r="G684">
        <v>268</v>
      </c>
      <c r="H684">
        <v>272</v>
      </c>
      <c r="I684">
        <v>311</v>
      </c>
      <c r="J684">
        <v>383</v>
      </c>
      <c r="K684">
        <v>491</v>
      </c>
      <c r="L684">
        <v>273</v>
      </c>
      <c r="M684">
        <v>405</v>
      </c>
      <c r="N684">
        <v>349</v>
      </c>
      <c r="O684">
        <v>447</v>
      </c>
      <c r="P684">
        <v>410</v>
      </c>
      <c r="Q684">
        <v>357</v>
      </c>
      <c r="R684">
        <v>305</v>
      </c>
    </row>
    <row r="685" spans="1:18">
      <c r="A685" t="s">
        <v>1167</v>
      </c>
      <c r="B685" t="s">
        <v>174</v>
      </c>
      <c r="C685" t="s">
        <v>32</v>
      </c>
      <c r="D685">
        <v>149</v>
      </c>
      <c r="E685">
        <v>131</v>
      </c>
      <c r="F685">
        <v>257</v>
      </c>
      <c r="G685">
        <v>329</v>
      </c>
      <c r="H685">
        <v>243</v>
      </c>
      <c r="I685">
        <v>251</v>
      </c>
      <c r="J685">
        <v>241</v>
      </c>
      <c r="K685">
        <v>448</v>
      </c>
      <c r="L685">
        <v>276</v>
      </c>
      <c r="M685">
        <v>317</v>
      </c>
      <c r="N685">
        <v>274</v>
      </c>
      <c r="O685">
        <v>323</v>
      </c>
      <c r="P685">
        <v>326</v>
      </c>
      <c r="Q685">
        <v>389</v>
      </c>
      <c r="R685">
        <v>461</v>
      </c>
    </row>
    <row r="686" spans="1:18">
      <c r="A686" t="s">
        <v>1168</v>
      </c>
      <c r="B686" t="s">
        <v>174</v>
      </c>
      <c r="C686" s="4" t="s">
        <v>34</v>
      </c>
      <c r="D686">
        <v>133</v>
      </c>
      <c r="E686">
        <v>111</v>
      </c>
      <c r="F686">
        <v>209</v>
      </c>
      <c r="G686">
        <v>251</v>
      </c>
      <c r="H686">
        <v>163</v>
      </c>
      <c r="I686">
        <v>203</v>
      </c>
      <c r="J686">
        <v>207</v>
      </c>
      <c r="K686">
        <v>331</v>
      </c>
      <c r="L686">
        <v>209</v>
      </c>
      <c r="M686">
        <v>263</v>
      </c>
      <c r="N686">
        <v>234</v>
      </c>
      <c r="O686">
        <v>282</v>
      </c>
      <c r="P686">
        <v>281</v>
      </c>
      <c r="Q686">
        <v>342</v>
      </c>
      <c r="R686">
        <v>392</v>
      </c>
    </row>
    <row r="687" spans="1:18">
      <c r="A687" t="s">
        <v>1169</v>
      </c>
      <c r="B687" t="s">
        <v>174</v>
      </c>
      <c r="C687" t="s">
        <v>169</v>
      </c>
      <c r="D687">
        <v>16</v>
      </c>
      <c r="E687">
        <v>20</v>
      </c>
      <c r="F687">
        <v>48</v>
      </c>
      <c r="G687">
        <v>78</v>
      </c>
      <c r="H687">
        <v>80</v>
      </c>
      <c r="I687">
        <v>48</v>
      </c>
      <c r="J687">
        <v>34</v>
      </c>
      <c r="K687">
        <v>117</v>
      </c>
      <c r="L687">
        <v>67</v>
      </c>
      <c r="M687">
        <v>54</v>
      </c>
      <c r="N687">
        <v>40</v>
      </c>
      <c r="O687">
        <v>41</v>
      </c>
      <c r="P687">
        <v>45</v>
      </c>
      <c r="Q687">
        <v>47</v>
      </c>
      <c r="R687">
        <v>69</v>
      </c>
    </row>
    <row r="688" spans="1:18">
      <c r="A688" t="s">
        <v>1170</v>
      </c>
      <c r="B688" t="s">
        <v>174</v>
      </c>
      <c r="C688" t="s">
        <v>486</v>
      </c>
      <c r="D688">
        <v>6</v>
      </c>
      <c r="E688">
        <v>3</v>
      </c>
      <c r="F688">
        <v>3</v>
      </c>
      <c r="G688">
        <v>2</v>
      </c>
      <c r="H688">
        <v>3</v>
      </c>
      <c r="I688">
        <v>4</v>
      </c>
      <c r="J688">
        <v>5</v>
      </c>
      <c r="K688">
        <v>5</v>
      </c>
      <c r="L688">
        <v>4</v>
      </c>
      <c r="M688">
        <v>4</v>
      </c>
      <c r="N688">
        <v>3</v>
      </c>
      <c r="O688">
        <v>3</v>
      </c>
      <c r="P688">
        <v>4</v>
      </c>
      <c r="Q688">
        <v>4</v>
      </c>
      <c r="R688">
        <v>4</v>
      </c>
    </row>
    <row r="689" spans="1:18">
      <c r="A689" t="s">
        <v>1171</v>
      </c>
      <c r="B689" t="s">
        <v>174</v>
      </c>
      <c r="C689" t="s">
        <v>488</v>
      </c>
      <c r="D689">
        <v>26</v>
      </c>
      <c r="E689">
        <v>28</v>
      </c>
      <c r="F689">
        <v>28</v>
      </c>
      <c r="G689">
        <v>29</v>
      </c>
      <c r="H689">
        <v>31</v>
      </c>
      <c r="I689">
        <v>38</v>
      </c>
      <c r="J689">
        <v>43</v>
      </c>
      <c r="K689">
        <v>45</v>
      </c>
      <c r="L689">
        <v>42</v>
      </c>
      <c r="M689">
        <v>26</v>
      </c>
      <c r="N689">
        <v>22</v>
      </c>
      <c r="O689">
        <v>21</v>
      </c>
      <c r="P689">
        <v>22</v>
      </c>
      <c r="Q689">
        <v>22</v>
      </c>
      <c r="R689">
        <v>26</v>
      </c>
    </row>
    <row r="690" spans="1:18">
      <c r="A690" t="s">
        <v>1172</v>
      </c>
      <c r="B690" t="s">
        <v>174</v>
      </c>
      <c r="C690" t="s">
        <v>148</v>
      </c>
      <c r="D690">
        <v>7</v>
      </c>
      <c r="E690">
        <v>7</v>
      </c>
      <c r="F690">
        <v>3</v>
      </c>
      <c r="G690">
        <v>2</v>
      </c>
      <c r="H690">
        <v>5</v>
      </c>
      <c r="I690">
        <v>2</v>
      </c>
      <c r="J690">
        <v>2</v>
      </c>
      <c r="K690">
        <v>6</v>
      </c>
      <c r="L690">
        <v>4</v>
      </c>
      <c r="M690">
        <v>5</v>
      </c>
      <c r="N690">
        <v>3</v>
      </c>
      <c r="O690">
        <v>3</v>
      </c>
      <c r="P690">
        <v>3</v>
      </c>
      <c r="Q690">
        <v>4</v>
      </c>
      <c r="R690">
        <v>4</v>
      </c>
    </row>
    <row r="691" spans="1:18">
      <c r="A691" t="s">
        <v>1173</v>
      </c>
      <c r="B691" t="s">
        <v>174</v>
      </c>
      <c r="C691" t="s">
        <v>184</v>
      </c>
      <c r="D691">
        <v>19</v>
      </c>
      <c r="E691">
        <v>34</v>
      </c>
      <c r="F691">
        <v>27</v>
      </c>
      <c r="G691">
        <v>27</v>
      </c>
      <c r="H691">
        <v>30</v>
      </c>
      <c r="I691">
        <v>31</v>
      </c>
      <c r="J691">
        <v>33</v>
      </c>
      <c r="K691">
        <v>47</v>
      </c>
      <c r="L691">
        <v>45</v>
      </c>
      <c r="M691">
        <v>40</v>
      </c>
      <c r="N691">
        <v>26</v>
      </c>
      <c r="O691">
        <v>21</v>
      </c>
      <c r="P691">
        <v>21</v>
      </c>
      <c r="Q691">
        <v>20</v>
      </c>
      <c r="R691">
        <v>26</v>
      </c>
    </row>
    <row r="692" spans="1:18">
      <c r="A692" t="s">
        <v>1174</v>
      </c>
      <c r="B692" t="s">
        <v>174</v>
      </c>
      <c r="C692" s="4" t="s">
        <v>188</v>
      </c>
      <c r="D692">
        <v>10</v>
      </c>
      <c r="E692">
        <v>7</v>
      </c>
      <c r="F692">
        <v>34</v>
      </c>
      <c r="G692">
        <v>63</v>
      </c>
      <c r="H692">
        <v>67</v>
      </c>
      <c r="I692">
        <v>36</v>
      </c>
      <c r="J692">
        <v>19</v>
      </c>
      <c r="K692">
        <v>36</v>
      </c>
      <c r="L692">
        <v>20</v>
      </c>
      <c r="M692">
        <v>20</v>
      </c>
      <c r="N692">
        <v>19</v>
      </c>
      <c r="O692">
        <v>31</v>
      </c>
      <c r="P692">
        <v>29</v>
      </c>
      <c r="Q692">
        <v>35</v>
      </c>
      <c r="R692">
        <v>40</v>
      </c>
    </row>
    <row r="693" spans="1:18">
      <c r="A693" t="s">
        <v>1175</v>
      </c>
      <c r="B693" t="s">
        <v>174</v>
      </c>
      <c r="C693" s="35" t="s">
        <v>189</v>
      </c>
      <c r="D693">
        <v>6</v>
      </c>
      <c r="E693">
        <v>13</v>
      </c>
      <c r="F693">
        <v>14</v>
      </c>
      <c r="G693">
        <v>15</v>
      </c>
      <c r="H693">
        <v>13</v>
      </c>
      <c r="I693">
        <v>12</v>
      </c>
      <c r="J693">
        <v>15</v>
      </c>
      <c r="K693">
        <v>81</v>
      </c>
      <c r="L693">
        <v>47</v>
      </c>
      <c r="M693">
        <v>34</v>
      </c>
      <c r="N693">
        <v>21</v>
      </c>
      <c r="O693">
        <v>10</v>
      </c>
      <c r="P693">
        <v>16</v>
      </c>
      <c r="Q693">
        <v>12</v>
      </c>
      <c r="R693">
        <v>29</v>
      </c>
    </row>
    <row r="694" spans="1:18">
      <c r="A694" t="s">
        <v>1176</v>
      </c>
      <c r="B694" t="s">
        <v>174</v>
      </c>
      <c r="C694" t="s">
        <v>172</v>
      </c>
      <c r="D694">
        <v>0</v>
      </c>
      <c r="E694">
        <v>9</v>
      </c>
      <c r="F694">
        <v>5</v>
      </c>
      <c r="G694">
        <v>5</v>
      </c>
      <c r="H694">
        <v>11</v>
      </c>
      <c r="I694">
        <v>9</v>
      </c>
      <c r="J694">
        <v>8</v>
      </c>
      <c r="K694">
        <v>47</v>
      </c>
      <c r="L694">
        <v>32</v>
      </c>
      <c r="M694">
        <v>24</v>
      </c>
      <c r="N694">
        <v>11</v>
      </c>
      <c r="O694">
        <v>2</v>
      </c>
      <c r="P694">
        <v>8</v>
      </c>
      <c r="Q694">
        <v>4</v>
      </c>
      <c r="R694">
        <v>14</v>
      </c>
    </row>
    <row r="695" spans="1:18">
      <c r="A695" t="s">
        <v>1177</v>
      </c>
      <c r="B695" t="s">
        <v>174</v>
      </c>
      <c r="C695" t="s">
        <v>30</v>
      </c>
      <c r="D695">
        <v>6</v>
      </c>
      <c r="E695">
        <v>4</v>
      </c>
      <c r="F695">
        <v>9</v>
      </c>
      <c r="G695">
        <v>10</v>
      </c>
      <c r="H695">
        <v>2</v>
      </c>
      <c r="I695">
        <v>3</v>
      </c>
      <c r="J695">
        <v>7</v>
      </c>
      <c r="K695">
        <v>34</v>
      </c>
      <c r="L695">
        <v>15</v>
      </c>
      <c r="M695">
        <v>10</v>
      </c>
      <c r="N695">
        <v>10</v>
      </c>
      <c r="O695">
        <v>8</v>
      </c>
      <c r="P695">
        <v>8</v>
      </c>
      <c r="Q695">
        <v>8</v>
      </c>
      <c r="R695">
        <v>15</v>
      </c>
    </row>
    <row r="696" spans="1:18">
      <c r="A696" t="s">
        <v>1178</v>
      </c>
      <c r="B696" t="s">
        <v>175</v>
      </c>
      <c r="C696" t="s">
        <v>32</v>
      </c>
      <c r="D696">
        <v>3042</v>
      </c>
      <c r="E696">
        <v>3446</v>
      </c>
      <c r="F696">
        <v>4332</v>
      </c>
      <c r="G696">
        <v>4930</v>
      </c>
      <c r="H696">
        <v>4777</v>
      </c>
      <c r="I696">
        <v>5311</v>
      </c>
      <c r="J696">
        <v>5524</v>
      </c>
      <c r="K696">
        <v>6450</v>
      </c>
      <c r="L696">
        <v>5049</v>
      </c>
      <c r="M696">
        <v>5745</v>
      </c>
      <c r="N696">
        <v>5855</v>
      </c>
      <c r="O696">
        <v>6523</v>
      </c>
      <c r="P696">
        <v>6385</v>
      </c>
      <c r="Q696">
        <v>6483</v>
      </c>
      <c r="R696">
        <v>6719</v>
      </c>
    </row>
    <row r="697" spans="1:18">
      <c r="A697" t="s">
        <v>1179</v>
      </c>
      <c r="B697" t="s">
        <v>175</v>
      </c>
      <c r="C697" s="4" t="s">
        <v>34</v>
      </c>
      <c r="D697">
        <v>2171</v>
      </c>
      <c r="E697">
        <v>2541</v>
      </c>
      <c r="F697">
        <v>3014</v>
      </c>
      <c r="G697">
        <v>3477</v>
      </c>
      <c r="H697">
        <v>3488</v>
      </c>
      <c r="I697">
        <v>3932</v>
      </c>
      <c r="J697">
        <v>4296</v>
      </c>
      <c r="K697">
        <v>4954</v>
      </c>
      <c r="L697">
        <v>4151</v>
      </c>
      <c r="M697">
        <v>4467</v>
      </c>
      <c r="N697">
        <v>4662</v>
      </c>
      <c r="O697">
        <v>5163</v>
      </c>
      <c r="P697">
        <v>5116</v>
      </c>
      <c r="Q697">
        <v>5268</v>
      </c>
      <c r="R697">
        <v>5577</v>
      </c>
    </row>
    <row r="698" spans="1:18">
      <c r="A698" t="s">
        <v>1180</v>
      </c>
      <c r="B698" t="s">
        <v>175</v>
      </c>
      <c r="C698" t="s">
        <v>169</v>
      </c>
      <c r="D698">
        <v>871</v>
      </c>
      <c r="E698">
        <v>905</v>
      </c>
      <c r="F698">
        <v>1318</v>
      </c>
      <c r="G698">
        <v>1453</v>
      </c>
      <c r="H698">
        <v>1289</v>
      </c>
      <c r="I698">
        <v>1379</v>
      </c>
      <c r="J698">
        <v>1228</v>
      </c>
      <c r="K698">
        <v>1496</v>
      </c>
      <c r="L698">
        <v>898</v>
      </c>
      <c r="M698">
        <v>1278</v>
      </c>
      <c r="N698">
        <v>1193</v>
      </c>
      <c r="O698">
        <v>1360</v>
      </c>
      <c r="P698">
        <v>1269</v>
      </c>
      <c r="Q698">
        <v>1215</v>
      </c>
      <c r="R698">
        <v>1142</v>
      </c>
    </row>
    <row r="699" spans="1:18">
      <c r="A699" t="s">
        <v>1181</v>
      </c>
      <c r="B699" t="s">
        <v>175</v>
      </c>
      <c r="C699" t="s">
        <v>486</v>
      </c>
      <c r="D699">
        <v>4</v>
      </c>
      <c r="E699">
        <v>2</v>
      </c>
      <c r="F699">
        <v>2</v>
      </c>
      <c r="G699">
        <v>2</v>
      </c>
      <c r="H699">
        <v>2</v>
      </c>
      <c r="I699">
        <v>2</v>
      </c>
      <c r="J699">
        <v>2</v>
      </c>
      <c r="K699">
        <v>3</v>
      </c>
      <c r="L699">
        <v>3</v>
      </c>
      <c r="M699">
        <v>3</v>
      </c>
      <c r="N699">
        <v>3</v>
      </c>
      <c r="O699">
        <v>3</v>
      </c>
      <c r="P699">
        <v>3</v>
      </c>
      <c r="Q699">
        <v>3</v>
      </c>
      <c r="R699">
        <v>3</v>
      </c>
    </row>
    <row r="700" spans="1:18">
      <c r="A700" t="s">
        <v>1182</v>
      </c>
      <c r="B700" t="s">
        <v>175</v>
      </c>
      <c r="C700" t="s">
        <v>488</v>
      </c>
      <c r="D700">
        <v>39</v>
      </c>
      <c r="E700">
        <v>40</v>
      </c>
      <c r="F700">
        <v>40</v>
      </c>
      <c r="G700">
        <v>41</v>
      </c>
      <c r="H700">
        <v>42</v>
      </c>
      <c r="I700">
        <v>46</v>
      </c>
      <c r="J700">
        <v>46</v>
      </c>
      <c r="K700">
        <v>47</v>
      </c>
      <c r="L700">
        <v>46</v>
      </c>
      <c r="M700">
        <v>46</v>
      </c>
      <c r="N700">
        <v>40</v>
      </c>
      <c r="O700">
        <v>36</v>
      </c>
      <c r="P700">
        <v>33</v>
      </c>
      <c r="Q700">
        <v>32</v>
      </c>
      <c r="R700">
        <v>32</v>
      </c>
    </row>
    <row r="701" spans="1:18">
      <c r="A701" t="s">
        <v>1183</v>
      </c>
      <c r="B701" t="s">
        <v>175</v>
      </c>
      <c r="C701" t="s">
        <v>148</v>
      </c>
      <c r="D701">
        <v>7</v>
      </c>
      <c r="E701">
        <v>3</v>
      </c>
      <c r="F701">
        <v>3</v>
      </c>
      <c r="G701">
        <v>2</v>
      </c>
      <c r="H701">
        <v>2</v>
      </c>
      <c r="I701">
        <v>2</v>
      </c>
      <c r="J701">
        <v>2</v>
      </c>
      <c r="K701">
        <v>3</v>
      </c>
      <c r="L701">
        <v>2</v>
      </c>
      <c r="M701">
        <v>5</v>
      </c>
      <c r="N701">
        <v>3</v>
      </c>
      <c r="O701">
        <v>3</v>
      </c>
      <c r="P701">
        <v>2</v>
      </c>
      <c r="Q701">
        <v>3</v>
      </c>
      <c r="R701">
        <v>3</v>
      </c>
    </row>
    <row r="702" spans="1:18">
      <c r="A702" t="s">
        <v>1184</v>
      </c>
      <c r="B702" t="s">
        <v>175</v>
      </c>
      <c r="C702" t="s">
        <v>184</v>
      </c>
      <c r="D702">
        <v>36</v>
      </c>
      <c r="E702">
        <v>39</v>
      </c>
      <c r="F702">
        <v>39</v>
      </c>
      <c r="G702">
        <v>42</v>
      </c>
      <c r="H702">
        <v>40</v>
      </c>
      <c r="I702">
        <v>42</v>
      </c>
      <c r="J702">
        <v>46</v>
      </c>
      <c r="K702">
        <v>49</v>
      </c>
      <c r="L702">
        <v>44</v>
      </c>
      <c r="M702">
        <v>48</v>
      </c>
      <c r="N702">
        <v>46</v>
      </c>
      <c r="O702">
        <v>40</v>
      </c>
      <c r="P702">
        <v>37</v>
      </c>
      <c r="Q702">
        <v>33</v>
      </c>
      <c r="R702">
        <v>32</v>
      </c>
    </row>
    <row r="703" spans="1:18">
      <c r="A703" t="s">
        <v>1185</v>
      </c>
      <c r="B703" t="s">
        <v>175</v>
      </c>
      <c r="C703" s="4" t="s">
        <v>188</v>
      </c>
      <c r="D703">
        <v>542</v>
      </c>
      <c r="E703">
        <v>482</v>
      </c>
      <c r="F703">
        <v>746</v>
      </c>
      <c r="G703">
        <v>793</v>
      </c>
      <c r="H703">
        <v>680</v>
      </c>
      <c r="I703">
        <v>667</v>
      </c>
      <c r="J703">
        <v>390</v>
      </c>
      <c r="K703">
        <v>335</v>
      </c>
      <c r="L703">
        <v>212</v>
      </c>
      <c r="M703">
        <v>420</v>
      </c>
      <c r="N703">
        <v>463</v>
      </c>
      <c r="O703">
        <v>648</v>
      </c>
      <c r="P703">
        <v>611</v>
      </c>
      <c r="Q703">
        <v>625</v>
      </c>
      <c r="R703">
        <v>535</v>
      </c>
    </row>
    <row r="704" spans="1:18">
      <c r="A704" t="s">
        <v>1186</v>
      </c>
      <c r="B704" t="s">
        <v>175</v>
      </c>
      <c r="C704" s="35" t="s">
        <v>189</v>
      </c>
      <c r="D704">
        <v>329</v>
      </c>
      <c r="E704">
        <v>423</v>
      </c>
      <c r="F704">
        <v>572</v>
      </c>
      <c r="G704">
        <v>660</v>
      </c>
      <c r="H704">
        <v>609</v>
      </c>
      <c r="I704">
        <v>712</v>
      </c>
      <c r="J704">
        <v>838</v>
      </c>
      <c r="K704">
        <v>1161</v>
      </c>
      <c r="L704">
        <v>686</v>
      </c>
      <c r="M704">
        <v>858</v>
      </c>
      <c r="N704">
        <v>730</v>
      </c>
      <c r="O704">
        <v>712</v>
      </c>
      <c r="P704">
        <v>658</v>
      </c>
      <c r="Q704">
        <v>590</v>
      </c>
      <c r="R704">
        <v>607</v>
      </c>
    </row>
    <row r="705" spans="1:18">
      <c r="A705" t="s">
        <v>1187</v>
      </c>
      <c r="B705" t="s">
        <v>175</v>
      </c>
      <c r="C705" t="s">
        <v>172</v>
      </c>
      <c r="D705">
        <v>163</v>
      </c>
      <c r="E705">
        <v>198</v>
      </c>
      <c r="F705">
        <v>299</v>
      </c>
      <c r="G705">
        <v>341</v>
      </c>
      <c r="H705">
        <v>320</v>
      </c>
      <c r="I705">
        <v>380</v>
      </c>
      <c r="J705">
        <v>427</v>
      </c>
      <c r="K705">
        <v>637</v>
      </c>
      <c r="L705">
        <v>388</v>
      </c>
      <c r="M705">
        <v>414</v>
      </c>
      <c r="N705">
        <v>343</v>
      </c>
      <c r="O705">
        <v>221</v>
      </c>
      <c r="P705">
        <v>222</v>
      </c>
      <c r="Q705">
        <v>212</v>
      </c>
      <c r="R705">
        <v>274</v>
      </c>
    </row>
    <row r="706" spans="1:18">
      <c r="A706" t="s">
        <v>1188</v>
      </c>
      <c r="B706" t="s">
        <v>175</v>
      </c>
      <c r="C706" t="s">
        <v>30</v>
      </c>
      <c r="D706">
        <v>166</v>
      </c>
      <c r="E706">
        <v>225</v>
      </c>
      <c r="F706">
        <v>273</v>
      </c>
      <c r="G706">
        <v>319</v>
      </c>
      <c r="H706">
        <v>289</v>
      </c>
      <c r="I706">
        <v>332</v>
      </c>
      <c r="J706">
        <v>411</v>
      </c>
      <c r="K706">
        <v>524</v>
      </c>
      <c r="L706">
        <v>298</v>
      </c>
      <c r="M706">
        <v>444</v>
      </c>
      <c r="N706">
        <v>387</v>
      </c>
      <c r="O706">
        <v>491</v>
      </c>
      <c r="P706">
        <v>436</v>
      </c>
      <c r="Q706">
        <v>378</v>
      </c>
      <c r="R706">
        <v>333</v>
      </c>
    </row>
    <row r="707" spans="1:18">
      <c r="A707" t="s">
        <v>1189</v>
      </c>
      <c r="B707" t="s">
        <v>175</v>
      </c>
      <c r="C707" t="s">
        <v>177</v>
      </c>
      <c r="D707">
        <v>5809</v>
      </c>
      <c r="E707">
        <v>6834</v>
      </c>
      <c r="F707">
        <v>9272</v>
      </c>
      <c r="G707">
        <v>10443</v>
      </c>
      <c r="H707">
        <v>11382</v>
      </c>
      <c r="I707">
        <v>12569</v>
      </c>
      <c r="J707">
        <v>12877</v>
      </c>
      <c r="K707">
        <v>13619</v>
      </c>
      <c r="L707">
        <v>12377</v>
      </c>
      <c r="M707">
        <v>11634</v>
      </c>
      <c r="N707">
        <v>11323</v>
      </c>
      <c r="O707">
        <v>14582</v>
      </c>
      <c r="P707">
        <v>13339</v>
      </c>
      <c r="Q707">
        <v>13815</v>
      </c>
      <c r="R707">
        <v>14796</v>
      </c>
    </row>
    <row r="708" spans="1:18">
      <c r="A708" t="s">
        <v>1190</v>
      </c>
      <c r="B708" t="s">
        <v>175</v>
      </c>
      <c r="C708" t="s">
        <v>178</v>
      </c>
      <c r="D708">
        <v>5588</v>
      </c>
      <c r="E708">
        <v>6603</v>
      </c>
      <c r="F708">
        <v>8947</v>
      </c>
      <c r="G708">
        <v>10182</v>
      </c>
      <c r="H708">
        <v>11029</v>
      </c>
      <c r="I708">
        <v>12094</v>
      </c>
      <c r="J708">
        <v>12549</v>
      </c>
      <c r="K708">
        <v>13181</v>
      </c>
      <c r="L708">
        <v>11942</v>
      </c>
      <c r="M708">
        <v>11311</v>
      </c>
      <c r="N708">
        <v>11045</v>
      </c>
      <c r="O708">
        <v>14231</v>
      </c>
      <c r="P708">
        <v>13116</v>
      </c>
      <c r="Q708">
        <v>13573</v>
      </c>
      <c r="R708">
        <v>14500</v>
      </c>
    </row>
    <row r="709" spans="1:18">
      <c r="A709" t="s">
        <v>1191</v>
      </c>
      <c r="B709" t="s">
        <v>176</v>
      </c>
      <c r="C709" t="s">
        <v>32</v>
      </c>
      <c r="D709">
        <v>149</v>
      </c>
      <c r="E709">
        <v>131</v>
      </c>
      <c r="F709">
        <v>257</v>
      </c>
      <c r="G709">
        <v>329</v>
      </c>
      <c r="H709">
        <v>243</v>
      </c>
      <c r="I709">
        <v>251</v>
      </c>
      <c r="J709">
        <v>241</v>
      </c>
      <c r="K709">
        <v>448</v>
      </c>
      <c r="L709">
        <v>276</v>
      </c>
      <c r="M709">
        <v>317</v>
      </c>
      <c r="N709">
        <v>274</v>
      </c>
      <c r="O709">
        <v>323</v>
      </c>
      <c r="P709">
        <v>326</v>
      </c>
      <c r="Q709">
        <v>389</v>
      </c>
      <c r="R709">
        <v>461</v>
      </c>
    </row>
    <row r="710" spans="1:18">
      <c r="A710" t="s">
        <v>1192</v>
      </c>
      <c r="B710" t="s">
        <v>176</v>
      </c>
      <c r="C710" s="4" t="s">
        <v>34</v>
      </c>
      <c r="D710">
        <v>133</v>
      </c>
      <c r="E710">
        <v>111</v>
      </c>
      <c r="F710">
        <v>209</v>
      </c>
      <c r="G710">
        <v>251</v>
      </c>
      <c r="H710">
        <v>163</v>
      </c>
      <c r="I710">
        <v>203</v>
      </c>
      <c r="J710">
        <v>207</v>
      </c>
      <c r="K710">
        <v>331</v>
      </c>
      <c r="L710">
        <v>209</v>
      </c>
      <c r="M710">
        <v>263</v>
      </c>
      <c r="N710">
        <v>234</v>
      </c>
      <c r="O710">
        <v>282</v>
      </c>
      <c r="P710">
        <v>281</v>
      </c>
      <c r="Q710">
        <v>342</v>
      </c>
      <c r="R710">
        <v>392</v>
      </c>
    </row>
    <row r="711" spans="1:18">
      <c r="A711" t="s">
        <v>1193</v>
      </c>
      <c r="B711" t="s">
        <v>176</v>
      </c>
      <c r="C711" t="s">
        <v>169</v>
      </c>
      <c r="D711">
        <v>16</v>
      </c>
      <c r="E711">
        <v>20</v>
      </c>
      <c r="F711">
        <v>48</v>
      </c>
      <c r="G711">
        <v>78</v>
      </c>
      <c r="H711">
        <v>80</v>
      </c>
      <c r="I711">
        <v>48</v>
      </c>
      <c r="J711">
        <v>34</v>
      </c>
      <c r="K711">
        <v>117</v>
      </c>
      <c r="L711">
        <v>67</v>
      </c>
      <c r="M711">
        <v>54</v>
      </c>
      <c r="N711">
        <v>40</v>
      </c>
      <c r="O711">
        <v>41</v>
      </c>
      <c r="P711">
        <v>45</v>
      </c>
      <c r="Q711">
        <v>47</v>
      </c>
      <c r="R711">
        <v>69</v>
      </c>
    </row>
    <row r="712" spans="1:18">
      <c r="A712" t="s">
        <v>1194</v>
      </c>
      <c r="B712" t="s">
        <v>176</v>
      </c>
      <c r="C712" t="s">
        <v>170</v>
      </c>
      <c r="D712">
        <v>5588</v>
      </c>
      <c r="E712">
        <v>6603</v>
      </c>
      <c r="F712">
        <v>8947</v>
      </c>
      <c r="G712">
        <v>10182</v>
      </c>
      <c r="H712">
        <v>11029</v>
      </c>
      <c r="I712">
        <v>12094</v>
      </c>
      <c r="J712">
        <v>12549</v>
      </c>
      <c r="K712">
        <v>13181</v>
      </c>
      <c r="L712">
        <v>11942</v>
      </c>
      <c r="M712">
        <v>11311</v>
      </c>
      <c r="N712">
        <v>11045</v>
      </c>
      <c r="O712">
        <v>14231</v>
      </c>
      <c r="P712">
        <v>13116</v>
      </c>
      <c r="Q712">
        <v>13573</v>
      </c>
      <c r="R712">
        <v>14500</v>
      </c>
    </row>
    <row r="713" spans="1:18">
      <c r="A713" t="s">
        <v>1195</v>
      </c>
      <c r="B713" t="s">
        <v>176</v>
      </c>
      <c r="C713" t="s">
        <v>171</v>
      </c>
      <c r="D713">
        <v>5809</v>
      </c>
      <c r="E713">
        <v>6834</v>
      </c>
      <c r="F713">
        <v>9272</v>
      </c>
      <c r="G713">
        <v>10443</v>
      </c>
      <c r="H713">
        <v>11382</v>
      </c>
      <c r="I713">
        <v>12569</v>
      </c>
      <c r="J713">
        <v>12877</v>
      </c>
      <c r="K713">
        <v>13619</v>
      </c>
      <c r="L713">
        <v>12377</v>
      </c>
      <c r="M713">
        <v>11634</v>
      </c>
      <c r="N713">
        <v>11323</v>
      </c>
      <c r="O713">
        <v>14582</v>
      </c>
      <c r="P713">
        <v>13339</v>
      </c>
      <c r="Q713">
        <v>13815</v>
      </c>
      <c r="R713">
        <v>14796</v>
      </c>
    </row>
    <row r="714" spans="1:18">
      <c r="A714" t="s">
        <v>1196</v>
      </c>
      <c r="B714" t="s">
        <v>176</v>
      </c>
      <c r="C714" t="s">
        <v>148</v>
      </c>
      <c r="D714">
        <v>7</v>
      </c>
      <c r="E714">
        <v>7</v>
      </c>
      <c r="F714">
        <v>3</v>
      </c>
      <c r="G714">
        <v>2</v>
      </c>
      <c r="H714">
        <v>5</v>
      </c>
      <c r="I714">
        <v>2</v>
      </c>
      <c r="J714">
        <v>2</v>
      </c>
      <c r="K714">
        <v>6</v>
      </c>
      <c r="L714">
        <v>4</v>
      </c>
      <c r="M714">
        <v>5</v>
      </c>
      <c r="N714">
        <v>3</v>
      </c>
      <c r="O714">
        <v>3</v>
      </c>
      <c r="P714">
        <v>3</v>
      </c>
      <c r="Q714">
        <v>4</v>
      </c>
      <c r="R714">
        <v>4</v>
      </c>
    </row>
    <row r="715" spans="1:18">
      <c r="A715" t="s">
        <v>1197</v>
      </c>
      <c r="B715" t="s">
        <v>176</v>
      </c>
      <c r="C715" t="s">
        <v>184</v>
      </c>
      <c r="D715">
        <v>19</v>
      </c>
      <c r="E715">
        <v>34</v>
      </c>
      <c r="F715">
        <v>27</v>
      </c>
      <c r="G715">
        <v>27</v>
      </c>
      <c r="H715">
        <v>30</v>
      </c>
      <c r="I715">
        <v>31</v>
      </c>
      <c r="J715">
        <v>33</v>
      </c>
      <c r="K715">
        <v>47</v>
      </c>
      <c r="L715">
        <v>45</v>
      </c>
      <c r="M715">
        <v>40</v>
      </c>
      <c r="N715">
        <v>26</v>
      </c>
      <c r="O715">
        <v>21</v>
      </c>
      <c r="P715">
        <v>21</v>
      </c>
      <c r="Q715">
        <v>20</v>
      </c>
      <c r="R715">
        <v>26</v>
      </c>
    </row>
    <row r="716" spans="1:18">
      <c r="A716" t="s">
        <v>1198</v>
      </c>
      <c r="B716" t="s">
        <v>176</v>
      </c>
      <c r="C716" s="4" t="s">
        <v>188</v>
      </c>
      <c r="D716">
        <v>10</v>
      </c>
      <c r="E716">
        <v>7</v>
      </c>
      <c r="F716">
        <v>34</v>
      </c>
      <c r="G716">
        <v>63</v>
      </c>
      <c r="H716">
        <v>67</v>
      </c>
      <c r="I716">
        <v>36</v>
      </c>
      <c r="J716">
        <v>19</v>
      </c>
      <c r="K716">
        <v>36</v>
      </c>
      <c r="L716">
        <v>20</v>
      </c>
      <c r="M716">
        <v>20</v>
      </c>
      <c r="N716">
        <v>19</v>
      </c>
      <c r="O716">
        <v>31</v>
      </c>
      <c r="P716">
        <v>29</v>
      </c>
      <c r="Q716">
        <v>35</v>
      </c>
      <c r="R716">
        <v>40</v>
      </c>
    </row>
    <row r="717" spans="1:18">
      <c r="A717" t="s">
        <v>1199</v>
      </c>
      <c r="B717" t="s">
        <v>176</v>
      </c>
      <c r="C717" s="35" t="s">
        <v>189</v>
      </c>
      <c r="D717">
        <v>6</v>
      </c>
      <c r="E717">
        <v>13</v>
      </c>
      <c r="F717">
        <v>14</v>
      </c>
      <c r="G717">
        <v>15</v>
      </c>
      <c r="H717">
        <v>13</v>
      </c>
      <c r="I717">
        <v>12</v>
      </c>
      <c r="J717">
        <v>15</v>
      </c>
      <c r="K717">
        <v>81</v>
      </c>
      <c r="L717">
        <v>47</v>
      </c>
      <c r="M717">
        <v>34</v>
      </c>
      <c r="N717">
        <v>21</v>
      </c>
      <c r="O717">
        <v>10</v>
      </c>
      <c r="P717">
        <v>16</v>
      </c>
      <c r="Q717">
        <v>12</v>
      </c>
      <c r="R717">
        <v>29</v>
      </c>
    </row>
    <row r="718" spans="1:18">
      <c r="A718" t="s">
        <v>1200</v>
      </c>
      <c r="B718" t="s">
        <v>176</v>
      </c>
      <c r="C718" t="s">
        <v>172</v>
      </c>
      <c r="D718">
        <v>0</v>
      </c>
      <c r="E718">
        <v>9</v>
      </c>
      <c r="F718">
        <v>5</v>
      </c>
      <c r="G718">
        <v>5</v>
      </c>
      <c r="H718">
        <v>11</v>
      </c>
      <c r="I718">
        <v>9</v>
      </c>
      <c r="J718">
        <v>8</v>
      </c>
      <c r="K718">
        <v>47</v>
      </c>
      <c r="L718">
        <v>32</v>
      </c>
      <c r="M718">
        <v>24</v>
      </c>
      <c r="N718">
        <v>11</v>
      </c>
      <c r="O718">
        <v>2</v>
      </c>
      <c r="P718">
        <v>8</v>
      </c>
      <c r="Q718">
        <v>4</v>
      </c>
      <c r="R718">
        <v>14</v>
      </c>
    </row>
    <row r="719" spans="1:18">
      <c r="A719" t="s">
        <v>1201</v>
      </c>
      <c r="B719" t="s">
        <v>176</v>
      </c>
      <c r="C719" t="s">
        <v>30</v>
      </c>
      <c r="D719">
        <v>6</v>
      </c>
      <c r="E719">
        <v>4</v>
      </c>
      <c r="F719">
        <v>9</v>
      </c>
      <c r="G719">
        <v>10</v>
      </c>
      <c r="H719">
        <v>2</v>
      </c>
      <c r="I719">
        <v>3</v>
      </c>
      <c r="J719">
        <v>7</v>
      </c>
      <c r="K719">
        <v>34</v>
      </c>
      <c r="L719">
        <v>15</v>
      </c>
      <c r="M719">
        <v>10</v>
      </c>
      <c r="N719">
        <v>10</v>
      </c>
      <c r="O719">
        <v>8</v>
      </c>
      <c r="P719">
        <v>8</v>
      </c>
      <c r="Q719">
        <v>8</v>
      </c>
      <c r="R719">
        <v>15</v>
      </c>
    </row>
    <row r="720" spans="1:18">
      <c r="A720" t="s">
        <v>1202</v>
      </c>
      <c r="B720" t="s">
        <v>176</v>
      </c>
      <c r="C720" t="s">
        <v>177</v>
      </c>
      <c r="D720">
        <v>584</v>
      </c>
      <c r="E720">
        <v>865</v>
      </c>
      <c r="F720">
        <v>1150</v>
      </c>
      <c r="G720">
        <v>1368</v>
      </c>
      <c r="H720">
        <v>1259</v>
      </c>
      <c r="I720">
        <v>1347</v>
      </c>
      <c r="J720">
        <v>1309</v>
      </c>
      <c r="K720">
        <v>1337</v>
      </c>
      <c r="L720">
        <v>1216</v>
      </c>
      <c r="M720">
        <v>1166</v>
      </c>
      <c r="N720">
        <v>1226</v>
      </c>
      <c r="O720">
        <v>1541</v>
      </c>
      <c r="P720">
        <v>1446</v>
      </c>
      <c r="Q720">
        <v>1452</v>
      </c>
      <c r="R720">
        <v>1687</v>
      </c>
    </row>
    <row r="721" spans="1:18">
      <c r="A721" t="s">
        <v>1203</v>
      </c>
      <c r="B721" t="s">
        <v>176</v>
      </c>
      <c r="C721" t="s">
        <v>178</v>
      </c>
      <c r="D721">
        <v>583</v>
      </c>
      <c r="E721">
        <v>856</v>
      </c>
      <c r="F721">
        <v>1139</v>
      </c>
      <c r="G721">
        <v>1343</v>
      </c>
      <c r="H721">
        <v>1240</v>
      </c>
      <c r="I721">
        <v>1337</v>
      </c>
      <c r="J721">
        <v>1293</v>
      </c>
      <c r="K721">
        <v>1318</v>
      </c>
      <c r="L721">
        <v>1198</v>
      </c>
      <c r="M721">
        <v>1152</v>
      </c>
      <c r="N721">
        <v>1223</v>
      </c>
      <c r="O721">
        <v>1516</v>
      </c>
      <c r="P721">
        <v>1434</v>
      </c>
      <c r="Q721">
        <v>1439</v>
      </c>
      <c r="R721">
        <v>1672</v>
      </c>
    </row>
    <row r="722" spans="1:18">
      <c r="A722" t="s">
        <v>1204</v>
      </c>
      <c r="B722" t="s">
        <v>173</v>
      </c>
      <c r="C722" t="s">
        <v>32</v>
      </c>
      <c r="D722">
        <v>39</v>
      </c>
      <c r="E722">
        <v>21</v>
      </c>
      <c r="F722">
        <v>29</v>
      </c>
      <c r="G722">
        <v>40</v>
      </c>
      <c r="H722">
        <v>26</v>
      </c>
      <c r="I722">
        <v>29</v>
      </c>
      <c r="J722" t="s">
        <v>315</v>
      </c>
      <c r="K722">
        <v>23</v>
      </c>
      <c r="L722">
        <v>24</v>
      </c>
      <c r="M722">
        <v>34</v>
      </c>
      <c r="N722" t="s">
        <v>315</v>
      </c>
      <c r="O722">
        <v>13</v>
      </c>
      <c r="P722">
        <v>38</v>
      </c>
      <c r="Q722">
        <v>43</v>
      </c>
      <c r="R722" t="s">
        <v>315</v>
      </c>
    </row>
    <row r="723" spans="1:18">
      <c r="A723" t="s">
        <v>1205</v>
      </c>
      <c r="B723" t="s">
        <v>173</v>
      </c>
      <c r="C723" s="4" t="s">
        <v>34</v>
      </c>
      <c r="D723">
        <v>38</v>
      </c>
      <c r="E723">
        <v>21</v>
      </c>
      <c r="F723">
        <v>28</v>
      </c>
      <c r="G723">
        <v>40</v>
      </c>
      <c r="H723">
        <v>26</v>
      </c>
      <c r="I723">
        <v>29</v>
      </c>
      <c r="J723" t="s">
        <v>315</v>
      </c>
      <c r="K723">
        <v>23</v>
      </c>
      <c r="L723">
        <v>24</v>
      </c>
      <c r="M723">
        <v>26</v>
      </c>
      <c r="N723" t="s">
        <v>315</v>
      </c>
      <c r="O723">
        <v>3</v>
      </c>
      <c r="P723">
        <v>2</v>
      </c>
      <c r="Q723">
        <v>1</v>
      </c>
      <c r="R723" t="s">
        <v>315</v>
      </c>
    </row>
    <row r="724" spans="1:18">
      <c r="A724" t="s">
        <v>1206</v>
      </c>
      <c r="B724" t="s">
        <v>173</v>
      </c>
      <c r="C724" t="s">
        <v>169</v>
      </c>
      <c r="D724">
        <v>1</v>
      </c>
      <c r="E724">
        <v>0</v>
      </c>
      <c r="F724">
        <v>1</v>
      </c>
      <c r="G724">
        <v>0</v>
      </c>
      <c r="H724">
        <v>0</v>
      </c>
      <c r="I724">
        <v>0</v>
      </c>
      <c r="J724" t="s">
        <v>315</v>
      </c>
      <c r="K724">
        <v>0</v>
      </c>
      <c r="L724">
        <v>0</v>
      </c>
      <c r="M724">
        <v>8</v>
      </c>
      <c r="N724" t="s">
        <v>315</v>
      </c>
      <c r="O724">
        <v>10</v>
      </c>
      <c r="P724">
        <v>36</v>
      </c>
      <c r="Q724">
        <v>42</v>
      </c>
      <c r="R724" t="s">
        <v>315</v>
      </c>
    </row>
    <row r="725" spans="1:18">
      <c r="A725" t="s">
        <v>1207</v>
      </c>
      <c r="B725" t="s">
        <v>173</v>
      </c>
      <c r="C725" t="s">
        <v>486</v>
      </c>
      <c r="D725">
        <v>9</v>
      </c>
      <c r="E725">
        <v>8</v>
      </c>
      <c r="F725">
        <v>8</v>
      </c>
      <c r="G725">
        <v>10</v>
      </c>
      <c r="H725">
        <v>10</v>
      </c>
      <c r="I725">
        <v>12</v>
      </c>
      <c r="J725">
        <v>5</v>
      </c>
      <c r="K725">
        <v>14</v>
      </c>
      <c r="L725">
        <v>17</v>
      </c>
      <c r="M725">
        <v>18</v>
      </c>
      <c r="N725">
        <v>23</v>
      </c>
      <c r="O725">
        <v>23</v>
      </c>
      <c r="P725">
        <v>23</v>
      </c>
      <c r="Q725">
        <v>23</v>
      </c>
      <c r="R725">
        <v>1</v>
      </c>
    </row>
    <row r="726" spans="1:18">
      <c r="A726" t="s">
        <v>1208</v>
      </c>
      <c r="B726" t="s">
        <v>173</v>
      </c>
      <c r="C726" t="s">
        <v>488</v>
      </c>
      <c r="D726">
        <v>13</v>
      </c>
      <c r="E726">
        <v>10</v>
      </c>
      <c r="F726">
        <v>11</v>
      </c>
      <c r="G726">
        <v>14</v>
      </c>
      <c r="H726">
        <v>14</v>
      </c>
      <c r="I726">
        <v>15</v>
      </c>
      <c r="J726">
        <v>14</v>
      </c>
      <c r="K726">
        <v>18</v>
      </c>
      <c r="L726">
        <v>19</v>
      </c>
      <c r="M726">
        <v>22</v>
      </c>
      <c r="N726">
        <v>25</v>
      </c>
      <c r="O726">
        <v>25</v>
      </c>
      <c r="P726">
        <v>25</v>
      </c>
      <c r="Q726">
        <v>25</v>
      </c>
      <c r="R726">
        <v>1</v>
      </c>
    </row>
    <row r="727" spans="1:18">
      <c r="A727" t="s">
        <v>1209</v>
      </c>
      <c r="B727" t="s">
        <v>173</v>
      </c>
      <c r="C727" t="s">
        <v>148</v>
      </c>
      <c r="D727">
        <v>10</v>
      </c>
      <c r="E727">
        <v>9</v>
      </c>
      <c r="F727">
        <v>7</v>
      </c>
      <c r="G727">
        <v>8</v>
      </c>
      <c r="H727">
        <v>10</v>
      </c>
      <c r="I727">
        <v>12</v>
      </c>
      <c r="J727" t="s">
        <v>315</v>
      </c>
      <c r="K727">
        <v>13</v>
      </c>
      <c r="L727">
        <v>3</v>
      </c>
      <c r="M727">
        <v>17</v>
      </c>
      <c r="N727" t="s">
        <v>315</v>
      </c>
      <c r="O727">
        <v>20</v>
      </c>
      <c r="P727">
        <v>23</v>
      </c>
      <c r="Q727">
        <v>23</v>
      </c>
      <c r="R727" t="s">
        <v>315</v>
      </c>
    </row>
    <row r="728" spans="1:18">
      <c r="A728" t="s">
        <v>1210</v>
      </c>
      <c r="B728" t="s">
        <v>173</v>
      </c>
      <c r="C728" t="s">
        <v>184</v>
      </c>
      <c r="D728">
        <v>13</v>
      </c>
      <c r="E728">
        <v>10</v>
      </c>
      <c r="F728">
        <v>13</v>
      </c>
      <c r="G728">
        <v>10</v>
      </c>
      <c r="H728">
        <v>13</v>
      </c>
      <c r="I728">
        <v>18</v>
      </c>
      <c r="J728" t="s">
        <v>315</v>
      </c>
      <c r="K728">
        <v>15</v>
      </c>
      <c r="L728">
        <v>5</v>
      </c>
      <c r="M728">
        <v>20</v>
      </c>
      <c r="N728" t="s">
        <v>315</v>
      </c>
      <c r="O728">
        <v>23</v>
      </c>
      <c r="P728">
        <v>26</v>
      </c>
      <c r="Q728">
        <v>25</v>
      </c>
      <c r="R728" t="s">
        <v>315</v>
      </c>
    </row>
    <row r="729" spans="1:18">
      <c r="A729" t="s">
        <v>1211</v>
      </c>
      <c r="B729" t="s">
        <v>173</v>
      </c>
      <c r="C729" s="4" t="s">
        <v>188</v>
      </c>
      <c r="D729">
        <v>1</v>
      </c>
      <c r="E729">
        <v>0</v>
      </c>
      <c r="F729">
        <v>1</v>
      </c>
      <c r="G729">
        <v>0</v>
      </c>
      <c r="H729">
        <v>0</v>
      </c>
      <c r="I729">
        <v>0</v>
      </c>
      <c r="J729" t="s">
        <v>315</v>
      </c>
      <c r="K729">
        <v>0</v>
      </c>
      <c r="L729">
        <v>0</v>
      </c>
      <c r="M729">
        <v>8</v>
      </c>
      <c r="N729" t="s">
        <v>315</v>
      </c>
      <c r="O729">
        <v>10</v>
      </c>
      <c r="P729">
        <v>36</v>
      </c>
      <c r="Q729">
        <v>42</v>
      </c>
      <c r="R729" t="s">
        <v>315</v>
      </c>
    </row>
    <row r="730" spans="1:18">
      <c r="A730" t="s">
        <v>1212</v>
      </c>
      <c r="B730" t="s">
        <v>173</v>
      </c>
      <c r="C730" s="35" t="s">
        <v>189</v>
      </c>
      <c r="D730">
        <v>0</v>
      </c>
      <c r="E730">
        <v>0</v>
      </c>
      <c r="F730">
        <v>0</v>
      </c>
      <c r="G730">
        <v>0</v>
      </c>
      <c r="H730">
        <v>0</v>
      </c>
      <c r="I730">
        <v>0</v>
      </c>
      <c r="J730" t="s">
        <v>315</v>
      </c>
      <c r="K730">
        <v>0</v>
      </c>
      <c r="L730">
        <v>0</v>
      </c>
      <c r="M730">
        <v>0</v>
      </c>
      <c r="N730" t="s">
        <v>315</v>
      </c>
      <c r="O730">
        <v>0</v>
      </c>
      <c r="P730">
        <v>0</v>
      </c>
      <c r="Q730">
        <v>0</v>
      </c>
      <c r="R730" t="s">
        <v>315</v>
      </c>
    </row>
    <row r="731" spans="1:18">
      <c r="A731" t="s">
        <v>1213</v>
      </c>
      <c r="B731" t="s">
        <v>173</v>
      </c>
      <c r="C731" t="s">
        <v>172</v>
      </c>
      <c r="D731">
        <v>0</v>
      </c>
      <c r="E731">
        <v>0</v>
      </c>
      <c r="F731">
        <v>0</v>
      </c>
      <c r="G731">
        <v>0</v>
      </c>
      <c r="H731">
        <v>0</v>
      </c>
      <c r="I731">
        <v>0</v>
      </c>
      <c r="J731" t="s">
        <v>315</v>
      </c>
      <c r="K731">
        <v>0</v>
      </c>
      <c r="L731">
        <v>0</v>
      </c>
      <c r="M731">
        <v>0</v>
      </c>
      <c r="N731" t="s">
        <v>315</v>
      </c>
      <c r="O731">
        <v>0</v>
      </c>
      <c r="P731">
        <v>0</v>
      </c>
      <c r="Q731">
        <v>0</v>
      </c>
      <c r="R731" t="s">
        <v>315</v>
      </c>
    </row>
    <row r="732" spans="1:18">
      <c r="A732" t="s">
        <v>1214</v>
      </c>
      <c r="B732" t="s">
        <v>173</v>
      </c>
      <c r="C732" t="s">
        <v>30</v>
      </c>
      <c r="D732">
        <v>0</v>
      </c>
      <c r="E732">
        <v>0</v>
      </c>
      <c r="F732">
        <v>0</v>
      </c>
      <c r="G732">
        <v>0</v>
      </c>
      <c r="H732">
        <v>0</v>
      </c>
      <c r="I732">
        <v>0</v>
      </c>
      <c r="J732" t="s">
        <v>315</v>
      </c>
      <c r="K732">
        <v>0</v>
      </c>
      <c r="L732">
        <v>0</v>
      </c>
      <c r="M732">
        <v>0</v>
      </c>
      <c r="N732" t="s">
        <v>315</v>
      </c>
      <c r="O732">
        <v>0</v>
      </c>
      <c r="P732">
        <v>0</v>
      </c>
      <c r="Q732">
        <v>0</v>
      </c>
      <c r="R732" t="s">
        <v>315</v>
      </c>
    </row>
    <row r="733" spans="1:18">
      <c r="A733" t="s">
        <v>1215</v>
      </c>
      <c r="B733" t="s">
        <v>174</v>
      </c>
      <c r="C733" t="s">
        <v>32</v>
      </c>
      <c r="D733">
        <v>1</v>
      </c>
      <c r="E733">
        <v>1</v>
      </c>
      <c r="F733">
        <v>0</v>
      </c>
      <c r="G733">
        <v>1</v>
      </c>
      <c r="H733">
        <v>0</v>
      </c>
      <c r="I733">
        <v>3</v>
      </c>
      <c r="J733" t="s">
        <v>315</v>
      </c>
      <c r="K733">
        <v>2</v>
      </c>
      <c r="L733">
        <v>2</v>
      </c>
      <c r="M733">
        <v>1</v>
      </c>
      <c r="N733" t="s">
        <v>315</v>
      </c>
      <c r="O733">
        <v>0</v>
      </c>
      <c r="P733">
        <v>2</v>
      </c>
      <c r="Q733">
        <v>1</v>
      </c>
      <c r="R733" t="s">
        <v>315</v>
      </c>
    </row>
    <row r="734" spans="1:18">
      <c r="A734" t="s">
        <v>1216</v>
      </c>
      <c r="B734" t="s">
        <v>174</v>
      </c>
      <c r="C734" s="4" t="s">
        <v>34</v>
      </c>
      <c r="D734">
        <v>1</v>
      </c>
      <c r="E734">
        <v>1</v>
      </c>
      <c r="F734">
        <v>0</v>
      </c>
      <c r="G734">
        <v>1</v>
      </c>
      <c r="H734">
        <v>0</v>
      </c>
      <c r="I734">
        <v>3</v>
      </c>
      <c r="J734" t="s">
        <v>315</v>
      </c>
      <c r="K734">
        <v>2</v>
      </c>
      <c r="L734">
        <v>2</v>
      </c>
      <c r="M734">
        <v>1</v>
      </c>
      <c r="N734" t="s">
        <v>315</v>
      </c>
      <c r="O734">
        <v>0</v>
      </c>
      <c r="P734">
        <v>0</v>
      </c>
      <c r="Q734">
        <v>0</v>
      </c>
      <c r="R734" t="s">
        <v>315</v>
      </c>
    </row>
    <row r="735" spans="1:18">
      <c r="A735" t="s">
        <v>1217</v>
      </c>
      <c r="B735" t="s">
        <v>174</v>
      </c>
      <c r="C735" t="s">
        <v>169</v>
      </c>
      <c r="D735">
        <v>0</v>
      </c>
      <c r="E735">
        <v>0</v>
      </c>
      <c r="F735">
        <v>0</v>
      </c>
      <c r="G735">
        <v>0</v>
      </c>
      <c r="H735">
        <v>0</v>
      </c>
      <c r="I735">
        <v>0</v>
      </c>
      <c r="J735" t="s">
        <v>315</v>
      </c>
      <c r="K735">
        <v>0</v>
      </c>
      <c r="L735">
        <v>0</v>
      </c>
      <c r="M735">
        <v>0</v>
      </c>
      <c r="N735" t="s">
        <v>315</v>
      </c>
      <c r="O735">
        <v>0</v>
      </c>
      <c r="P735">
        <v>2</v>
      </c>
      <c r="Q735">
        <v>1</v>
      </c>
      <c r="R735" t="s">
        <v>315</v>
      </c>
    </row>
    <row r="736" spans="1:18">
      <c r="A736" t="s">
        <v>1218</v>
      </c>
      <c r="B736" t="s">
        <v>174</v>
      </c>
      <c r="C736" t="s">
        <v>486</v>
      </c>
      <c r="D736">
        <v>9</v>
      </c>
      <c r="E736">
        <v>7</v>
      </c>
      <c r="F736">
        <v>7</v>
      </c>
      <c r="G736">
        <v>11</v>
      </c>
      <c r="H736">
        <v>11</v>
      </c>
      <c r="I736">
        <v>11</v>
      </c>
      <c r="J736">
        <v>4</v>
      </c>
      <c r="K736">
        <v>7</v>
      </c>
      <c r="L736">
        <v>4</v>
      </c>
      <c r="M736">
        <v>18</v>
      </c>
      <c r="N736">
        <v>26</v>
      </c>
      <c r="O736">
        <v>26</v>
      </c>
      <c r="P736">
        <v>26</v>
      </c>
      <c r="Q736">
        <v>21</v>
      </c>
      <c r="R736">
        <v>1</v>
      </c>
    </row>
    <row r="737" spans="1:18">
      <c r="A737" t="s">
        <v>1219</v>
      </c>
      <c r="B737" t="s">
        <v>174</v>
      </c>
      <c r="C737" t="s">
        <v>488</v>
      </c>
      <c r="D737">
        <v>14</v>
      </c>
      <c r="E737">
        <v>9</v>
      </c>
      <c r="F737">
        <v>7</v>
      </c>
      <c r="G737">
        <v>12</v>
      </c>
      <c r="H737">
        <v>12</v>
      </c>
      <c r="I737">
        <v>14</v>
      </c>
      <c r="J737">
        <v>14</v>
      </c>
      <c r="K737">
        <v>18</v>
      </c>
      <c r="L737">
        <v>18</v>
      </c>
      <c r="M737">
        <v>18</v>
      </c>
      <c r="N737">
        <v>27</v>
      </c>
      <c r="O737">
        <v>27</v>
      </c>
      <c r="P737">
        <v>27</v>
      </c>
      <c r="Q737">
        <v>21</v>
      </c>
      <c r="R737">
        <v>1</v>
      </c>
    </row>
    <row r="738" spans="1:18">
      <c r="A738" t="s">
        <v>1220</v>
      </c>
      <c r="B738" t="s">
        <v>174</v>
      </c>
      <c r="C738" t="s">
        <v>148</v>
      </c>
      <c r="D738">
        <v>14</v>
      </c>
      <c r="E738">
        <v>9</v>
      </c>
      <c r="F738">
        <v>0</v>
      </c>
      <c r="G738">
        <v>7</v>
      </c>
      <c r="H738">
        <v>0</v>
      </c>
      <c r="I738">
        <v>11</v>
      </c>
      <c r="J738" t="s">
        <v>315</v>
      </c>
      <c r="K738">
        <v>7</v>
      </c>
      <c r="L738">
        <v>2</v>
      </c>
      <c r="M738">
        <v>18</v>
      </c>
      <c r="N738" t="s">
        <v>315</v>
      </c>
      <c r="O738">
        <v>0</v>
      </c>
      <c r="P738">
        <v>26</v>
      </c>
      <c r="Q738">
        <v>21</v>
      </c>
      <c r="R738" t="s">
        <v>315</v>
      </c>
    </row>
    <row r="739" spans="1:18">
      <c r="A739" t="s">
        <v>1221</v>
      </c>
      <c r="B739" t="s">
        <v>174</v>
      </c>
      <c r="C739" t="s">
        <v>184</v>
      </c>
      <c r="D739">
        <v>14</v>
      </c>
      <c r="E739">
        <v>9</v>
      </c>
      <c r="F739">
        <v>0</v>
      </c>
      <c r="G739">
        <v>7</v>
      </c>
      <c r="H739">
        <v>0</v>
      </c>
      <c r="I739">
        <v>12</v>
      </c>
      <c r="J739" t="s">
        <v>315</v>
      </c>
      <c r="K739">
        <v>14</v>
      </c>
      <c r="L739">
        <v>4</v>
      </c>
      <c r="M739">
        <v>18</v>
      </c>
      <c r="N739" t="s">
        <v>315</v>
      </c>
      <c r="O739">
        <v>0</v>
      </c>
      <c r="P739">
        <v>27</v>
      </c>
      <c r="Q739">
        <v>21</v>
      </c>
      <c r="R739" t="s">
        <v>315</v>
      </c>
    </row>
    <row r="740" spans="1:18">
      <c r="A740" t="s">
        <v>1222</v>
      </c>
      <c r="B740" t="s">
        <v>174</v>
      </c>
      <c r="C740" s="4" t="s">
        <v>188</v>
      </c>
      <c r="D740">
        <v>0</v>
      </c>
      <c r="E740">
        <v>0</v>
      </c>
      <c r="F740">
        <v>0</v>
      </c>
      <c r="G740">
        <v>0</v>
      </c>
      <c r="H740">
        <v>0</v>
      </c>
      <c r="I740">
        <v>0</v>
      </c>
      <c r="J740" t="s">
        <v>315</v>
      </c>
      <c r="K740">
        <v>0</v>
      </c>
      <c r="L740">
        <v>0</v>
      </c>
      <c r="M740">
        <v>0</v>
      </c>
      <c r="N740" t="s">
        <v>315</v>
      </c>
      <c r="O740">
        <v>0</v>
      </c>
      <c r="P740">
        <v>2</v>
      </c>
      <c r="Q740">
        <v>1</v>
      </c>
      <c r="R740" t="s">
        <v>315</v>
      </c>
    </row>
    <row r="741" spans="1:18">
      <c r="A741" t="s">
        <v>1223</v>
      </c>
      <c r="B741" t="s">
        <v>174</v>
      </c>
      <c r="C741" s="35" t="s">
        <v>189</v>
      </c>
      <c r="D741">
        <v>0</v>
      </c>
      <c r="E741">
        <v>0</v>
      </c>
      <c r="F741">
        <v>0</v>
      </c>
      <c r="G741">
        <v>0</v>
      </c>
      <c r="H741">
        <v>0</v>
      </c>
      <c r="I741">
        <v>0</v>
      </c>
      <c r="J741" t="s">
        <v>315</v>
      </c>
      <c r="K741">
        <v>0</v>
      </c>
      <c r="L741">
        <v>0</v>
      </c>
      <c r="M741">
        <v>0</v>
      </c>
      <c r="N741" t="s">
        <v>315</v>
      </c>
      <c r="O741">
        <v>0</v>
      </c>
      <c r="P741">
        <v>0</v>
      </c>
      <c r="Q741">
        <v>0</v>
      </c>
      <c r="R741" t="s">
        <v>315</v>
      </c>
    </row>
    <row r="742" spans="1:18">
      <c r="A742" t="s">
        <v>1224</v>
      </c>
      <c r="B742" t="s">
        <v>174</v>
      </c>
      <c r="C742" t="s">
        <v>172</v>
      </c>
      <c r="D742">
        <v>0</v>
      </c>
      <c r="E742">
        <v>0</v>
      </c>
      <c r="F742">
        <v>0</v>
      </c>
      <c r="G742">
        <v>0</v>
      </c>
      <c r="H742">
        <v>0</v>
      </c>
      <c r="I742">
        <v>0</v>
      </c>
      <c r="J742" t="s">
        <v>315</v>
      </c>
      <c r="K742">
        <v>0</v>
      </c>
      <c r="L742">
        <v>0</v>
      </c>
      <c r="M742">
        <v>0</v>
      </c>
      <c r="N742" t="s">
        <v>315</v>
      </c>
      <c r="O742">
        <v>0</v>
      </c>
      <c r="P742">
        <v>0</v>
      </c>
      <c r="Q742">
        <v>0</v>
      </c>
      <c r="R742" t="s">
        <v>315</v>
      </c>
    </row>
    <row r="743" spans="1:18">
      <c r="A743" t="s">
        <v>1225</v>
      </c>
      <c r="B743" t="s">
        <v>174</v>
      </c>
      <c r="C743" t="s">
        <v>30</v>
      </c>
      <c r="D743">
        <v>0</v>
      </c>
      <c r="E743">
        <v>0</v>
      </c>
      <c r="F743">
        <v>0</v>
      </c>
      <c r="G743">
        <v>0</v>
      </c>
      <c r="H743">
        <v>0</v>
      </c>
      <c r="I743">
        <v>0</v>
      </c>
      <c r="J743" t="s">
        <v>315</v>
      </c>
      <c r="K743">
        <v>0</v>
      </c>
      <c r="L743">
        <v>0</v>
      </c>
      <c r="M743">
        <v>0</v>
      </c>
      <c r="N743" t="s">
        <v>315</v>
      </c>
      <c r="O743">
        <v>0</v>
      </c>
      <c r="P743">
        <v>0</v>
      </c>
      <c r="Q743">
        <v>0</v>
      </c>
      <c r="R743" t="s">
        <v>315</v>
      </c>
    </row>
    <row r="744" spans="1:18">
      <c r="A744" t="s">
        <v>1226</v>
      </c>
      <c r="B744" t="s">
        <v>175</v>
      </c>
      <c r="C744" t="s">
        <v>32</v>
      </c>
      <c r="D744">
        <v>39</v>
      </c>
      <c r="E744">
        <v>21</v>
      </c>
      <c r="F744">
        <v>29</v>
      </c>
      <c r="G744">
        <v>40</v>
      </c>
      <c r="H744">
        <v>26</v>
      </c>
      <c r="I744">
        <v>29</v>
      </c>
      <c r="J744" t="s">
        <v>315</v>
      </c>
      <c r="K744">
        <v>23</v>
      </c>
      <c r="L744">
        <v>24</v>
      </c>
      <c r="M744">
        <v>34</v>
      </c>
      <c r="N744" t="s">
        <v>315</v>
      </c>
      <c r="O744">
        <v>13</v>
      </c>
      <c r="P744">
        <v>38</v>
      </c>
      <c r="Q744">
        <v>43</v>
      </c>
      <c r="R744" t="s">
        <v>315</v>
      </c>
    </row>
    <row r="745" spans="1:18">
      <c r="A745" t="s">
        <v>1227</v>
      </c>
      <c r="B745" t="s">
        <v>175</v>
      </c>
      <c r="C745" s="4" t="s">
        <v>34</v>
      </c>
      <c r="D745">
        <v>38</v>
      </c>
      <c r="E745">
        <v>21</v>
      </c>
      <c r="F745">
        <v>28</v>
      </c>
      <c r="G745">
        <v>40</v>
      </c>
      <c r="H745">
        <v>26</v>
      </c>
      <c r="I745">
        <v>29</v>
      </c>
      <c r="J745" t="s">
        <v>315</v>
      </c>
      <c r="K745">
        <v>23</v>
      </c>
      <c r="L745">
        <v>24</v>
      </c>
      <c r="M745">
        <v>26</v>
      </c>
      <c r="N745" t="s">
        <v>315</v>
      </c>
      <c r="O745">
        <v>3</v>
      </c>
      <c r="P745">
        <v>2</v>
      </c>
      <c r="Q745">
        <v>1</v>
      </c>
      <c r="R745" t="s">
        <v>315</v>
      </c>
    </row>
    <row r="746" spans="1:18">
      <c r="A746" t="s">
        <v>1228</v>
      </c>
      <c r="B746" t="s">
        <v>175</v>
      </c>
      <c r="C746" t="s">
        <v>169</v>
      </c>
      <c r="D746">
        <v>1</v>
      </c>
      <c r="E746">
        <v>0</v>
      </c>
      <c r="F746">
        <v>1</v>
      </c>
      <c r="G746">
        <v>0</v>
      </c>
      <c r="H746">
        <v>0</v>
      </c>
      <c r="I746">
        <v>0</v>
      </c>
      <c r="J746" t="s">
        <v>315</v>
      </c>
      <c r="K746">
        <v>0</v>
      </c>
      <c r="L746">
        <v>0</v>
      </c>
      <c r="M746">
        <v>8</v>
      </c>
      <c r="N746" t="s">
        <v>315</v>
      </c>
      <c r="O746">
        <v>10</v>
      </c>
      <c r="P746">
        <v>36</v>
      </c>
      <c r="Q746">
        <v>42</v>
      </c>
      <c r="R746" t="s">
        <v>315</v>
      </c>
    </row>
    <row r="747" spans="1:18">
      <c r="A747" t="s">
        <v>1229</v>
      </c>
      <c r="B747" t="s">
        <v>175</v>
      </c>
      <c r="C747" t="s">
        <v>486</v>
      </c>
      <c r="D747">
        <v>9</v>
      </c>
      <c r="E747">
        <v>8</v>
      </c>
      <c r="F747">
        <v>8</v>
      </c>
      <c r="G747">
        <v>10</v>
      </c>
      <c r="H747">
        <v>10</v>
      </c>
      <c r="I747">
        <v>12</v>
      </c>
      <c r="J747">
        <v>5</v>
      </c>
      <c r="K747">
        <v>14</v>
      </c>
      <c r="L747">
        <v>17</v>
      </c>
      <c r="M747">
        <v>18</v>
      </c>
      <c r="N747">
        <v>23</v>
      </c>
      <c r="O747">
        <v>23</v>
      </c>
      <c r="P747">
        <v>23</v>
      </c>
      <c r="Q747">
        <v>23</v>
      </c>
      <c r="R747">
        <v>1</v>
      </c>
    </row>
    <row r="748" spans="1:18">
      <c r="A748" t="s">
        <v>1230</v>
      </c>
      <c r="B748" t="s">
        <v>175</v>
      </c>
      <c r="C748" t="s">
        <v>488</v>
      </c>
      <c r="D748">
        <v>13</v>
      </c>
      <c r="E748">
        <v>10</v>
      </c>
      <c r="F748">
        <v>11</v>
      </c>
      <c r="G748">
        <v>14</v>
      </c>
      <c r="H748">
        <v>14</v>
      </c>
      <c r="I748">
        <v>15</v>
      </c>
      <c r="J748">
        <v>14</v>
      </c>
      <c r="K748">
        <v>18</v>
      </c>
      <c r="L748">
        <v>19</v>
      </c>
      <c r="M748">
        <v>22</v>
      </c>
      <c r="N748">
        <v>25</v>
      </c>
      <c r="O748">
        <v>25</v>
      </c>
      <c r="P748">
        <v>25</v>
      </c>
      <c r="Q748">
        <v>25</v>
      </c>
      <c r="R748">
        <v>1</v>
      </c>
    </row>
    <row r="749" spans="1:18">
      <c r="A749" t="s">
        <v>1231</v>
      </c>
      <c r="B749" t="s">
        <v>175</v>
      </c>
      <c r="C749" t="s">
        <v>148</v>
      </c>
      <c r="D749">
        <v>10</v>
      </c>
      <c r="E749">
        <v>9</v>
      </c>
      <c r="F749">
        <v>7</v>
      </c>
      <c r="G749">
        <v>8</v>
      </c>
      <c r="H749">
        <v>10</v>
      </c>
      <c r="I749">
        <v>12</v>
      </c>
      <c r="J749" t="s">
        <v>315</v>
      </c>
      <c r="K749">
        <v>13</v>
      </c>
      <c r="L749">
        <v>3</v>
      </c>
      <c r="M749">
        <v>17</v>
      </c>
      <c r="N749" t="s">
        <v>315</v>
      </c>
      <c r="O749">
        <v>20</v>
      </c>
      <c r="P749">
        <v>23</v>
      </c>
      <c r="Q749">
        <v>23</v>
      </c>
      <c r="R749" t="s">
        <v>315</v>
      </c>
    </row>
    <row r="750" spans="1:18">
      <c r="A750" t="s">
        <v>1232</v>
      </c>
      <c r="B750" t="s">
        <v>175</v>
      </c>
      <c r="C750" t="s">
        <v>184</v>
      </c>
      <c r="D750">
        <v>13</v>
      </c>
      <c r="E750">
        <v>10</v>
      </c>
      <c r="F750">
        <v>13</v>
      </c>
      <c r="G750">
        <v>10</v>
      </c>
      <c r="H750">
        <v>13</v>
      </c>
      <c r="I750">
        <v>18</v>
      </c>
      <c r="J750" t="s">
        <v>315</v>
      </c>
      <c r="K750">
        <v>15</v>
      </c>
      <c r="L750">
        <v>5</v>
      </c>
      <c r="M750">
        <v>20</v>
      </c>
      <c r="N750" t="s">
        <v>315</v>
      </c>
      <c r="O750">
        <v>23</v>
      </c>
      <c r="P750">
        <v>26</v>
      </c>
      <c r="Q750">
        <v>25</v>
      </c>
      <c r="R750" t="s">
        <v>315</v>
      </c>
    </row>
    <row r="751" spans="1:18">
      <c r="A751" t="s">
        <v>1233</v>
      </c>
      <c r="B751" t="s">
        <v>175</v>
      </c>
      <c r="C751" s="4" t="s">
        <v>188</v>
      </c>
      <c r="D751">
        <v>1</v>
      </c>
      <c r="E751">
        <v>0</v>
      </c>
      <c r="F751">
        <v>1</v>
      </c>
      <c r="G751">
        <v>0</v>
      </c>
      <c r="H751">
        <v>0</v>
      </c>
      <c r="I751">
        <v>0</v>
      </c>
      <c r="J751" t="s">
        <v>315</v>
      </c>
      <c r="K751">
        <v>0</v>
      </c>
      <c r="L751">
        <v>0</v>
      </c>
      <c r="M751">
        <v>8</v>
      </c>
      <c r="N751" t="s">
        <v>315</v>
      </c>
      <c r="O751">
        <v>10</v>
      </c>
      <c r="P751">
        <v>36</v>
      </c>
      <c r="Q751">
        <v>42</v>
      </c>
      <c r="R751" t="s">
        <v>315</v>
      </c>
    </row>
    <row r="752" spans="1:18">
      <c r="A752" t="s">
        <v>1234</v>
      </c>
      <c r="B752" t="s">
        <v>175</v>
      </c>
      <c r="C752" s="35" t="s">
        <v>189</v>
      </c>
      <c r="D752">
        <v>0</v>
      </c>
      <c r="E752">
        <v>0</v>
      </c>
      <c r="F752">
        <v>0</v>
      </c>
      <c r="G752">
        <v>0</v>
      </c>
      <c r="H752">
        <v>0</v>
      </c>
      <c r="I752">
        <v>0</v>
      </c>
      <c r="J752" t="s">
        <v>315</v>
      </c>
      <c r="K752">
        <v>0</v>
      </c>
      <c r="L752">
        <v>0</v>
      </c>
      <c r="M752">
        <v>0</v>
      </c>
      <c r="N752" t="s">
        <v>315</v>
      </c>
      <c r="O752">
        <v>0</v>
      </c>
      <c r="P752">
        <v>0</v>
      </c>
      <c r="Q752">
        <v>0</v>
      </c>
      <c r="R752" t="s">
        <v>315</v>
      </c>
    </row>
    <row r="753" spans="1:18">
      <c r="A753" t="s">
        <v>1235</v>
      </c>
      <c r="B753" t="s">
        <v>175</v>
      </c>
      <c r="C753" t="s">
        <v>172</v>
      </c>
      <c r="D753">
        <v>0</v>
      </c>
      <c r="E753">
        <v>0</v>
      </c>
      <c r="F753">
        <v>0</v>
      </c>
      <c r="G753">
        <v>0</v>
      </c>
      <c r="H753">
        <v>0</v>
      </c>
      <c r="I753">
        <v>0</v>
      </c>
      <c r="J753" t="s">
        <v>315</v>
      </c>
      <c r="K753">
        <v>0</v>
      </c>
      <c r="L753">
        <v>0</v>
      </c>
      <c r="M753">
        <v>0</v>
      </c>
      <c r="N753" t="s">
        <v>315</v>
      </c>
      <c r="O753">
        <v>0</v>
      </c>
      <c r="P753">
        <v>0</v>
      </c>
      <c r="Q753">
        <v>0</v>
      </c>
      <c r="R753" t="s">
        <v>315</v>
      </c>
    </row>
    <row r="754" spans="1:18">
      <c r="A754" t="s">
        <v>1236</v>
      </c>
      <c r="B754" t="s">
        <v>175</v>
      </c>
      <c r="C754" t="s">
        <v>30</v>
      </c>
      <c r="D754">
        <v>0</v>
      </c>
      <c r="E754">
        <v>0</v>
      </c>
      <c r="F754">
        <v>0</v>
      </c>
      <c r="G754">
        <v>0</v>
      </c>
      <c r="H754">
        <v>0</v>
      </c>
      <c r="I754">
        <v>0</v>
      </c>
      <c r="J754" t="s">
        <v>315</v>
      </c>
      <c r="K754">
        <v>0</v>
      </c>
      <c r="L754">
        <v>0</v>
      </c>
      <c r="M754">
        <v>0</v>
      </c>
      <c r="N754" t="s">
        <v>315</v>
      </c>
      <c r="O754">
        <v>0</v>
      </c>
      <c r="P754">
        <v>0</v>
      </c>
      <c r="Q754">
        <v>0</v>
      </c>
      <c r="R754" t="s">
        <v>315</v>
      </c>
    </row>
    <row r="755" spans="1:18">
      <c r="A755" t="s">
        <v>1237</v>
      </c>
      <c r="B755" t="s">
        <v>175</v>
      </c>
      <c r="C755" t="s">
        <v>177</v>
      </c>
      <c r="D755">
        <v>75</v>
      </c>
      <c r="E755">
        <v>98</v>
      </c>
      <c r="F755">
        <v>136</v>
      </c>
      <c r="G755">
        <v>116</v>
      </c>
      <c r="H755">
        <v>113</v>
      </c>
      <c r="I755">
        <v>151</v>
      </c>
      <c r="J755" t="s">
        <v>315</v>
      </c>
      <c r="K755">
        <v>136</v>
      </c>
      <c r="L755">
        <v>87</v>
      </c>
      <c r="M755">
        <v>107</v>
      </c>
      <c r="N755" t="s">
        <v>315</v>
      </c>
      <c r="O755">
        <v>0</v>
      </c>
      <c r="P755">
        <v>0</v>
      </c>
      <c r="Q755">
        <v>0</v>
      </c>
      <c r="R755" t="s">
        <v>315</v>
      </c>
    </row>
    <row r="756" spans="1:18">
      <c r="A756" t="s">
        <v>1238</v>
      </c>
      <c r="B756" t="s">
        <v>175</v>
      </c>
      <c r="C756" t="s">
        <v>178</v>
      </c>
      <c r="D756">
        <v>38</v>
      </c>
      <c r="E756">
        <v>51</v>
      </c>
      <c r="F756">
        <v>86</v>
      </c>
      <c r="G756">
        <v>81</v>
      </c>
      <c r="H756">
        <v>69</v>
      </c>
      <c r="I756">
        <v>91</v>
      </c>
      <c r="J756" t="s">
        <v>315</v>
      </c>
      <c r="K756">
        <v>98</v>
      </c>
      <c r="L756">
        <v>61</v>
      </c>
      <c r="M756">
        <v>76</v>
      </c>
      <c r="N756" t="s">
        <v>315</v>
      </c>
      <c r="O756">
        <v>0</v>
      </c>
      <c r="P756">
        <v>0</v>
      </c>
      <c r="Q756">
        <v>0</v>
      </c>
      <c r="R756" t="s">
        <v>315</v>
      </c>
    </row>
    <row r="757" spans="1:18">
      <c r="A757" t="s">
        <v>1239</v>
      </c>
      <c r="B757" t="s">
        <v>176</v>
      </c>
      <c r="C757" t="s">
        <v>32</v>
      </c>
      <c r="D757">
        <v>1</v>
      </c>
      <c r="E757">
        <v>1</v>
      </c>
      <c r="F757">
        <v>0</v>
      </c>
      <c r="G757">
        <v>1</v>
      </c>
      <c r="H757">
        <v>0</v>
      </c>
      <c r="I757">
        <v>3</v>
      </c>
      <c r="J757" t="s">
        <v>315</v>
      </c>
      <c r="K757">
        <v>2</v>
      </c>
      <c r="L757">
        <v>2</v>
      </c>
      <c r="M757">
        <v>1</v>
      </c>
      <c r="N757" t="s">
        <v>315</v>
      </c>
      <c r="O757">
        <v>0</v>
      </c>
      <c r="P757">
        <v>2</v>
      </c>
      <c r="Q757">
        <v>1</v>
      </c>
      <c r="R757" t="s">
        <v>315</v>
      </c>
    </row>
    <row r="758" spans="1:18">
      <c r="A758" t="s">
        <v>1240</v>
      </c>
      <c r="B758" t="s">
        <v>176</v>
      </c>
      <c r="C758" s="4" t="s">
        <v>34</v>
      </c>
      <c r="D758">
        <v>1</v>
      </c>
      <c r="E758">
        <v>1</v>
      </c>
      <c r="F758">
        <v>0</v>
      </c>
      <c r="G758">
        <v>1</v>
      </c>
      <c r="H758">
        <v>0</v>
      </c>
      <c r="I758">
        <v>3</v>
      </c>
      <c r="J758" t="s">
        <v>315</v>
      </c>
      <c r="K758">
        <v>2</v>
      </c>
      <c r="L758">
        <v>2</v>
      </c>
      <c r="M758">
        <v>1</v>
      </c>
      <c r="N758" t="s">
        <v>315</v>
      </c>
      <c r="O758">
        <v>0</v>
      </c>
      <c r="P758">
        <v>0</v>
      </c>
      <c r="Q758">
        <v>0</v>
      </c>
      <c r="R758" t="s">
        <v>315</v>
      </c>
    </row>
    <row r="759" spans="1:18">
      <c r="A759" t="s">
        <v>1241</v>
      </c>
      <c r="B759" t="s">
        <v>176</v>
      </c>
      <c r="C759" t="s">
        <v>169</v>
      </c>
      <c r="D759">
        <v>0</v>
      </c>
      <c r="E759">
        <v>0</v>
      </c>
      <c r="F759">
        <v>0</v>
      </c>
      <c r="G759">
        <v>0</v>
      </c>
      <c r="H759">
        <v>0</v>
      </c>
      <c r="I759">
        <v>0</v>
      </c>
      <c r="J759" t="s">
        <v>315</v>
      </c>
      <c r="K759">
        <v>0</v>
      </c>
      <c r="L759">
        <v>0</v>
      </c>
      <c r="M759">
        <v>0</v>
      </c>
      <c r="N759" t="s">
        <v>315</v>
      </c>
      <c r="O759">
        <v>0</v>
      </c>
      <c r="P759">
        <v>2</v>
      </c>
      <c r="Q759">
        <v>1</v>
      </c>
      <c r="R759" t="s">
        <v>315</v>
      </c>
    </row>
    <row r="760" spans="1:18">
      <c r="A760" t="s">
        <v>1242</v>
      </c>
      <c r="B760" t="s">
        <v>176</v>
      </c>
      <c r="C760" t="s">
        <v>170</v>
      </c>
      <c r="D760">
        <v>38</v>
      </c>
      <c r="E760">
        <v>51</v>
      </c>
      <c r="F760">
        <v>86</v>
      </c>
      <c r="G760">
        <v>81</v>
      </c>
      <c r="H760">
        <v>69</v>
      </c>
      <c r="I760">
        <v>91</v>
      </c>
      <c r="J760" t="s">
        <v>315</v>
      </c>
      <c r="K760">
        <v>98</v>
      </c>
      <c r="L760">
        <v>61</v>
      </c>
      <c r="M760">
        <v>76</v>
      </c>
      <c r="N760" t="s">
        <v>315</v>
      </c>
      <c r="O760">
        <v>0</v>
      </c>
      <c r="P760">
        <v>0</v>
      </c>
      <c r="Q760">
        <v>0</v>
      </c>
      <c r="R760" t="s">
        <v>315</v>
      </c>
    </row>
    <row r="761" spans="1:18">
      <c r="A761" t="s">
        <v>1243</v>
      </c>
      <c r="B761" t="s">
        <v>176</v>
      </c>
      <c r="C761" t="s">
        <v>171</v>
      </c>
      <c r="D761">
        <v>75</v>
      </c>
      <c r="E761">
        <v>98</v>
      </c>
      <c r="F761">
        <v>136</v>
      </c>
      <c r="G761">
        <v>116</v>
      </c>
      <c r="H761">
        <v>113</v>
      </c>
      <c r="I761">
        <v>151</v>
      </c>
      <c r="J761" t="s">
        <v>315</v>
      </c>
      <c r="K761">
        <v>136</v>
      </c>
      <c r="L761">
        <v>87</v>
      </c>
      <c r="M761">
        <v>107</v>
      </c>
      <c r="N761" t="s">
        <v>315</v>
      </c>
      <c r="O761">
        <v>0</v>
      </c>
      <c r="P761">
        <v>0</v>
      </c>
      <c r="Q761">
        <v>0</v>
      </c>
      <c r="R761" t="s">
        <v>315</v>
      </c>
    </row>
    <row r="762" spans="1:18">
      <c r="A762" t="s">
        <v>1244</v>
      </c>
      <c r="B762" t="s">
        <v>176</v>
      </c>
      <c r="C762" t="s">
        <v>148</v>
      </c>
      <c r="D762">
        <v>14</v>
      </c>
      <c r="E762">
        <v>9</v>
      </c>
      <c r="F762">
        <v>0</v>
      </c>
      <c r="G762">
        <v>7</v>
      </c>
      <c r="H762">
        <v>0</v>
      </c>
      <c r="I762">
        <v>11</v>
      </c>
      <c r="J762" t="s">
        <v>315</v>
      </c>
      <c r="K762">
        <v>7</v>
      </c>
      <c r="L762">
        <v>2</v>
      </c>
      <c r="M762">
        <v>18</v>
      </c>
      <c r="N762" t="s">
        <v>315</v>
      </c>
      <c r="O762">
        <v>0</v>
      </c>
      <c r="P762">
        <v>26</v>
      </c>
      <c r="Q762">
        <v>21</v>
      </c>
      <c r="R762" t="s">
        <v>315</v>
      </c>
    </row>
    <row r="763" spans="1:18">
      <c r="A763" t="s">
        <v>1245</v>
      </c>
      <c r="B763" t="s">
        <v>176</v>
      </c>
      <c r="C763" t="s">
        <v>184</v>
      </c>
      <c r="D763">
        <v>14</v>
      </c>
      <c r="E763">
        <v>9</v>
      </c>
      <c r="F763">
        <v>0</v>
      </c>
      <c r="G763">
        <v>7</v>
      </c>
      <c r="H763">
        <v>0</v>
      </c>
      <c r="I763">
        <v>12</v>
      </c>
      <c r="J763" t="s">
        <v>315</v>
      </c>
      <c r="K763">
        <v>14</v>
      </c>
      <c r="L763">
        <v>4</v>
      </c>
      <c r="M763">
        <v>18</v>
      </c>
      <c r="N763" t="s">
        <v>315</v>
      </c>
      <c r="O763">
        <v>0</v>
      </c>
      <c r="P763">
        <v>27</v>
      </c>
      <c r="Q763">
        <v>21</v>
      </c>
      <c r="R763" t="s">
        <v>315</v>
      </c>
    </row>
    <row r="764" spans="1:18">
      <c r="A764" t="s">
        <v>1246</v>
      </c>
      <c r="B764" t="s">
        <v>176</v>
      </c>
      <c r="C764" s="4" t="s">
        <v>188</v>
      </c>
      <c r="D764">
        <v>0</v>
      </c>
      <c r="E764">
        <v>0</v>
      </c>
      <c r="F764">
        <v>0</v>
      </c>
      <c r="G764">
        <v>0</v>
      </c>
      <c r="H764">
        <v>0</v>
      </c>
      <c r="I764">
        <v>0</v>
      </c>
      <c r="J764" t="s">
        <v>315</v>
      </c>
      <c r="K764">
        <v>0</v>
      </c>
      <c r="L764">
        <v>0</v>
      </c>
      <c r="M764">
        <v>0</v>
      </c>
      <c r="N764" t="s">
        <v>315</v>
      </c>
      <c r="O764">
        <v>0</v>
      </c>
      <c r="P764">
        <v>2</v>
      </c>
      <c r="Q764">
        <v>1</v>
      </c>
      <c r="R764" t="s">
        <v>315</v>
      </c>
    </row>
    <row r="765" spans="1:18">
      <c r="A765" t="s">
        <v>1247</v>
      </c>
      <c r="B765" t="s">
        <v>176</v>
      </c>
      <c r="C765" s="35" t="s">
        <v>189</v>
      </c>
      <c r="D765">
        <v>0</v>
      </c>
      <c r="E765">
        <v>0</v>
      </c>
      <c r="F765">
        <v>0</v>
      </c>
      <c r="G765">
        <v>0</v>
      </c>
      <c r="H765">
        <v>0</v>
      </c>
      <c r="I765">
        <v>0</v>
      </c>
      <c r="J765" t="s">
        <v>315</v>
      </c>
      <c r="K765">
        <v>0</v>
      </c>
      <c r="L765">
        <v>0</v>
      </c>
      <c r="M765">
        <v>0</v>
      </c>
      <c r="N765" t="s">
        <v>315</v>
      </c>
      <c r="O765">
        <v>0</v>
      </c>
      <c r="P765">
        <v>0</v>
      </c>
      <c r="Q765">
        <v>0</v>
      </c>
      <c r="R765" t="s">
        <v>315</v>
      </c>
    </row>
    <row r="766" spans="1:18">
      <c r="A766" t="s">
        <v>1248</v>
      </c>
      <c r="B766" t="s">
        <v>176</v>
      </c>
      <c r="C766" t="s">
        <v>172</v>
      </c>
      <c r="D766">
        <v>0</v>
      </c>
      <c r="E766">
        <v>0</v>
      </c>
      <c r="F766">
        <v>0</v>
      </c>
      <c r="G766">
        <v>0</v>
      </c>
      <c r="H766">
        <v>0</v>
      </c>
      <c r="I766">
        <v>0</v>
      </c>
      <c r="J766" t="s">
        <v>315</v>
      </c>
      <c r="K766">
        <v>0</v>
      </c>
      <c r="L766">
        <v>0</v>
      </c>
      <c r="M766">
        <v>0</v>
      </c>
      <c r="N766" t="s">
        <v>315</v>
      </c>
      <c r="O766">
        <v>0</v>
      </c>
      <c r="P766">
        <v>0</v>
      </c>
      <c r="Q766">
        <v>0</v>
      </c>
      <c r="R766" t="s">
        <v>315</v>
      </c>
    </row>
    <row r="767" spans="1:18">
      <c r="A767" t="s">
        <v>1249</v>
      </c>
      <c r="B767" t="s">
        <v>176</v>
      </c>
      <c r="C767" t="s">
        <v>30</v>
      </c>
      <c r="D767">
        <v>0</v>
      </c>
      <c r="E767">
        <v>0</v>
      </c>
      <c r="F767">
        <v>0</v>
      </c>
      <c r="G767">
        <v>0</v>
      </c>
      <c r="H767">
        <v>0</v>
      </c>
      <c r="I767">
        <v>0</v>
      </c>
      <c r="J767" t="s">
        <v>315</v>
      </c>
      <c r="K767">
        <v>0</v>
      </c>
      <c r="L767">
        <v>0</v>
      </c>
      <c r="M767">
        <v>0</v>
      </c>
      <c r="N767" t="s">
        <v>315</v>
      </c>
      <c r="O767">
        <v>0</v>
      </c>
      <c r="P767">
        <v>0</v>
      </c>
      <c r="Q767">
        <v>0</v>
      </c>
      <c r="R767" t="s">
        <v>315</v>
      </c>
    </row>
    <row r="768" spans="1:18">
      <c r="A768" t="s">
        <v>1250</v>
      </c>
      <c r="B768" t="s">
        <v>176</v>
      </c>
      <c r="C768" t="s">
        <v>177</v>
      </c>
      <c r="D768">
        <v>2</v>
      </c>
      <c r="E768">
        <v>2</v>
      </c>
      <c r="F768">
        <v>6</v>
      </c>
      <c r="G768">
        <v>6</v>
      </c>
      <c r="H768">
        <v>5</v>
      </c>
      <c r="I768">
        <v>5</v>
      </c>
      <c r="J768" t="s">
        <v>315</v>
      </c>
      <c r="K768">
        <v>2</v>
      </c>
      <c r="L768">
        <v>4</v>
      </c>
      <c r="M768">
        <v>6</v>
      </c>
      <c r="N768" t="s">
        <v>315</v>
      </c>
      <c r="O768">
        <v>0</v>
      </c>
      <c r="P768">
        <v>0</v>
      </c>
      <c r="Q768">
        <v>0</v>
      </c>
      <c r="R768" t="s">
        <v>315</v>
      </c>
    </row>
    <row r="769" spans="1:18">
      <c r="A769" t="s">
        <v>1251</v>
      </c>
      <c r="B769" t="s">
        <v>176</v>
      </c>
      <c r="C769" t="s">
        <v>178</v>
      </c>
      <c r="D769">
        <v>1</v>
      </c>
      <c r="E769">
        <v>0</v>
      </c>
      <c r="F769">
        <v>4</v>
      </c>
      <c r="G769">
        <v>2</v>
      </c>
      <c r="H769">
        <v>2</v>
      </c>
      <c r="I769">
        <v>4</v>
      </c>
      <c r="J769" t="s">
        <v>315</v>
      </c>
      <c r="K769">
        <v>2</v>
      </c>
      <c r="L769">
        <v>3</v>
      </c>
      <c r="M769">
        <v>4</v>
      </c>
      <c r="N769" t="s">
        <v>315</v>
      </c>
      <c r="O769">
        <v>0</v>
      </c>
      <c r="P769">
        <v>0</v>
      </c>
      <c r="Q769">
        <v>0</v>
      </c>
      <c r="R769" t="s">
        <v>315</v>
      </c>
    </row>
    <row r="770" spans="1:18">
      <c r="A770" t="s">
        <v>1252</v>
      </c>
      <c r="B770" t="s">
        <v>173</v>
      </c>
      <c r="C770" t="s">
        <v>32</v>
      </c>
      <c r="D770">
        <v>17</v>
      </c>
      <c r="E770">
        <v>29</v>
      </c>
      <c r="F770">
        <v>14</v>
      </c>
      <c r="G770">
        <v>13</v>
      </c>
      <c r="H770">
        <v>18</v>
      </c>
      <c r="I770">
        <v>20</v>
      </c>
      <c r="J770">
        <v>26</v>
      </c>
      <c r="K770">
        <v>21</v>
      </c>
      <c r="L770">
        <v>6</v>
      </c>
      <c r="M770">
        <v>18</v>
      </c>
      <c r="N770">
        <v>11</v>
      </c>
      <c r="O770">
        <v>19</v>
      </c>
      <c r="P770">
        <v>16</v>
      </c>
      <c r="Q770">
        <v>12</v>
      </c>
      <c r="R770">
        <v>42</v>
      </c>
    </row>
    <row r="771" spans="1:18">
      <c r="A771" t="s">
        <v>1253</v>
      </c>
      <c r="B771" t="s">
        <v>173</v>
      </c>
      <c r="C771" s="4" t="s">
        <v>34</v>
      </c>
      <c r="D771">
        <v>5</v>
      </c>
      <c r="E771">
        <v>10</v>
      </c>
      <c r="F771">
        <v>7</v>
      </c>
      <c r="G771">
        <v>8</v>
      </c>
      <c r="H771">
        <v>12</v>
      </c>
      <c r="I771">
        <v>8</v>
      </c>
      <c r="J771">
        <v>19</v>
      </c>
      <c r="K771">
        <v>12</v>
      </c>
      <c r="L771">
        <v>3</v>
      </c>
      <c r="M771">
        <v>10</v>
      </c>
      <c r="N771">
        <v>5</v>
      </c>
      <c r="O771">
        <v>10</v>
      </c>
      <c r="P771">
        <v>10</v>
      </c>
      <c r="Q771">
        <v>7</v>
      </c>
      <c r="R771">
        <v>21</v>
      </c>
    </row>
    <row r="772" spans="1:18">
      <c r="A772" t="s">
        <v>1254</v>
      </c>
      <c r="B772" t="s">
        <v>173</v>
      </c>
      <c r="C772" t="s">
        <v>169</v>
      </c>
      <c r="D772">
        <v>12</v>
      </c>
      <c r="E772">
        <v>19</v>
      </c>
      <c r="F772">
        <v>7</v>
      </c>
      <c r="G772">
        <v>5</v>
      </c>
      <c r="H772">
        <v>6</v>
      </c>
      <c r="I772">
        <v>12</v>
      </c>
      <c r="J772">
        <v>7</v>
      </c>
      <c r="K772">
        <v>9</v>
      </c>
      <c r="L772">
        <v>3</v>
      </c>
      <c r="M772">
        <v>8</v>
      </c>
      <c r="N772">
        <v>6</v>
      </c>
      <c r="O772">
        <v>9</v>
      </c>
      <c r="P772">
        <v>6</v>
      </c>
      <c r="Q772">
        <v>5</v>
      </c>
      <c r="R772">
        <v>21</v>
      </c>
    </row>
    <row r="773" spans="1:18">
      <c r="A773" t="s">
        <v>1255</v>
      </c>
      <c r="B773" t="s">
        <v>173</v>
      </c>
      <c r="C773" t="s">
        <v>486</v>
      </c>
      <c r="D773">
        <v>23</v>
      </c>
      <c r="E773">
        <v>19</v>
      </c>
      <c r="F773">
        <v>10</v>
      </c>
      <c r="G773">
        <v>16</v>
      </c>
      <c r="H773">
        <v>11</v>
      </c>
      <c r="I773">
        <v>13</v>
      </c>
      <c r="J773">
        <v>9</v>
      </c>
      <c r="K773">
        <v>18</v>
      </c>
      <c r="L773">
        <v>18</v>
      </c>
      <c r="M773">
        <v>18</v>
      </c>
      <c r="N773">
        <v>16</v>
      </c>
      <c r="O773">
        <v>15</v>
      </c>
      <c r="P773">
        <v>16</v>
      </c>
      <c r="Q773">
        <v>17</v>
      </c>
      <c r="R773">
        <v>18</v>
      </c>
    </row>
    <row r="774" spans="1:18">
      <c r="A774" t="s">
        <v>1256</v>
      </c>
      <c r="B774" t="s">
        <v>173</v>
      </c>
      <c r="C774" t="s">
        <v>488</v>
      </c>
      <c r="D774">
        <v>38</v>
      </c>
      <c r="E774">
        <v>34</v>
      </c>
      <c r="F774">
        <v>34</v>
      </c>
      <c r="G774">
        <v>33</v>
      </c>
      <c r="H774">
        <v>33</v>
      </c>
      <c r="I774">
        <v>33</v>
      </c>
      <c r="J774">
        <v>28</v>
      </c>
      <c r="K774">
        <v>39</v>
      </c>
      <c r="L774">
        <v>105</v>
      </c>
      <c r="M774">
        <v>105</v>
      </c>
      <c r="N774">
        <v>105</v>
      </c>
      <c r="O774">
        <v>105</v>
      </c>
      <c r="P774">
        <v>35</v>
      </c>
      <c r="Q774">
        <v>35</v>
      </c>
      <c r="R774">
        <v>35</v>
      </c>
    </row>
    <row r="775" spans="1:18">
      <c r="A775" t="s">
        <v>1257</v>
      </c>
      <c r="B775" t="s">
        <v>173</v>
      </c>
      <c r="C775" t="s">
        <v>148</v>
      </c>
      <c r="D775">
        <v>30</v>
      </c>
      <c r="E775">
        <v>24</v>
      </c>
      <c r="F775">
        <v>14</v>
      </c>
      <c r="G775">
        <v>6</v>
      </c>
      <c r="H775">
        <v>10</v>
      </c>
      <c r="I775">
        <v>21</v>
      </c>
      <c r="J775">
        <v>8</v>
      </c>
      <c r="K775">
        <v>13</v>
      </c>
      <c r="L775">
        <v>3</v>
      </c>
      <c r="M775">
        <v>18</v>
      </c>
      <c r="N775">
        <v>19</v>
      </c>
      <c r="O775">
        <v>17</v>
      </c>
      <c r="P775">
        <v>9</v>
      </c>
      <c r="Q775">
        <v>15</v>
      </c>
      <c r="R775">
        <v>18</v>
      </c>
    </row>
    <row r="776" spans="1:18">
      <c r="A776" t="s">
        <v>1258</v>
      </c>
      <c r="B776" t="s">
        <v>173</v>
      </c>
      <c r="C776" t="s">
        <v>184</v>
      </c>
      <c r="D776">
        <v>105</v>
      </c>
      <c r="E776">
        <v>38</v>
      </c>
      <c r="F776">
        <v>43</v>
      </c>
      <c r="G776">
        <v>25</v>
      </c>
      <c r="H776">
        <v>40</v>
      </c>
      <c r="I776">
        <v>33</v>
      </c>
      <c r="J776">
        <v>23</v>
      </c>
      <c r="K776">
        <v>37</v>
      </c>
      <c r="L776">
        <v>28</v>
      </c>
      <c r="M776">
        <v>105</v>
      </c>
      <c r="N776">
        <v>105</v>
      </c>
      <c r="O776">
        <v>105</v>
      </c>
      <c r="P776">
        <v>105</v>
      </c>
      <c r="Q776">
        <v>105</v>
      </c>
      <c r="R776">
        <v>35</v>
      </c>
    </row>
    <row r="777" spans="1:18">
      <c r="A777" t="s">
        <v>1259</v>
      </c>
      <c r="B777" t="s">
        <v>173</v>
      </c>
      <c r="C777" s="4" t="s">
        <v>188</v>
      </c>
      <c r="D777">
        <v>10</v>
      </c>
      <c r="E777">
        <v>16</v>
      </c>
      <c r="F777">
        <v>5</v>
      </c>
      <c r="G777">
        <v>5</v>
      </c>
      <c r="H777">
        <v>4</v>
      </c>
      <c r="I777">
        <v>10</v>
      </c>
      <c r="J777">
        <v>6</v>
      </c>
      <c r="K777">
        <v>6</v>
      </c>
      <c r="L777">
        <v>3</v>
      </c>
      <c r="M777">
        <v>4</v>
      </c>
      <c r="N777">
        <v>4</v>
      </c>
      <c r="O777">
        <v>4</v>
      </c>
      <c r="P777">
        <v>3</v>
      </c>
      <c r="Q777">
        <v>3</v>
      </c>
      <c r="R777">
        <v>19</v>
      </c>
    </row>
    <row r="778" spans="1:18">
      <c r="A778" t="s">
        <v>1260</v>
      </c>
      <c r="B778" t="s">
        <v>173</v>
      </c>
      <c r="C778" s="35" t="s">
        <v>189</v>
      </c>
      <c r="D778">
        <v>2</v>
      </c>
      <c r="E778">
        <v>3</v>
      </c>
      <c r="F778">
        <v>2</v>
      </c>
      <c r="G778">
        <v>0</v>
      </c>
      <c r="H778">
        <v>2</v>
      </c>
      <c r="I778">
        <v>2</v>
      </c>
      <c r="J778">
        <v>1</v>
      </c>
      <c r="K778">
        <v>3</v>
      </c>
      <c r="L778">
        <v>0</v>
      </c>
      <c r="M778">
        <v>4</v>
      </c>
      <c r="N778">
        <v>2</v>
      </c>
      <c r="O778">
        <v>5</v>
      </c>
      <c r="P778">
        <v>3</v>
      </c>
      <c r="Q778">
        <v>2</v>
      </c>
      <c r="R778">
        <v>2</v>
      </c>
    </row>
    <row r="779" spans="1:18">
      <c r="A779" t="s">
        <v>1261</v>
      </c>
      <c r="B779" t="s">
        <v>173</v>
      </c>
      <c r="C779" t="s">
        <v>172</v>
      </c>
      <c r="D779">
        <v>0</v>
      </c>
      <c r="E779">
        <v>2</v>
      </c>
      <c r="F779">
        <v>2</v>
      </c>
      <c r="G779">
        <v>0</v>
      </c>
      <c r="H779">
        <v>2</v>
      </c>
      <c r="I779">
        <v>2</v>
      </c>
      <c r="J779">
        <v>0</v>
      </c>
      <c r="K779">
        <v>2</v>
      </c>
      <c r="L779">
        <v>0</v>
      </c>
      <c r="M779">
        <v>1</v>
      </c>
      <c r="N779">
        <v>0</v>
      </c>
      <c r="O779">
        <v>0</v>
      </c>
      <c r="P779">
        <v>0</v>
      </c>
      <c r="Q779">
        <v>0</v>
      </c>
      <c r="R779">
        <v>1</v>
      </c>
    </row>
    <row r="780" spans="1:18">
      <c r="A780" t="s">
        <v>1262</v>
      </c>
      <c r="B780" t="s">
        <v>173</v>
      </c>
      <c r="C780" t="s">
        <v>30</v>
      </c>
      <c r="D780">
        <v>2</v>
      </c>
      <c r="E780">
        <v>1</v>
      </c>
      <c r="F780">
        <v>0</v>
      </c>
      <c r="G780">
        <v>0</v>
      </c>
      <c r="H780">
        <v>0</v>
      </c>
      <c r="I780">
        <v>0</v>
      </c>
      <c r="J780">
        <v>1</v>
      </c>
      <c r="K780">
        <v>1</v>
      </c>
      <c r="L780">
        <v>0</v>
      </c>
      <c r="M780">
        <v>3</v>
      </c>
      <c r="N780">
        <v>2</v>
      </c>
      <c r="O780">
        <v>5</v>
      </c>
      <c r="P780">
        <v>3</v>
      </c>
      <c r="Q780">
        <v>2</v>
      </c>
      <c r="R780">
        <v>1</v>
      </c>
    </row>
    <row r="781" spans="1:18">
      <c r="A781" t="s">
        <v>1263</v>
      </c>
      <c r="B781" t="s">
        <v>174</v>
      </c>
      <c r="C781" t="s">
        <v>32</v>
      </c>
      <c r="D781">
        <v>1</v>
      </c>
      <c r="E781">
        <v>0</v>
      </c>
      <c r="F781">
        <v>0</v>
      </c>
      <c r="G781">
        <v>3</v>
      </c>
      <c r="H781">
        <v>0</v>
      </c>
      <c r="I781">
        <v>1</v>
      </c>
      <c r="J781">
        <v>0</v>
      </c>
      <c r="K781">
        <v>0</v>
      </c>
      <c r="L781">
        <v>0</v>
      </c>
      <c r="M781">
        <v>1</v>
      </c>
      <c r="N781">
        <v>0</v>
      </c>
      <c r="O781">
        <v>0</v>
      </c>
      <c r="P781">
        <v>0</v>
      </c>
      <c r="Q781">
        <v>1</v>
      </c>
      <c r="R781">
        <v>1</v>
      </c>
    </row>
    <row r="782" spans="1:18">
      <c r="A782" t="s">
        <v>1264</v>
      </c>
      <c r="B782" t="s">
        <v>174</v>
      </c>
      <c r="C782" s="4" t="s">
        <v>34</v>
      </c>
      <c r="D782">
        <v>0</v>
      </c>
      <c r="E782">
        <v>0</v>
      </c>
      <c r="F782">
        <v>0</v>
      </c>
      <c r="G782">
        <v>1</v>
      </c>
      <c r="H782">
        <v>0</v>
      </c>
      <c r="I782">
        <v>0</v>
      </c>
      <c r="J782">
        <v>0</v>
      </c>
      <c r="K782">
        <v>0</v>
      </c>
      <c r="L782">
        <v>0</v>
      </c>
      <c r="M782">
        <v>0</v>
      </c>
      <c r="N782">
        <v>0</v>
      </c>
      <c r="O782">
        <v>0</v>
      </c>
      <c r="P782">
        <v>0</v>
      </c>
      <c r="Q782">
        <v>0</v>
      </c>
      <c r="R782">
        <v>0</v>
      </c>
    </row>
    <row r="783" spans="1:18">
      <c r="A783" t="s">
        <v>1265</v>
      </c>
      <c r="B783" t="s">
        <v>174</v>
      </c>
      <c r="C783" t="s">
        <v>169</v>
      </c>
      <c r="D783">
        <v>1</v>
      </c>
      <c r="E783">
        <v>0</v>
      </c>
      <c r="F783">
        <v>0</v>
      </c>
      <c r="G783">
        <v>2</v>
      </c>
      <c r="H783">
        <v>0</v>
      </c>
      <c r="I783">
        <v>1</v>
      </c>
      <c r="J783">
        <v>0</v>
      </c>
      <c r="K783">
        <v>0</v>
      </c>
      <c r="L783">
        <v>0</v>
      </c>
      <c r="M783">
        <v>1</v>
      </c>
      <c r="N783">
        <v>0</v>
      </c>
      <c r="O783">
        <v>0</v>
      </c>
      <c r="P783">
        <v>0</v>
      </c>
      <c r="Q783">
        <v>1</v>
      </c>
      <c r="R783">
        <v>1</v>
      </c>
    </row>
    <row r="784" spans="1:18">
      <c r="A784" t="s">
        <v>1266</v>
      </c>
      <c r="B784" t="s">
        <v>174</v>
      </c>
      <c r="C784" t="s">
        <v>486</v>
      </c>
      <c r="D784">
        <v>19</v>
      </c>
      <c r="E784">
        <v>25</v>
      </c>
      <c r="F784">
        <v>25</v>
      </c>
      <c r="G784">
        <v>25</v>
      </c>
      <c r="H784">
        <v>31</v>
      </c>
      <c r="I784">
        <v>31</v>
      </c>
      <c r="J784">
        <v>1</v>
      </c>
      <c r="K784">
        <v>39</v>
      </c>
      <c r="L784">
        <v>39</v>
      </c>
      <c r="M784">
        <v>39</v>
      </c>
      <c r="N784">
        <v>1</v>
      </c>
      <c r="O784">
        <v>31</v>
      </c>
      <c r="P784">
        <v>19</v>
      </c>
      <c r="Q784">
        <v>19</v>
      </c>
      <c r="R784">
        <v>19</v>
      </c>
    </row>
    <row r="785" spans="1:18">
      <c r="A785" t="s">
        <v>1267</v>
      </c>
      <c r="B785" t="s">
        <v>174</v>
      </c>
      <c r="C785" t="s">
        <v>488</v>
      </c>
      <c r="D785">
        <v>19</v>
      </c>
      <c r="E785">
        <v>27</v>
      </c>
      <c r="F785">
        <v>27</v>
      </c>
      <c r="G785">
        <v>31</v>
      </c>
      <c r="H785">
        <v>31</v>
      </c>
      <c r="I785">
        <v>31</v>
      </c>
      <c r="J785">
        <v>1</v>
      </c>
      <c r="K785">
        <v>39</v>
      </c>
      <c r="L785">
        <v>39</v>
      </c>
      <c r="M785">
        <v>39</v>
      </c>
      <c r="N785">
        <v>1</v>
      </c>
      <c r="O785">
        <v>31</v>
      </c>
      <c r="P785">
        <v>31</v>
      </c>
      <c r="Q785">
        <v>31</v>
      </c>
      <c r="R785">
        <v>19</v>
      </c>
    </row>
    <row r="786" spans="1:18">
      <c r="A786" t="s">
        <v>1268</v>
      </c>
      <c r="B786" t="s">
        <v>174</v>
      </c>
      <c r="C786" t="s">
        <v>148</v>
      </c>
      <c r="D786">
        <v>19</v>
      </c>
      <c r="E786">
        <v>0</v>
      </c>
      <c r="F786">
        <v>0</v>
      </c>
      <c r="G786">
        <v>25</v>
      </c>
      <c r="H786">
        <v>0</v>
      </c>
      <c r="I786">
        <v>31</v>
      </c>
      <c r="J786">
        <v>0</v>
      </c>
      <c r="K786">
        <v>0</v>
      </c>
      <c r="L786">
        <v>0</v>
      </c>
      <c r="M786">
        <v>39</v>
      </c>
      <c r="N786">
        <v>0</v>
      </c>
      <c r="O786">
        <v>0</v>
      </c>
      <c r="P786">
        <v>0</v>
      </c>
      <c r="Q786">
        <v>31</v>
      </c>
      <c r="R786">
        <v>19</v>
      </c>
    </row>
    <row r="787" spans="1:18">
      <c r="A787" t="s">
        <v>1269</v>
      </c>
      <c r="B787" t="s">
        <v>174</v>
      </c>
      <c r="C787" t="s">
        <v>184</v>
      </c>
      <c r="D787">
        <v>19</v>
      </c>
      <c r="E787">
        <v>0</v>
      </c>
      <c r="F787">
        <v>0</v>
      </c>
      <c r="G787">
        <v>27</v>
      </c>
      <c r="H787">
        <v>0</v>
      </c>
      <c r="I787">
        <v>31</v>
      </c>
      <c r="J787">
        <v>0</v>
      </c>
      <c r="K787">
        <v>0</v>
      </c>
      <c r="L787">
        <v>0</v>
      </c>
      <c r="M787">
        <v>39</v>
      </c>
      <c r="N787">
        <v>0</v>
      </c>
      <c r="O787">
        <v>0</v>
      </c>
      <c r="P787">
        <v>0</v>
      </c>
      <c r="Q787">
        <v>31</v>
      </c>
      <c r="R787">
        <v>19</v>
      </c>
    </row>
    <row r="788" spans="1:18">
      <c r="A788" t="s">
        <v>1270</v>
      </c>
      <c r="B788" t="s">
        <v>174</v>
      </c>
      <c r="C788" s="4" t="s">
        <v>188</v>
      </c>
      <c r="D788">
        <v>1</v>
      </c>
      <c r="E788">
        <v>0</v>
      </c>
      <c r="F788">
        <v>0</v>
      </c>
      <c r="G788">
        <v>2</v>
      </c>
      <c r="H788">
        <v>0</v>
      </c>
      <c r="I788">
        <v>1</v>
      </c>
      <c r="J788">
        <v>0</v>
      </c>
      <c r="K788">
        <v>0</v>
      </c>
      <c r="L788">
        <v>0</v>
      </c>
      <c r="M788">
        <v>0</v>
      </c>
      <c r="N788">
        <v>0</v>
      </c>
      <c r="O788">
        <v>0</v>
      </c>
      <c r="P788">
        <v>0</v>
      </c>
      <c r="Q788">
        <v>1</v>
      </c>
      <c r="R788">
        <v>1</v>
      </c>
    </row>
    <row r="789" spans="1:18">
      <c r="A789" t="s">
        <v>1271</v>
      </c>
      <c r="B789" t="s">
        <v>174</v>
      </c>
      <c r="C789" s="35" t="s">
        <v>189</v>
      </c>
      <c r="D789">
        <v>0</v>
      </c>
      <c r="E789">
        <v>0</v>
      </c>
      <c r="F789">
        <v>0</v>
      </c>
      <c r="G789">
        <v>0</v>
      </c>
      <c r="H789">
        <v>0</v>
      </c>
      <c r="I789">
        <v>0</v>
      </c>
      <c r="J789">
        <v>0</v>
      </c>
      <c r="K789">
        <v>0</v>
      </c>
      <c r="L789">
        <v>0</v>
      </c>
      <c r="M789">
        <v>1</v>
      </c>
      <c r="N789">
        <v>0</v>
      </c>
      <c r="O789">
        <v>0</v>
      </c>
      <c r="P789">
        <v>0</v>
      </c>
      <c r="Q789">
        <v>0</v>
      </c>
      <c r="R789">
        <v>0</v>
      </c>
    </row>
    <row r="790" spans="1:18">
      <c r="A790" t="s">
        <v>1272</v>
      </c>
      <c r="B790" t="s">
        <v>174</v>
      </c>
      <c r="C790" t="s">
        <v>172</v>
      </c>
      <c r="D790">
        <v>0</v>
      </c>
      <c r="E790">
        <v>0</v>
      </c>
      <c r="F790">
        <v>0</v>
      </c>
      <c r="G790">
        <v>0</v>
      </c>
      <c r="H790">
        <v>0</v>
      </c>
      <c r="I790">
        <v>0</v>
      </c>
      <c r="J790">
        <v>0</v>
      </c>
      <c r="K790">
        <v>0</v>
      </c>
      <c r="L790">
        <v>0</v>
      </c>
      <c r="M790">
        <v>1</v>
      </c>
      <c r="N790">
        <v>0</v>
      </c>
      <c r="O790">
        <v>0</v>
      </c>
      <c r="P790">
        <v>0</v>
      </c>
      <c r="Q790">
        <v>0</v>
      </c>
      <c r="R790">
        <v>0</v>
      </c>
    </row>
    <row r="791" spans="1:18">
      <c r="A791" t="s">
        <v>1273</v>
      </c>
      <c r="B791" t="s">
        <v>174</v>
      </c>
      <c r="C791" t="s">
        <v>30</v>
      </c>
      <c r="D791">
        <v>0</v>
      </c>
      <c r="E791">
        <v>0</v>
      </c>
      <c r="F791">
        <v>0</v>
      </c>
      <c r="G791">
        <v>0</v>
      </c>
      <c r="H791">
        <v>0</v>
      </c>
      <c r="I791">
        <v>0</v>
      </c>
      <c r="J791">
        <v>0</v>
      </c>
      <c r="K791">
        <v>0</v>
      </c>
      <c r="L791">
        <v>0</v>
      </c>
      <c r="M791">
        <v>0</v>
      </c>
      <c r="N791">
        <v>0</v>
      </c>
      <c r="O791">
        <v>0</v>
      </c>
      <c r="P791">
        <v>0</v>
      </c>
      <c r="Q791">
        <v>0</v>
      </c>
      <c r="R791">
        <v>0</v>
      </c>
    </row>
    <row r="792" spans="1:18">
      <c r="A792" t="s">
        <v>1274</v>
      </c>
      <c r="B792" t="s">
        <v>175</v>
      </c>
      <c r="C792" t="s">
        <v>32</v>
      </c>
      <c r="D792">
        <v>17</v>
      </c>
      <c r="E792">
        <v>29</v>
      </c>
      <c r="F792">
        <v>14</v>
      </c>
      <c r="G792">
        <v>13</v>
      </c>
      <c r="H792">
        <v>18</v>
      </c>
      <c r="I792">
        <v>20</v>
      </c>
      <c r="J792">
        <v>26</v>
      </c>
      <c r="K792">
        <v>21</v>
      </c>
      <c r="L792">
        <v>6</v>
      </c>
      <c r="M792">
        <v>18</v>
      </c>
      <c r="N792">
        <v>11</v>
      </c>
      <c r="O792">
        <v>19</v>
      </c>
      <c r="P792">
        <v>16</v>
      </c>
      <c r="Q792">
        <v>12</v>
      </c>
      <c r="R792">
        <v>42</v>
      </c>
    </row>
    <row r="793" spans="1:18">
      <c r="A793" t="s">
        <v>1275</v>
      </c>
      <c r="B793" t="s">
        <v>175</v>
      </c>
      <c r="C793" s="4" t="s">
        <v>34</v>
      </c>
      <c r="D793">
        <v>3</v>
      </c>
      <c r="E793">
        <v>5</v>
      </c>
      <c r="F793">
        <v>6</v>
      </c>
      <c r="G793">
        <v>6</v>
      </c>
      <c r="H793">
        <v>9</v>
      </c>
      <c r="I793">
        <v>8</v>
      </c>
      <c r="J793">
        <v>16</v>
      </c>
      <c r="K793">
        <v>11</v>
      </c>
      <c r="L793">
        <v>2</v>
      </c>
      <c r="M793">
        <v>7</v>
      </c>
      <c r="N793">
        <v>5</v>
      </c>
      <c r="O793">
        <v>4</v>
      </c>
      <c r="P793">
        <v>8</v>
      </c>
      <c r="Q793">
        <v>7</v>
      </c>
      <c r="R793">
        <v>19</v>
      </c>
    </row>
    <row r="794" spans="1:18">
      <c r="A794" t="s">
        <v>1276</v>
      </c>
      <c r="B794" t="s">
        <v>175</v>
      </c>
      <c r="C794" t="s">
        <v>169</v>
      </c>
      <c r="D794">
        <v>14</v>
      </c>
      <c r="E794">
        <v>24</v>
      </c>
      <c r="F794">
        <v>8</v>
      </c>
      <c r="G794">
        <v>7</v>
      </c>
      <c r="H794">
        <v>9</v>
      </c>
      <c r="I794">
        <v>12</v>
      </c>
      <c r="J794">
        <v>10</v>
      </c>
      <c r="K794">
        <v>10</v>
      </c>
      <c r="L794">
        <v>4</v>
      </c>
      <c r="M794">
        <v>11</v>
      </c>
      <c r="N794">
        <v>6</v>
      </c>
      <c r="O794">
        <v>15</v>
      </c>
      <c r="P794">
        <v>8</v>
      </c>
      <c r="Q794">
        <v>5</v>
      </c>
      <c r="R794">
        <v>23</v>
      </c>
    </row>
    <row r="795" spans="1:18">
      <c r="A795" t="s">
        <v>1277</v>
      </c>
      <c r="B795" t="s">
        <v>175</v>
      </c>
      <c r="C795" t="s">
        <v>486</v>
      </c>
      <c r="D795">
        <v>25</v>
      </c>
      <c r="E795">
        <v>24</v>
      </c>
      <c r="F795">
        <v>20</v>
      </c>
      <c r="G795">
        <v>21</v>
      </c>
      <c r="H795">
        <v>16</v>
      </c>
      <c r="I795">
        <v>17</v>
      </c>
      <c r="J795">
        <v>15</v>
      </c>
      <c r="K795">
        <v>20</v>
      </c>
      <c r="L795">
        <v>22</v>
      </c>
      <c r="M795">
        <v>22</v>
      </c>
      <c r="N795">
        <v>21</v>
      </c>
      <c r="O795">
        <v>21</v>
      </c>
      <c r="P795">
        <v>19</v>
      </c>
      <c r="Q795">
        <v>19</v>
      </c>
      <c r="R795">
        <v>19</v>
      </c>
    </row>
    <row r="796" spans="1:18">
      <c r="A796" t="s">
        <v>1278</v>
      </c>
      <c r="B796" t="s">
        <v>175</v>
      </c>
      <c r="C796" t="s">
        <v>488</v>
      </c>
      <c r="D796">
        <v>44</v>
      </c>
      <c r="E796">
        <v>43</v>
      </c>
      <c r="F796">
        <v>40</v>
      </c>
      <c r="G796">
        <v>36</v>
      </c>
      <c r="H796">
        <v>39</v>
      </c>
      <c r="I796">
        <v>37</v>
      </c>
      <c r="J796">
        <v>37</v>
      </c>
      <c r="K796">
        <v>58</v>
      </c>
      <c r="L796">
        <v>105</v>
      </c>
      <c r="M796">
        <v>105</v>
      </c>
      <c r="N796">
        <v>105</v>
      </c>
      <c r="O796">
        <v>105</v>
      </c>
      <c r="P796">
        <v>86</v>
      </c>
      <c r="Q796">
        <v>38</v>
      </c>
      <c r="R796">
        <v>37</v>
      </c>
    </row>
    <row r="797" spans="1:18">
      <c r="A797" t="s">
        <v>1279</v>
      </c>
      <c r="B797" t="s">
        <v>175</v>
      </c>
      <c r="C797" t="s">
        <v>148</v>
      </c>
      <c r="D797">
        <v>30</v>
      </c>
      <c r="E797">
        <v>25</v>
      </c>
      <c r="F797">
        <v>19</v>
      </c>
      <c r="G797">
        <v>20</v>
      </c>
      <c r="H797">
        <v>16</v>
      </c>
      <c r="I797">
        <v>21</v>
      </c>
      <c r="J797">
        <v>11</v>
      </c>
      <c r="K797">
        <v>17</v>
      </c>
      <c r="L797">
        <v>20</v>
      </c>
      <c r="M797">
        <v>22</v>
      </c>
      <c r="N797">
        <v>19</v>
      </c>
      <c r="O797">
        <v>22</v>
      </c>
      <c r="P797">
        <v>17</v>
      </c>
      <c r="Q797">
        <v>15</v>
      </c>
      <c r="R797">
        <v>19</v>
      </c>
    </row>
    <row r="798" spans="1:18">
      <c r="A798" t="s">
        <v>1280</v>
      </c>
      <c r="B798" t="s">
        <v>175</v>
      </c>
      <c r="C798" t="s">
        <v>184</v>
      </c>
      <c r="D798">
        <v>105</v>
      </c>
      <c r="E798">
        <v>61</v>
      </c>
      <c r="F798">
        <v>43</v>
      </c>
      <c r="G798">
        <v>25</v>
      </c>
      <c r="H798">
        <v>43</v>
      </c>
      <c r="I798">
        <v>36</v>
      </c>
      <c r="J798">
        <v>36</v>
      </c>
      <c r="K798">
        <v>37</v>
      </c>
      <c r="L798">
        <v>44</v>
      </c>
      <c r="M798">
        <v>105</v>
      </c>
      <c r="N798">
        <v>105</v>
      </c>
      <c r="O798">
        <v>105</v>
      </c>
      <c r="P798">
        <v>105</v>
      </c>
      <c r="Q798">
        <v>105</v>
      </c>
      <c r="R798">
        <v>37</v>
      </c>
    </row>
    <row r="799" spans="1:18">
      <c r="A799" t="s">
        <v>1281</v>
      </c>
      <c r="B799" t="s">
        <v>175</v>
      </c>
      <c r="C799" s="4" t="s">
        <v>188</v>
      </c>
      <c r="D799">
        <v>12</v>
      </c>
      <c r="E799">
        <v>18</v>
      </c>
      <c r="F799">
        <v>6</v>
      </c>
      <c r="G799">
        <v>7</v>
      </c>
      <c r="H799">
        <v>6</v>
      </c>
      <c r="I799">
        <v>9</v>
      </c>
      <c r="J799">
        <v>7</v>
      </c>
      <c r="K799">
        <v>6</v>
      </c>
      <c r="L799">
        <v>3</v>
      </c>
      <c r="M799">
        <v>3</v>
      </c>
      <c r="N799">
        <v>4</v>
      </c>
      <c r="O799">
        <v>9</v>
      </c>
      <c r="P799">
        <v>3</v>
      </c>
      <c r="Q799">
        <v>3</v>
      </c>
      <c r="R799">
        <v>18</v>
      </c>
    </row>
    <row r="800" spans="1:18">
      <c r="A800" t="s">
        <v>1282</v>
      </c>
      <c r="B800" t="s">
        <v>175</v>
      </c>
      <c r="C800" s="35" t="s">
        <v>189</v>
      </c>
      <c r="D800">
        <v>2</v>
      </c>
      <c r="E800">
        <v>6</v>
      </c>
      <c r="F800">
        <v>2</v>
      </c>
      <c r="G800">
        <v>0</v>
      </c>
      <c r="H800">
        <v>3</v>
      </c>
      <c r="I800">
        <v>3</v>
      </c>
      <c r="J800">
        <v>3</v>
      </c>
      <c r="K800">
        <v>4</v>
      </c>
      <c r="L800">
        <v>1</v>
      </c>
      <c r="M800">
        <v>8</v>
      </c>
      <c r="N800">
        <v>2</v>
      </c>
      <c r="O800">
        <v>6</v>
      </c>
      <c r="P800">
        <v>5</v>
      </c>
      <c r="Q800">
        <v>2</v>
      </c>
      <c r="R800">
        <v>5</v>
      </c>
    </row>
    <row r="801" spans="1:18">
      <c r="A801" t="s">
        <v>1283</v>
      </c>
      <c r="B801" t="s">
        <v>175</v>
      </c>
      <c r="C801" t="s">
        <v>172</v>
      </c>
      <c r="D801">
        <v>0</v>
      </c>
      <c r="E801">
        <v>3</v>
      </c>
      <c r="F801">
        <v>2</v>
      </c>
      <c r="G801">
        <v>0</v>
      </c>
      <c r="H801">
        <v>3</v>
      </c>
      <c r="I801">
        <v>3</v>
      </c>
      <c r="J801">
        <v>2</v>
      </c>
      <c r="K801">
        <v>3</v>
      </c>
      <c r="L801">
        <v>1</v>
      </c>
      <c r="M801">
        <v>3</v>
      </c>
      <c r="N801">
        <v>0</v>
      </c>
      <c r="O801">
        <v>0</v>
      </c>
      <c r="P801">
        <v>1</v>
      </c>
      <c r="Q801">
        <v>0</v>
      </c>
      <c r="R801">
        <v>3</v>
      </c>
    </row>
    <row r="802" spans="1:18">
      <c r="A802" t="s">
        <v>1284</v>
      </c>
      <c r="B802" t="s">
        <v>175</v>
      </c>
      <c r="C802" t="s">
        <v>30</v>
      </c>
      <c r="D802">
        <v>2</v>
      </c>
      <c r="E802">
        <v>3</v>
      </c>
      <c r="F802">
        <v>0</v>
      </c>
      <c r="G802">
        <v>0</v>
      </c>
      <c r="H802">
        <v>0</v>
      </c>
      <c r="I802">
        <v>0</v>
      </c>
      <c r="J802">
        <v>1</v>
      </c>
      <c r="K802">
        <v>1</v>
      </c>
      <c r="L802">
        <v>0</v>
      </c>
      <c r="M802">
        <v>5</v>
      </c>
      <c r="N802">
        <v>2</v>
      </c>
      <c r="O802">
        <v>6</v>
      </c>
      <c r="P802">
        <v>4</v>
      </c>
      <c r="Q802">
        <v>2</v>
      </c>
      <c r="R802">
        <v>2</v>
      </c>
    </row>
    <row r="803" spans="1:18">
      <c r="A803" t="s">
        <v>1285</v>
      </c>
      <c r="B803" t="s">
        <v>175</v>
      </c>
      <c r="C803" t="s">
        <v>177</v>
      </c>
      <c r="D803">
        <v>3</v>
      </c>
      <c r="E803">
        <v>32</v>
      </c>
      <c r="F803">
        <v>31</v>
      </c>
      <c r="G803">
        <v>24</v>
      </c>
      <c r="H803">
        <v>36</v>
      </c>
      <c r="I803">
        <v>67</v>
      </c>
      <c r="J803">
        <v>65</v>
      </c>
      <c r="K803">
        <v>45</v>
      </c>
      <c r="L803">
        <v>54</v>
      </c>
      <c r="M803">
        <v>38</v>
      </c>
      <c r="N803">
        <v>47</v>
      </c>
      <c r="O803">
        <v>65</v>
      </c>
      <c r="P803">
        <v>60</v>
      </c>
      <c r="Q803">
        <v>52</v>
      </c>
      <c r="R803">
        <v>51</v>
      </c>
    </row>
    <row r="804" spans="1:18">
      <c r="A804" t="s">
        <v>1286</v>
      </c>
      <c r="B804" t="s">
        <v>175</v>
      </c>
      <c r="C804" t="s">
        <v>178</v>
      </c>
      <c r="D804">
        <v>2</v>
      </c>
      <c r="E804">
        <v>31</v>
      </c>
      <c r="F804">
        <v>31</v>
      </c>
      <c r="G804">
        <v>24</v>
      </c>
      <c r="H804">
        <v>36</v>
      </c>
      <c r="I804">
        <v>67</v>
      </c>
      <c r="J804">
        <v>61</v>
      </c>
      <c r="K804">
        <v>43</v>
      </c>
      <c r="L804">
        <v>54</v>
      </c>
      <c r="M804">
        <v>38</v>
      </c>
      <c r="N804">
        <v>47</v>
      </c>
      <c r="O804">
        <v>65</v>
      </c>
      <c r="P804">
        <v>60</v>
      </c>
      <c r="Q804">
        <v>52</v>
      </c>
      <c r="R804">
        <v>51</v>
      </c>
    </row>
    <row r="805" spans="1:18">
      <c r="A805" t="s">
        <v>1287</v>
      </c>
      <c r="B805" t="s">
        <v>176</v>
      </c>
      <c r="C805" t="s">
        <v>32</v>
      </c>
      <c r="D805">
        <v>1</v>
      </c>
      <c r="E805">
        <v>0</v>
      </c>
      <c r="F805">
        <v>0</v>
      </c>
      <c r="G805">
        <v>3</v>
      </c>
      <c r="H805">
        <v>0</v>
      </c>
      <c r="I805">
        <v>1</v>
      </c>
      <c r="J805">
        <v>0</v>
      </c>
      <c r="K805">
        <v>0</v>
      </c>
      <c r="L805">
        <v>0</v>
      </c>
      <c r="M805">
        <v>1</v>
      </c>
      <c r="N805">
        <v>0</v>
      </c>
      <c r="O805">
        <v>0</v>
      </c>
      <c r="P805">
        <v>0</v>
      </c>
      <c r="Q805">
        <v>1</v>
      </c>
      <c r="R805">
        <v>1</v>
      </c>
    </row>
    <row r="806" spans="1:18">
      <c r="A806" t="s">
        <v>1288</v>
      </c>
      <c r="B806" t="s">
        <v>176</v>
      </c>
      <c r="C806" s="4" t="s">
        <v>34</v>
      </c>
      <c r="D806">
        <v>0</v>
      </c>
      <c r="E806">
        <v>0</v>
      </c>
      <c r="F806">
        <v>0</v>
      </c>
      <c r="G806">
        <v>1</v>
      </c>
      <c r="H806">
        <v>0</v>
      </c>
      <c r="I806">
        <v>0</v>
      </c>
      <c r="J806">
        <v>0</v>
      </c>
      <c r="K806">
        <v>0</v>
      </c>
      <c r="L806">
        <v>0</v>
      </c>
      <c r="M806">
        <v>0</v>
      </c>
      <c r="N806">
        <v>0</v>
      </c>
      <c r="O806">
        <v>0</v>
      </c>
      <c r="P806">
        <v>0</v>
      </c>
      <c r="Q806">
        <v>0</v>
      </c>
      <c r="R806">
        <v>0</v>
      </c>
    </row>
    <row r="807" spans="1:18">
      <c r="A807" t="s">
        <v>1289</v>
      </c>
      <c r="B807" t="s">
        <v>176</v>
      </c>
      <c r="C807" t="s">
        <v>169</v>
      </c>
      <c r="D807">
        <v>1</v>
      </c>
      <c r="E807">
        <v>0</v>
      </c>
      <c r="F807">
        <v>0</v>
      </c>
      <c r="G807">
        <v>2</v>
      </c>
      <c r="H807">
        <v>0</v>
      </c>
      <c r="I807">
        <v>1</v>
      </c>
      <c r="J807">
        <v>0</v>
      </c>
      <c r="K807">
        <v>0</v>
      </c>
      <c r="L807">
        <v>0</v>
      </c>
      <c r="M807">
        <v>1</v>
      </c>
      <c r="N807">
        <v>0</v>
      </c>
      <c r="O807">
        <v>0</v>
      </c>
      <c r="P807">
        <v>0</v>
      </c>
      <c r="Q807">
        <v>1</v>
      </c>
      <c r="R807">
        <v>1</v>
      </c>
    </row>
    <row r="808" spans="1:18">
      <c r="A808" t="s">
        <v>1290</v>
      </c>
      <c r="B808" t="s">
        <v>176</v>
      </c>
      <c r="C808" t="s">
        <v>170</v>
      </c>
      <c r="D808">
        <v>2</v>
      </c>
      <c r="E808">
        <v>31</v>
      </c>
      <c r="F808">
        <v>31</v>
      </c>
      <c r="G808">
        <v>24</v>
      </c>
      <c r="H808">
        <v>36</v>
      </c>
      <c r="I808">
        <v>67</v>
      </c>
      <c r="J808">
        <v>61</v>
      </c>
      <c r="K808">
        <v>43</v>
      </c>
      <c r="L808">
        <v>54</v>
      </c>
      <c r="M808">
        <v>38</v>
      </c>
      <c r="N808">
        <v>47</v>
      </c>
      <c r="O808">
        <v>65</v>
      </c>
      <c r="P808">
        <v>60</v>
      </c>
      <c r="Q808">
        <v>52</v>
      </c>
      <c r="R808">
        <v>51</v>
      </c>
    </row>
    <row r="809" spans="1:18">
      <c r="A809" t="s">
        <v>1291</v>
      </c>
      <c r="B809" t="s">
        <v>176</v>
      </c>
      <c r="C809" t="s">
        <v>171</v>
      </c>
      <c r="D809">
        <v>3</v>
      </c>
      <c r="E809">
        <v>32</v>
      </c>
      <c r="F809">
        <v>31</v>
      </c>
      <c r="G809">
        <v>24</v>
      </c>
      <c r="H809">
        <v>36</v>
      </c>
      <c r="I809">
        <v>67</v>
      </c>
      <c r="J809">
        <v>65</v>
      </c>
      <c r="K809">
        <v>45</v>
      </c>
      <c r="L809">
        <v>54</v>
      </c>
      <c r="M809">
        <v>38</v>
      </c>
      <c r="N809">
        <v>47</v>
      </c>
      <c r="O809">
        <v>65</v>
      </c>
      <c r="P809">
        <v>60</v>
      </c>
      <c r="Q809">
        <v>52</v>
      </c>
      <c r="R809">
        <v>51</v>
      </c>
    </row>
    <row r="810" spans="1:18">
      <c r="A810" t="s">
        <v>1292</v>
      </c>
      <c r="B810" t="s">
        <v>176</v>
      </c>
      <c r="C810" t="s">
        <v>148</v>
      </c>
      <c r="D810">
        <v>19</v>
      </c>
      <c r="E810">
        <v>0</v>
      </c>
      <c r="F810">
        <v>0</v>
      </c>
      <c r="G810">
        <v>25</v>
      </c>
      <c r="H810">
        <v>0</v>
      </c>
      <c r="I810">
        <v>31</v>
      </c>
      <c r="J810">
        <v>0</v>
      </c>
      <c r="K810">
        <v>0</v>
      </c>
      <c r="L810">
        <v>0</v>
      </c>
      <c r="M810">
        <v>39</v>
      </c>
      <c r="N810">
        <v>0</v>
      </c>
      <c r="O810">
        <v>0</v>
      </c>
      <c r="P810">
        <v>0</v>
      </c>
      <c r="Q810">
        <v>31</v>
      </c>
      <c r="R810">
        <v>19</v>
      </c>
    </row>
    <row r="811" spans="1:18">
      <c r="A811" t="s">
        <v>1293</v>
      </c>
      <c r="B811" t="s">
        <v>176</v>
      </c>
      <c r="C811" t="s">
        <v>184</v>
      </c>
      <c r="D811">
        <v>19</v>
      </c>
      <c r="E811">
        <v>0</v>
      </c>
      <c r="F811">
        <v>0</v>
      </c>
      <c r="G811">
        <v>27</v>
      </c>
      <c r="H811">
        <v>0</v>
      </c>
      <c r="I811">
        <v>31</v>
      </c>
      <c r="J811">
        <v>0</v>
      </c>
      <c r="K811">
        <v>0</v>
      </c>
      <c r="L811">
        <v>0</v>
      </c>
      <c r="M811">
        <v>39</v>
      </c>
      <c r="N811">
        <v>0</v>
      </c>
      <c r="O811">
        <v>0</v>
      </c>
      <c r="P811">
        <v>0</v>
      </c>
      <c r="Q811">
        <v>31</v>
      </c>
      <c r="R811">
        <v>19</v>
      </c>
    </row>
    <row r="812" spans="1:18">
      <c r="A812" t="s">
        <v>1294</v>
      </c>
      <c r="B812" t="s">
        <v>176</v>
      </c>
      <c r="C812" s="4" t="s">
        <v>188</v>
      </c>
      <c r="D812">
        <v>1</v>
      </c>
      <c r="E812">
        <v>0</v>
      </c>
      <c r="F812">
        <v>0</v>
      </c>
      <c r="G812">
        <v>2</v>
      </c>
      <c r="H812">
        <v>0</v>
      </c>
      <c r="I812">
        <v>1</v>
      </c>
      <c r="J812">
        <v>0</v>
      </c>
      <c r="K812">
        <v>0</v>
      </c>
      <c r="L812">
        <v>0</v>
      </c>
      <c r="M812">
        <v>0</v>
      </c>
      <c r="N812">
        <v>0</v>
      </c>
      <c r="O812">
        <v>0</v>
      </c>
      <c r="P812">
        <v>0</v>
      </c>
      <c r="Q812">
        <v>1</v>
      </c>
      <c r="R812">
        <v>1</v>
      </c>
    </row>
    <row r="813" spans="1:18">
      <c r="A813" t="s">
        <v>1295</v>
      </c>
      <c r="B813" t="s">
        <v>176</v>
      </c>
      <c r="C813" s="35" t="s">
        <v>189</v>
      </c>
      <c r="D813">
        <v>0</v>
      </c>
      <c r="E813">
        <v>0</v>
      </c>
      <c r="F813">
        <v>0</v>
      </c>
      <c r="G813">
        <v>0</v>
      </c>
      <c r="H813">
        <v>0</v>
      </c>
      <c r="I813">
        <v>0</v>
      </c>
      <c r="J813">
        <v>0</v>
      </c>
      <c r="K813">
        <v>0</v>
      </c>
      <c r="L813">
        <v>0</v>
      </c>
      <c r="M813">
        <v>1</v>
      </c>
      <c r="N813">
        <v>0</v>
      </c>
      <c r="O813">
        <v>0</v>
      </c>
      <c r="P813">
        <v>0</v>
      </c>
      <c r="Q813">
        <v>0</v>
      </c>
      <c r="R813">
        <v>0</v>
      </c>
    </row>
    <row r="814" spans="1:18">
      <c r="A814" t="s">
        <v>1296</v>
      </c>
      <c r="B814" t="s">
        <v>176</v>
      </c>
      <c r="C814" t="s">
        <v>172</v>
      </c>
      <c r="D814">
        <v>0</v>
      </c>
      <c r="E814">
        <v>0</v>
      </c>
      <c r="F814">
        <v>0</v>
      </c>
      <c r="G814">
        <v>0</v>
      </c>
      <c r="H814">
        <v>0</v>
      </c>
      <c r="I814">
        <v>0</v>
      </c>
      <c r="J814">
        <v>0</v>
      </c>
      <c r="K814">
        <v>0</v>
      </c>
      <c r="L814">
        <v>0</v>
      </c>
      <c r="M814">
        <v>1</v>
      </c>
      <c r="N814">
        <v>0</v>
      </c>
      <c r="O814">
        <v>0</v>
      </c>
      <c r="P814">
        <v>0</v>
      </c>
      <c r="Q814">
        <v>0</v>
      </c>
      <c r="R814">
        <v>0</v>
      </c>
    </row>
    <row r="815" spans="1:18">
      <c r="A815" t="s">
        <v>1297</v>
      </c>
      <c r="B815" t="s">
        <v>176</v>
      </c>
      <c r="C815" t="s">
        <v>30</v>
      </c>
      <c r="D815">
        <v>0</v>
      </c>
      <c r="E815">
        <v>0</v>
      </c>
      <c r="F815">
        <v>0</v>
      </c>
      <c r="G815">
        <v>0</v>
      </c>
      <c r="H815">
        <v>0</v>
      </c>
      <c r="I815">
        <v>0</v>
      </c>
      <c r="J815">
        <v>0</v>
      </c>
      <c r="K815">
        <v>0</v>
      </c>
      <c r="L815">
        <v>0</v>
      </c>
      <c r="M815">
        <v>0</v>
      </c>
      <c r="N815">
        <v>0</v>
      </c>
      <c r="O815">
        <v>0</v>
      </c>
      <c r="P815">
        <v>0</v>
      </c>
      <c r="Q815">
        <v>0</v>
      </c>
      <c r="R815">
        <v>0</v>
      </c>
    </row>
    <row r="816" spans="1:18">
      <c r="A816" t="s">
        <v>1298</v>
      </c>
      <c r="B816" t="s">
        <v>176</v>
      </c>
      <c r="C816" t="s">
        <v>177</v>
      </c>
      <c r="D816">
        <v>0</v>
      </c>
      <c r="E816">
        <v>1</v>
      </c>
      <c r="F816">
        <v>2</v>
      </c>
      <c r="G816">
        <v>2</v>
      </c>
      <c r="H816">
        <v>0</v>
      </c>
      <c r="I816">
        <v>4</v>
      </c>
      <c r="J816">
        <v>5</v>
      </c>
      <c r="K816">
        <v>0</v>
      </c>
      <c r="L816">
        <v>1</v>
      </c>
      <c r="M816">
        <v>1</v>
      </c>
      <c r="N816">
        <v>1</v>
      </c>
      <c r="O816">
        <v>0</v>
      </c>
      <c r="P816">
        <v>2</v>
      </c>
      <c r="Q816">
        <v>2</v>
      </c>
      <c r="R816">
        <v>3</v>
      </c>
    </row>
    <row r="817" spans="1:18">
      <c r="A817" t="s">
        <v>1299</v>
      </c>
      <c r="B817" t="s">
        <v>176</v>
      </c>
      <c r="C817" t="s">
        <v>178</v>
      </c>
      <c r="D817">
        <v>0</v>
      </c>
      <c r="E817">
        <v>1</v>
      </c>
      <c r="F817">
        <v>2</v>
      </c>
      <c r="G817">
        <v>2</v>
      </c>
      <c r="H817">
        <v>0</v>
      </c>
      <c r="I817">
        <v>3</v>
      </c>
      <c r="J817">
        <v>3</v>
      </c>
      <c r="K817">
        <v>0</v>
      </c>
      <c r="L817">
        <v>1</v>
      </c>
      <c r="M817">
        <v>1</v>
      </c>
      <c r="N817">
        <v>1</v>
      </c>
      <c r="O817">
        <v>0</v>
      </c>
      <c r="P817">
        <v>2</v>
      </c>
      <c r="Q817">
        <v>2</v>
      </c>
      <c r="R817">
        <v>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R817"/>
  <sheetViews>
    <sheetView workbookViewId="0">
      <pane xSplit="3" ySplit="1" topLeftCell="L718" activePane="bottomRight" state="frozen"/>
      <selection pane="topRight" activeCell="D1" sqref="D1"/>
      <selection pane="bottomLeft" activeCell="A2" sqref="A2"/>
      <selection pane="bottomRight" sqref="A1:XFD1048576"/>
    </sheetView>
  </sheetViews>
  <sheetFormatPr defaultRowHeight="15"/>
  <cols>
    <col min="1" max="1" width="42.5703125" customWidth="1"/>
    <col min="2" max="2" width="30.140625" customWidth="1"/>
    <col min="3" max="3" width="18.85546875" customWidth="1"/>
    <col min="4" max="4" width="11.28515625" customWidth="1"/>
    <col min="5" max="18" width="10.7109375" bestFit="1" customWidth="1"/>
    <col min="257" max="257" width="42.5703125" customWidth="1"/>
    <col min="258" max="258" width="30.140625" customWidth="1"/>
    <col min="259" max="259" width="18.85546875" customWidth="1"/>
    <col min="260" max="260" width="11.28515625" customWidth="1"/>
    <col min="261" max="274" width="10.7109375" bestFit="1" customWidth="1"/>
    <col min="513" max="513" width="42.5703125" customWidth="1"/>
    <col min="514" max="514" width="30.140625" customWidth="1"/>
    <col min="515" max="515" width="18.85546875" customWidth="1"/>
    <col min="516" max="516" width="11.28515625" customWidth="1"/>
    <col min="517" max="530" width="10.7109375" bestFit="1" customWidth="1"/>
    <col min="769" max="769" width="42.5703125" customWidth="1"/>
    <col min="770" max="770" width="30.140625" customWidth="1"/>
    <col min="771" max="771" width="18.85546875" customWidth="1"/>
    <col min="772" max="772" width="11.28515625" customWidth="1"/>
    <col min="773" max="786" width="10.7109375" bestFit="1" customWidth="1"/>
    <col min="1025" max="1025" width="42.5703125" customWidth="1"/>
    <col min="1026" max="1026" width="30.140625" customWidth="1"/>
    <col min="1027" max="1027" width="18.85546875" customWidth="1"/>
    <col min="1028" max="1028" width="11.28515625" customWidth="1"/>
    <col min="1029" max="1042" width="10.7109375" bestFit="1" customWidth="1"/>
    <col min="1281" max="1281" width="42.5703125" customWidth="1"/>
    <col min="1282" max="1282" width="30.140625" customWidth="1"/>
    <col min="1283" max="1283" width="18.85546875" customWidth="1"/>
    <col min="1284" max="1284" width="11.28515625" customWidth="1"/>
    <col min="1285" max="1298" width="10.7109375" bestFit="1" customWidth="1"/>
    <col min="1537" max="1537" width="42.5703125" customWidth="1"/>
    <col min="1538" max="1538" width="30.140625" customWidth="1"/>
    <col min="1539" max="1539" width="18.85546875" customWidth="1"/>
    <col min="1540" max="1540" width="11.28515625" customWidth="1"/>
    <col min="1541" max="1554" width="10.7109375" bestFit="1" customWidth="1"/>
    <col min="1793" max="1793" width="42.5703125" customWidth="1"/>
    <col min="1794" max="1794" width="30.140625" customWidth="1"/>
    <col min="1795" max="1795" width="18.85546875" customWidth="1"/>
    <col min="1796" max="1796" width="11.28515625" customWidth="1"/>
    <col min="1797" max="1810" width="10.7109375" bestFit="1" customWidth="1"/>
    <col min="2049" max="2049" width="42.5703125" customWidth="1"/>
    <col min="2050" max="2050" width="30.140625" customWidth="1"/>
    <col min="2051" max="2051" width="18.85546875" customWidth="1"/>
    <col min="2052" max="2052" width="11.28515625" customWidth="1"/>
    <col min="2053" max="2066" width="10.7109375" bestFit="1" customWidth="1"/>
    <col min="2305" max="2305" width="42.5703125" customWidth="1"/>
    <col min="2306" max="2306" width="30.140625" customWidth="1"/>
    <col min="2307" max="2307" width="18.85546875" customWidth="1"/>
    <col min="2308" max="2308" width="11.28515625" customWidth="1"/>
    <col min="2309" max="2322" width="10.7109375" bestFit="1" customWidth="1"/>
    <col min="2561" max="2561" width="42.5703125" customWidth="1"/>
    <col min="2562" max="2562" width="30.140625" customWidth="1"/>
    <col min="2563" max="2563" width="18.85546875" customWidth="1"/>
    <col min="2564" max="2564" width="11.28515625" customWidth="1"/>
    <col min="2565" max="2578" width="10.7109375" bestFit="1" customWidth="1"/>
    <col min="2817" max="2817" width="42.5703125" customWidth="1"/>
    <col min="2818" max="2818" width="30.140625" customWidth="1"/>
    <col min="2819" max="2819" width="18.85546875" customWidth="1"/>
    <col min="2820" max="2820" width="11.28515625" customWidth="1"/>
    <col min="2821" max="2834" width="10.7109375" bestFit="1" customWidth="1"/>
    <col min="3073" max="3073" width="42.5703125" customWidth="1"/>
    <col min="3074" max="3074" width="30.140625" customWidth="1"/>
    <col min="3075" max="3075" width="18.85546875" customWidth="1"/>
    <col min="3076" max="3076" width="11.28515625" customWidth="1"/>
    <col min="3077" max="3090" width="10.7109375" bestFit="1" customWidth="1"/>
    <col min="3329" max="3329" width="42.5703125" customWidth="1"/>
    <col min="3330" max="3330" width="30.140625" customWidth="1"/>
    <col min="3331" max="3331" width="18.85546875" customWidth="1"/>
    <col min="3332" max="3332" width="11.28515625" customWidth="1"/>
    <col min="3333" max="3346" width="10.7109375" bestFit="1" customWidth="1"/>
    <col min="3585" max="3585" width="42.5703125" customWidth="1"/>
    <col min="3586" max="3586" width="30.140625" customWidth="1"/>
    <col min="3587" max="3587" width="18.85546875" customWidth="1"/>
    <col min="3588" max="3588" width="11.28515625" customWidth="1"/>
    <col min="3589" max="3602" width="10.7109375" bestFit="1" customWidth="1"/>
    <col min="3841" max="3841" width="42.5703125" customWidth="1"/>
    <col min="3842" max="3842" width="30.140625" customWidth="1"/>
    <col min="3843" max="3843" width="18.85546875" customWidth="1"/>
    <col min="3844" max="3844" width="11.28515625" customWidth="1"/>
    <col min="3845" max="3858" width="10.7109375" bestFit="1" customWidth="1"/>
    <col min="4097" max="4097" width="42.5703125" customWidth="1"/>
    <col min="4098" max="4098" width="30.140625" customWidth="1"/>
    <col min="4099" max="4099" width="18.85546875" customWidth="1"/>
    <col min="4100" max="4100" width="11.28515625" customWidth="1"/>
    <col min="4101" max="4114" width="10.7109375" bestFit="1" customWidth="1"/>
    <col min="4353" max="4353" width="42.5703125" customWidth="1"/>
    <col min="4354" max="4354" width="30.140625" customWidth="1"/>
    <col min="4355" max="4355" width="18.85546875" customWidth="1"/>
    <col min="4356" max="4356" width="11.28515625" customWidth="1"/>
    <col min="4357" max="4370" width="10.7109375" bestFit="1" customWidth="1"/>
    <col min="4609" max="4609" width="42.5703125" customWidth="1"/>
    <col min="4610" max="4610" width="30.140625" customWidth="1"/>
    <col min="4611" max="4611" width="18.85546875" customWidth="1"/>
    <col min="4612" max="4612" width="11.28515625" customWidth="1"/>
    <col min="4613" max="4626" width="10.7109375" bestFit="1" customWidth="1"/>
    <col min="4865" max="4865" width="42.5703125" customWidth="1"/>
    <col min="4866" max="4866" width="30.140625" customWidth="1"/>
    <col min="4867" max="4867" width="18.85546875" customWidth="1"/>
    <col min="4868" max="4868" width="11.28515625" customWidth="1"/>
    <col min="4869" max="4882" width="10.7109375" bestFit="1" customWidth="1"/>
    <col min="5121" max="5121" width="42.5703125" customWidth="1"/>
    <col min="5122" max="5122" width="30.140625" customWidth="1"/>
    <col min="5123" max="5123" width="18.85546875" customWidth="1"/>
    <col min="5124" max="5124" width="11.28515625" customWidth="1"/>
    <col min="5125" max="5138" width="10.7109375" bestFit="1" customWidth="1"/>
    <col min="5377" max="5377" width="42.5703125" customWidth="1"/>
    <col min="5378" max="5378" width="30.140625" customWidth="1"/>
    <col min="5379" max="5379" width="18.85546875" customWidth="1"/>
    <col min="5380" max="5380" width="11.28515625" customWidth="1"/>
    <col min="5381" max="5394" width="10.7109375" bestFit="1" customWidth="1"/>
    <col min="5633" max="5633" width="42.5703125" customWidth="1"/>
    <col min="5634" max="5634" width="30.140625" customWidth="1"/>
    <col min="5635" max="5635" width="18.85546875" customWidth="1"/>
    <col min="5636" max="5636" width="11.28515625" customWidth="1"/>
    <col min="5637" max="5650" width="10.7109375" bestFit="1" customWidth="1"/>
    <col min="5889" max="5889" width="42.5703125" customWidth="1"/>
    <col min="5890" max="5890" width="30.140625" customWidth="1"/>
    <col min="5891" max="5891" width="18.85546875" customWidth="1"/>
    <col min="5892" max="5892" width="11.28515625" customWidth="1"/>
    <col min="5893" max="5906" width="10.7109375" bestFit="1" customWidth="1"/>
    <col min="6145" max="6145" width="42.5703125" customWidth="1"/>
    <col min="6146" max="6146" width="30.140625" customWidth="1"/>
    <col min="6147" max="6147" width="18.85546875" customWidth="1"/>
    <col min="6148" max="6148" width="11.28515625" customWidth="1"/>
    <col min="6149" max="6162" width="10.7109375" bestFit="1" customWidth="1"/>
    <col min="6401" max="6401" width="42.5703125" customWidth="1"/>
    <col min="6402" max="6402" width="30.140625" customWidth="1"/>
    <col min="6403" max="6403" width="18.85546875" customWidth="1"/>
    <col min="6404" max="6404" width="11.28515625" customWidth="1"/>
    <col min="6405" max="6418" width="10.7109375" bestFit="1" customWidth="1"/>
    <col min="6657" max="6657" width="42.5703125" customWidth="1"/>
    <col min="6658" max="6658" width="30.140625" customWidth="1"/>
    <col min="6659" max="6659" width="18.85546875" customWidth="1"/>
    <col min="6660" max="6660" width="11.28515625" customWidth="1"/>
    <col min="6661" max="6674" width="10.7109375" bestFit="1" customWidth="1"/>
    <col min="6913" max="6913" width="42.5703125" customWidth="1"/>
    <col min="6914" max="6914" width="30.140625" customWidth="1"/>
    <col min="6915" max="6915" width="18.85546875" customWidth="1"/>
    <col min="6916" max="6916" width="11.28515625" customWidth="1"/>
    <col min="6917" max="6930" width="10.7109375" bestFit="1" customWidth="1"/>
    <col min="7169" max="7169" width="42.5703125" customWidth="1"/>
    <col min="7170" max="7170" width="30.140625" customWidth="1"/>
    <col min="7171" max="7171" width="18.85546875" customWidth="1"/>
    <col min="7172" max="7172" width="11.28515625" customWidth="1"/>
    <col min="7173" max="7186" width="10.7109375" bestFit="1" customWidth="1"/>
    <col min="7425" max="7425" width="42.5703125" customWidth="1"/>
    <col min="7426" max="7426" width="30.140625" customWidth="1"/>
    <col min="7427" max="7427" width="18.85546875" customWidth="1"/>
    <col min="7428" max="7428" width="11.28515625" customWidth="1"/>
    <col min="7429" max="7442" width="10.7109375" bestFit="1" customWidth="1"/>
    <col min="7681" max="7681" width="42.5703125" customWidth="1"/>
    <col min="7682" max="7682" width="30.140625" customWidth="1"/>
    <col min="7683" max="7683" width="18.85546875" customWidth="1"/>
    <col min="7684" max="7684" width="11.28515625" customWidth="1"/>
    <col min="7685" max="7698" width="10.7109375" bestFit="1" customWidth="1"/>
    <col min="7937" max="7937" width="42.5703125" customWidth="1"/>
    <col min="7938" max="7938" width="30.140625" customWidth="1"/>
    <col min="7939" max="7939" width="18.85546875" customWidth="1"/>
    <col min="7940" max="7940" width="11.28515625" customWidth="1"/>
    <col min="7941" max="7954" width="10.7109375" bestFit="1" customWidth="1"/>
    <col min="8193" max="8193" width="42.5703125" customWidth="1"/>
    <col min="8194" max="8194" width="30.140625" customWidth="1"/>
    <col min="8195" max="8195" width="18.85546875" customWidth="1"/>
    <col min="8196" max="8196" width="11.28515625" customWidth="1"/>
    <col min="8197" max="8210" width="10.7109375" bestFit="1" customWidth="1"/>
    <col min="8449" max="8449" width="42.5703125" customWidth="1"/>
    <col min="8450" max="8450" width="30.140625" customWidth="1"/>
    <col min="8451" max="8451" width="18.85546875" customWidth="1"/>
    <col min="8452" max="8452" width="11.28515625" customWidth="1"/>
    <col min="8453" max="8466" width="10.7109375" bestFit="1" customWidth="1"/>
    <col min="8705" max="8705" width="42.5703125" customWidth="1"/>
    <col min="8706" max="8706" width="30.140625" customWidth="1"/>
    <col min="8707" max="8707" width="18.85546875" customWidth="1"/>
    <col min="8708" max="8708" width="11.28515625" customWidth="1"/>
    <col min="8709" max="8722" width="10.7109375" bestFit="1" customWidth="1"/>
    <col min="8961" max="8961" width="42.5703125" customWidth="1"/>
    <col min="8962" max="8962" width="30.140625" customWidth="1"/>
    <col min="8963" max="8963" width="18.85546875" customWidth="1"/>
    <col min="8964" max="8964" width="11.28515625" customWidth="1"/>
    <col min="8965" max="8978" width="10.7109375" bestFit="1" customWidth="1"/>
    <col min="9217" max="9217" width="42.5703125" customWidth="1"/>
    <col min="9218" max="9218" width="30.140625" customWidth="1"/>
    <col min="9219" max="9219" width="18.85546875" customWidth="1"/>
    <col min="9220" max="9220" width="11.28515625" customWidth="1"/>
    <col min="9221" max="9234" width="10.7109375" bestFit="1" customWidth="1"/>
    <col min="9473" max="9473" width="42.5703125" customWidth="1"/>
    <col min="9474" max="9474" width="30.140625" customWidth="1"/>
    <col min="9475" max="9475" width="18.85546875" customWidth="1"/>
    <col min="9476" max="9476" width="11.28515625" customWidth="1"/>
    <col min="9477" max="9490" width="10.7109375" bestFit="1" customWidth="1"/>
    <col min="9729" max="9729" width="42.5703125" customWidth="1"/>
    <col min="9730" max="9730" width="30.140625" customWidth="1"/>
    <col min="9731" max="9731" width="18.85546875" customWidth="1"/>
    <col min="9732" max="9732" width="11.28515625" customWidth="1"/>
    <col min="9733" max="9746" width="10.7109375" bestFit="1" customWidth="1"/>
    <col min="9985" max="9985" width="42.5703125" customWidth="1"/>
    <col min="9986" max="9986" width="30.140625" customWidth="1"/>
    <col min="9987" max="9987" width="18.85546875" customWidth="1"/>
    <col min="9988" max="9988" width="11.28515625" customWidth="1"/>
    <col min="9989" max="10002" width="10.7109375" bestFit="1" customWidth="1"/>
    <col min="10241" max="10241" width="42.5703125" customWidth="1"/>
    <col min="10242" max="10242" width="30.140625" customWidth="1"/>
    <col min="10243" max="10243" width="18.85546875" customWidth="1"/>
    <col min="10244" max="10244" width="11.28515625" customWidth="1"/>
    <col min="10245" max="10258" width="10.7109375" bestFit="1" customWidth="1"/>
    <col min="10497" max="10497" width="42.5703125" customWidth="1"/>
    <col min="10498" max="10498" width="30.140625" customWidth="1"/>
    <col min="10499" max="10499" width="18.85546875" customWidth="1"/>
    <col min="10500" max="10500" width="11.28515625" customWidth="1"/>
    <col min="10501" max="10514" width="10.7109375" bestFit="1" customWidth="1"/>
    <col min="10753" max="10753" width="42.5703125" customWidth="1"/>
    <col min="10754" max="10754" width="30.140625" customWidth="1"/>
    <col min="10755" max="10755" width="18.85546875" customWidth="1"/>
    <col min="10756" max="10756" width="11.28515625" customWidth="1"/>
    <col min="10757" max="10770" width="10.7109375" bestFit="1" customWidth="1"/>
    <col min="11009" max="11009" width="42.5703125" customWidth="1"/>
    <col min="11010" max="11010" width="30.140625" customWidth="1"/>
    <col min="11011" max="11011" width="18.85546875" customWidth="1"/>
    <col min="11012" max="11012" width="11.28515625" customWidth="1"/>
    <col min="11013" max="11026" width="10.7109375" bestFit="1" customWidth="1"/>
    <col min="11265" max="11265" width="42.5703125" customWidth="1"/>
    <col min="11266" max="11266" width="30.140625" customWidth="1"/>
    <col min="11267" max="11267" width="18.85546875" customWidth="1"/>
    <col min="11268" max="11268" width="11.28515625" customWidth="1"/>
    <col min="11269" max="11282" width="10.7109375" bestFit="1" customWidth="1"/>
    <col min="11521" max="11521" width="42.5703125" customWidth="1"/>
    <col min="11522" max="11522" width="30.140625" customWidth="1"/>
    <col min="11523" max="11523" width="18.85546875" customWidth="1"/>
    <col min="11524" max="11524" width="11.28515625" customWidth="1"/>
    <col min="11525" max="11538" width="10.7109375" bestFit="1" customWidth="1"/>
    <col min="11777" max="11777" width="42.5703125" customWidth="1"/>
    <col min="11778" max="11778" width="30.140625" customWidth="1"/>
    <col min="11779" max="11779" width="18.85546875" customWidth="1"/>
    <col min="11780" max="11780" width="11.28515625" customWidth="1"/>
    <col min="11781" max="11794" width="10.7109375" bestFit="1" customWidth="1"/>
    <col min="12033" max="12033" width="42.5703125" customWidth="1"/>
    <col min="12034" max="12034" width="30.140625" customWidth="1"/>
    <col min="12035" max="12035" width="18.85546875" customWidth="1"/>
    <col min="12036" max="12036" width="11.28515625" customWidth="1"/>
    <col min="12037" max="12050" width="10.7109375" bestFit="1" customWidth="1"/>
    <col min="12289" max="12289" width="42.5703125" customWidth="1"/>
    <col min="12290" max="12290" width="30.140625" customWidth="1"/>
    <col min="12291" max="12291" width="18.85546875" customWidth="1"/>
    <col min="12292" max="12292" width="11.28515625" customWidth="1"/>
    <col min="12293" max="12306" width="10.7109375" bestFit="1" customWidth="1"/>
    <col min="12545" max="12545" width="42.5703125" customWidth="1"/>
    <col min="12546" max="12546" width="30.140625" customWidth="1"/>
    <col min="12547" max="12547" width="18.85546875" customWidth="1"/>
    <col min="12548" max="12548" width="11.28515625" customWidth="1"/>
    <col min="12549" max="12562" width="10.7109375" bestFit="1" customWidth="1"/>
    <col min="12801" max="12801" width="42.5703125" customWidth="1"/>
    <col min="12802" max="12802" width="30.140625" customWidth="1"/>
    <col min="12803" max="12803" width="18.85546875" customWidth="1"/>
    <col min="12804" max="12804" width="11.28515625" customWidth="1"/>
    <col min="12805" max="12818" width="10.7109375" bestFit="1" customWidth="1"/>
    <col min="13057" max="13057" width="42.5703125" customWidth="1"/>
    <col min="13058" max="13058" width="30.140625" customWidth="1"/>
    <col min="13059" max="13059" width="18.85546875" customWidth="1"/>
    <col min="13060" max="13060" width="11.28515625" customWidth="1"/>
    <col min="13061" max="13074" width="10.7109375" bestFit="1" customWidth="1"/>
    <col min="13313" max="13313" width="42.5703125" customWidth="1"/>
    <col min="13314" max="13314" width="30.140625" customWidth="1"/>
    <col min="13315" max="13315" width="18.85546875" customWidth="1"/>
    <col min="13316" max="13316" width="11.28515625" customWidth="1"/>
    <col min="13317" max="13330" width="10.7109375" bestFit="1" customWidth="1"/>
    <col min="13569" max="13569" width="42.5703125" customWidth="1"/>
    <col min="13570" max="13570" width="30.140625" customWidth="1"/>
    <col min="13571" max="13571" width="18.85546875" customWidth="1"/>
    <col min="13572" max="13572" width="11.28515625" customWidth="1"/>
    <col min="13573" max="13586" width="10.7109375" bestFit="1" customWidth="1"/>
    <col min="13825" max="13825" width="42.5703125" customWidth="1"/>
    <col min="13826" max="13826" width="30.140625" customWidth="1"/>
    <col min="13827" max="13827" width="18.85546875" customWidth="1"/>
    <col min="13828" max="13828" width="11.28515625" customWidth="1"/>
    <col min="13829" max="13842" width="10.7109375" bestFit="1" customWidth="1"/>
    <col min="14081" max="14081" width="42.5703125" customWidth="1"/>
    <col min="14082" max="14082" width="30.140625" customWidth="1"/>
    <col min="14083" max="14083" width="18.85546875" customWidth="1"/>
    <col min="14084" max="14084" width="11.28515625" customWidth="1"/>
    <col min="14085" max="14098" width="10.7109375" bestFit="1" customWidth="1"/>
    <col min="14337" max="14337" width="42.5703125" customWidth="1"/>
    <col min="14338" max="14338" width="30.140625" customWidth="1"/>
    <col min="14339" max="14339" width="18.85546875" customWidth="1"/>
    <col min="14340" max="14340" width="11.28515625" customWidth="1"/>
    <col min="14341" max="14354" width="10.7109375" bestFit="1" customWidth="1"/>
    <col min="14593" max="14593" width="42.5703125" customWidth="1"/>
    <col min="14594" max="14594" width="30.140625" customWidth="1"/>
    <col min="14595" max="14595" width="18.85546875" customWidth="1"/>
    <col min="14596" max="14596" width="11.28515625" customWidth="1"/>
    <col min="14597" max="14610" width="10.7109375" bestFit="1" customWidth="1"/>
    <col min="14849" max="14849" width="42.5703125" customWidth="1"/>
    <col min="14850" max="14850" width="30.140625" customWidth="1"/>
    <col min="14851" max="14851" width="18.85546875" customWidth="1"/>
    <col min="14852" max="14852" width="11.28515625" customWidth="1"/>
    <col min="14853" max="14866" width="10.7109375" bestFit="1" customWidth="1"/>
    <col min="15105" max="15105" width="42.5703125" customWidth="1"/>
    <col min="15106" max="15106" width="30.140625" customWidth="1"/>
    <col min="15107" max="15107" width="18.85546875" customWidth="1"/>
    <col min="15108" max="15108" width="11.28515625" customWidth="1"/>
    <col min="15109" max="15122" width="10.7109375" bestFit="1" customWidth="1"/>
    <col min="15361" max="15361" width="42.5703125" customWidth="1"/>
    <col min="15362" max="15362" width="30.140625" customWidth="1"/>
    <col min="15363" max="15363" width="18.85546875" customWidth="1"/>
    <col min="15364" max="15364" width="11.28515625" customWidth="1"/>
    <col min="15365" max="15378" width="10.7109375" bestFit="1" customWidth="1"/>
    <col min="15617" max="15617" width="42.5703125" customWidth="1"/>
    <col min="15618" max="15618" width="30.140625" customWidth="1"/>
    <col min="15619" max="15619" width="18.85546875" customWidth="1"/>
    <col min="15620" max="15620" width="11.28515625" customWidth="1"/>
    <col min="15621" max="15634" width="10.7109375" bestFit="1" customWidth="1"/>
    <col min="15873" max="15873" width="42.5703125" customWidth="1"/>
    <col min="15874" max="15874" width="30.140625" customWidth="1"/>
    <col min="15875" max="15875" width="18.85546875" customWidth="1"/>
    <col min="15876" max="15876" width="11.28515625" customWidth="1"/>
    <col min="15877" max="15890" width="10.7109375" bestFit="1" customWidth="1"/>
    <col min="16129" max="16129" width="42.5703125" customWidth="1"/>
    <col min="16130" max="16130" width="30.140625" customWidth="1"/>
    <col min="16131" max="16131" width="18.85546875" customWidth="1"/>
    <col min="16132" max="16132" width="11.28515625" customWidth="1"/>
    <col min="16133" max="16146" width="10.7109375" bestFit="1" customWidth="1"/>
  </cols>
  <sheetData>
    <row r="1" spans="1:18">
      <c r="D1" s="3">
        <f t="shared" ref="D1:P1" si="0">DATE(YEAR(E1),MONTH(E1)-1,DAY(E1))</f>
        <v>43922</v>
      </c>
      <c r="E1" s="3">
        <f t="shared" si="0"/>
        <v>43952</v>
      </c>
      <c r="F1" s="3">
        <f t="shared" si="0"/>
        <v>43983</v>
      </c>
      <c r="G1" s="3">
        <f t="shared" si="0"/>
        <v>44013</v>
      </c>
      <c r="H1" s="3">
        <f t="shared" si="0"/>
        <v>44044</v>
      </c>
      <c r="I1" s="3">
        <f t="shared" si="0"/>
        <v>44075</v>
      </c>
      <c r="J1" s="3">
        <f t="shared" si="0"/>
        <v>44105</v>
      </c>
      <c r="K1" s="3">
        <f t="shared" si="0"/>
        <v>44136</v>
      </c>
      <c r="L1" s="3">
        <f t="shared" si="0"/>
        <v>44166</v>
      </c>
      <c r="M1" s="3">
        <f t="shared" si="0"/>
        <v>44197</v>
      </c>
      <c r="N1" s="3">
        <f t="shared" si="0"/>
        <v>44228</v>
      </c>
      <c r="O1" s="3">
        <f t="shared" si="0"/>
        <v>44256</v>
      </c>
      <c r="P1" s="3">
        <f t="shared" si="0"/>
        <v>44287</v>
      </c>
      <c r="Q1" s="3">
        <f>DATE(YEAR(R1),MONTH(R1)-1,DAY(R1))</f>
        <v>44317</v>
      </c>
      <c r="R1" s="3">
        <v>44348</v>
      </c>
    </row>
    <row r="2" spans="1:18">
      <c r="A2" t="s">
        <v>1310</v>
      </c>
      <c r="B2" t="s">
        <v>194</v>
      </c>
      <c r="C2" t="s">
        <v>193</v>
      </c>
      <c r="D2">
        <v>860</v>
      </c>
      <c r="E2">
        <v>760</v>
      </c>
      <c r="F2">
        <v>765</v>
      </c>
      <c r="G2">
        <v>718</v>
      </c>
      <c r="H2">
        <v>709</v>
      </c>
      <c r="I2">
        <v>755</v>
      </c>
      <c r="J2">
        <v>730</v>
      </c>
      <c r="K2">
        <v>650</v>
      </c>
      <c r="L2">
        <v>698</v>
      </c>
      <c r="M2">
        <v>657</v>
      </c>
      <c r="N2">
        <v>517</v>
      </c>
      <c r="O2">
        <v>561</v>
      </c>
      <c r="P2">
        <v>530</v>
      </c>
      <c r="Q2">
        <v>554</v>
      </c>
      <c r="R2">
        <v>590</v>
      </c>
    </row>
    <row r="3" spans="1:18">
      <c r="A3" t="s">
        <v>1311</v>
      </c>
      <c r="B3" t="s">
        <v>194</v>
      </c>
      <c r="C3" s="4" t="s">
        <v>34</v>
      </c>
      <c r="D3">
        <v>450</v>
      </c>
      <c r="E3">
        <v>360</v>
      </c>
      <c r="F3">
        <v>359</v>
      </c>
      <c r="G3">
        <v>274</v>
      </c>
      <c r="H3">
        <v>298</v>
      </c>
      <c r="I3">
        <v>352</v>
      </c>
      <c r="J3">
        <v>345</v>
      </c>
      <c r="K3">
        <v>311</v>
      </c>
      <c r="L3">
        <v>374</v>
      </c>
      <c r="M3">
        <v>336</v>
      </c>
      <c r="N3">
        <v>299</v>
      </c>
      <c r="O3">
        <v>324</v>
      </c>
      <c r="P3">
        <v>332</v>
      </c>
      <c r="Q3">
        <v>340</v>
      </c>
      <c r="R3">
        <v>382</v>
      </c>
    </row>
    <row r="4" spans="1:18">
      <c r="A4" t="s">
        <v>1312</v>
      </c>
      <c r="B4" t="s">
        <v>194</v>
      </c>
      <c r="C4" t="s">
        <v>169</v>
      </c>
      <c r="D4">
        <v>410</v>
      </c>
      <c r="E4">
        <v>400</v>
      </c>
      <c r="F4">
        <v>406</v>
      </c>
      <c r="G4">
        <v>444</v>
      </c>
      <c r="H4">
        <v>411</v>
      </c>
      <c r="I4">
        <v>403</v>
      </c>
      <c r="J4">
        <v>385</v>
      </c>
      <c r="K4">
        <v>339</v>
      </c>
      <c r="L4">
        <v>324</v>
      </c>
      <c r="M4">
        <v>321</v>
      </c>
      <c r="N4">
        <v>218</v>
      </c>
      <c r="O4">
        <v>237</v>
      </c>
      <c r="P4">
        <v>198</v>
      </c>
      <c r="Q4">
        <v>214</v>
      </c>
      <c r="R4">
        <v>208</v>
      </c>
    </row>
    <row r="5" spans="1:18">
      <c r="A5" t="s">
        <v>1313</v>
      </c>
      <c r="B5" t="s">
        <v>194</v>
      </c>
      <c r="C5" t="s">
        <v>170</v>
      </c>
      <c r="D5">
        <v>0</v>
      </c>
      <c r="E5">
        <v>0</v>
      </c>
      <c r="F5">
        <v>0</v>
      </c>
      <c r="G5">
        <v>0</v>
      </c>
      <c r="H5">
        <v>0</v>
      </c>
      <c r="I5">
        <v>0</v>
      </c>
      <c r="J5">
        <v>0</v>
      </c>
      <c r="K5">
        <v>0</v>
      </c>
      <c r="L5">
        <v>0</v>
      </c>
      <c r="M5">
        <v>0</v>
      </c>
      <c r="N5">
        <v>0</v>
      </c>
      <c r="O5">
        <v>0</v>
      </c>
      <c r="P5">
        <v>0</v>
      </c>
      <c r="Q5">
        <v>0</v>
      </c>
      <c r="R5">
        <v>0</v>
      </c>
    </row>
    <row r="6" spans="1:18">
      <c r="A6" t="s">
        <v>1314</v>
      </c>
      <c r="B6" t="s">
        <v>194</v>
      </c>
      <c r="C6" t="s">
        <v>171</v>
      </c>
      <c r="D6">
        <v>0</v>
      </c>
      <c r="E6">
        <v>0</v>
      </c>
      <c r="F6">
        <v>0</v>
      </c>
      <c r="G6">
        <v>0</v>
      </c>
      <c r="H6">
        <v>0</v>
      </c>
      <c r="I6">
        <v>0</v>
      </c>
      <c r="J6">
        <v>0</v>
      </c>
      <c r="K6">
        <v>0</v>
      </c>
      <c r="L6">
        <v>0</v>
      </c>
      <c r="M6">
        <v>0</v>
      </c>
      <c r="N6">
        <v>0</v>
      </c>
      <c r="O6">
        <v>0</v>
      </c>
      <c r="P6">
        <v>0</v>
      </c>
      <c r="Q6">
        <v>0</v>
      </c>
      <c r="R6">
        <v>0</v>
      </c>
    </row>
    <row r="7" spans="1:18">
      <c r="A7" t="s">
        <v>1315</v>
      </c>
      <c r="B7" t="s">
        <v>194</v>
      </c>
      <c r="C7" t="s">
        <v>148</v>
      </c>
      <c r="D7">
        <v>0</v>
      </c>
      <c r="E7">
        <v>0</v>
      </c>
      <c r="F7">
        <v>0</v>
      </c>
      <c r="G7">
        <v>0</v>
      </c>
      <c r="H7">
        <v>0</v>
      </c>
      <c r="I7">
        <v>0</v>
      </c>
      <c r="J7">
        <v>0</v>
      </c>
      <c r="K7">
        <v>0</v>
      </c>
      <c r="L7">
        <v>0</v>
      </c>
      <c r="M7">
        <v>0</v>
      </c>
      <c r="N7">
        <v>0</v>
      </c>
      <c r="O7">
        <v>0</v>
      </c>
      <c r="P7">
        <v>0</v>
      </c>
      <c r="Q7">
        <v>0</v>
      </c>
      <c r="R7">
        <v>0</v>
      </c>
    </row>
    <row r="8" spans="1:18">
      <c r="A8" t="s">
        <v>1316</v>
      </c>
      <c r="B8" t="s">
        <v>194</v>
      </c>
      <c r="C8" t="s">
        <v>184</v>
      </c>
      <c r="D8">
        <v>0</v>
      </c>
      <c r="E8">
        <v>0</v>
      </c>
      <c r="F8">
        <v>0</v>
      </c>
      <c r="G8">
        <v>0</v>
      </c>
      <c r="H8">
        <v>0</v>
      </c>
      <c r="I8">
        <v>0</v>
      </c>
      <c r="J8">
        <v>0</v>
      </c>
      <c r="K8">
        <v>0</v>
      </c>
      <c r="L8">
        <v>0</v>
      </c>
      <c r="M8">
        <v>0</v>
      </c>
      <c r="N8">
        <v>0</v>
      </c>
      <c r="O8">
        <v>0</v>
      </c>
      <c r="P8">
        <v>0</v>
      </c>
      <c r="Q8">
        <v>0</v>
      </c>
      <c r="R8">
        <v>0</v>
      </c>
    </row>
    <row r="9" spans="1:18">
      <c r="A9" t="s">
        <v>1317</v>
      </c>
      <c r="B9" t="s">
        <v>194</v>
      </c>
      <c r="C9" s="4" t="s">
        <v>188</v>
      </c>
      <c r="D9">
        <v>219</v>
      </c>
      <c r="E9">
        <v>210</v>
      </c>
      <c r="F9">
        <v>201</v>
      </c>
      <c r="G9">
        <v>220</v>
      </c>
      <c r="H9">
        <v>176</v>
      </c>
      <c r="I9">
        <v>164</v>
      </c>
      <c r="J9">
        <v>141</v>
      </c>
      <c r="K9">
        <v>113</v>
      </c>
      <c r="L9">
        <v>103</v>
      </c>
      <c r="M9">
        <v>112</v>
      </c>
      <c r="N9">
        <v>86</v>
      </c>
      <c r="O9">
        <v>106</v>
      </c>
      <c r="P9">
        <v>88</v>
      </c>
      <c r="Q9">
        <v>103</v>
      </c>
      <c r="R9">
        <v>109</v>
      </c>
    </row>
    <row r="10" spans="1:18">
      <c r="A10" t="s">
        <v>1318</v>
      </c>
      <c r="B10" t="s">
        <v>194</v>
      </c>
      <c r="C10" s="35" t="s">
        <v>189</v>
      </c>
      <c r="D10">
        <v>191</v>
      </c>
      <c r="E10">
        <v>190</v>
      </c>
      <c r="F10">
        <v>205</v>
      </c>
      <c r="G10">
        <v>224</v>
      </c>
      <c r="H10">
        <v>235</v>
      </c>
      <c r="I10">
        <v>239</v>
      </c>
      <c r="J10">
        <v>244</v>
      </c>
      <c r="K10">
        <v>226</v>
      </c>
      <c r="L10">
        <v>221</v>
      </c>
      <c r="M10">
        <v>209</v>
      </c>
      <c r="N10">
        <v>132</v>
      </c>
      <c r="O10">
        <v>131</v>
      </c>
      <c r="P10">
        <v>110</v>
      </c>
      <c r="Q10">
        <v>111</v>
      </c>
      <c r="R10">
        <v>99</v>
      </c>
    </row>
    <row r="11" spans="1:18">
      <c r="A11" t="s">
        <v>1319</v>
      </c>
      <c r="B11" t="s">
        <v>194</v>
      </c>
      <c r="C11" t="s">
        <v>172</v>
      </c>
      <c r="D11">
        <v>106</v>
      </c>
      <c r="E11">
        <v>91</v>
      </c>
      <c r="F11">
        <v>100</v>
      </c>
      <c r="G11">
        <v>115</v>
      </c>
      <c r="H11">
        <v>123</v>
      </c>
      <c r="I11">
        <v>120</v>
      </c>
      <c r="J11">
        <v>105</v>
      </c>
      <c r="K11">
        <v>95</v>
      </c>
      <c r="L11">
        <v>79</v>
      </c>
      <c r="M11">
        <v>75</v>
      </c>
      <c r="N11">
        <v>46</v>
      </c>
      <c r="O11">
        <v>37</v>
      </c>
      <c r="P11">
        <v>41</v>
      </c>
      <c r="Q11">
        <v>40</v>
      </c>
      <c r="R11">
        <v>38</v>
      </c>
    </row>
    <row r="12" spans="1:18">
      <c r="A12" t="s">
        <v>1320</v>
      </c>
      <c r="B12" t="s">
        <v>194</v>
      </c>
      <c r="C12" t="s">
        <v>30</v>
      </c>
      <c r="D12">
        <v>85</v>
      </c>
      <c r="E12">
        <v>99</v>
      </c>
      <c r="F12">
        <v>105</v>
      </c>
      <c r="G12">
        <v>109</v>
      </c>
      <c r="H12">
        <v>112</v>
      </c>
      <c r="I12">
        <v>119</v>
      </c>
      <c r="J12">
        <v>139</v>
      </c>
      <c r="K12">
        <v>131</v>
      </c>
      <c r="L12">
        <v>142</v>
      </c>
      <c r="M12">
        <v>134</v>
      </c>
      <c r="N12">
        <v>86</v>
      </c>
      <c r="O12">
        <v>94</v>
      </c>
      <c r="P12">
        <v>69</v>
      </c>
      <c r="Q12">
        <v>71</v>
      </c>
      <c r="R12">
        <v>61</v>
      </c>
    </row>
    <row r="13" spans="1:18">
      <c r="A13" t="s">
        <v>1321</v>
      </c>
      <c r="B13" t="s">
        <v>195</v>
      </c>
      <c r="C13" t="s">
        <v>193</v>
      </c>
      <c r="D13">
        <v>25</v>
      </c>
      <c r="E13">
        <v>22</v>
      </c>
      <c r="F13">
        <v>20</v>
      </c>
      <c r="G13">
        <v>16</v>
      </c>
      <c r="H13">
        <v>25</v>
      </c>
      <c r="I13">
        <v>23</v>
      </c>
      <c r="J13">
        <v>27</v>
      </c>
      <c r="K13">
        <v>19</v>
      </c>
      <c r="L13">
        <v>13</v>
      </c>
      <c r="M13">
        <v>18</v>
      </c>
      <c r="N13">
        <v>20</v>
      </c>
      <c r="O13">
        <v>31</v>
      </c>
      <c r="P13">
        <v>25</v>
      </c>
      <c r="Q13">
        <v>32</v>
      </c>
      <c r="R13">
        <v>34</v>
      </c>
    </row>
    <row r="14" spans="1:18">
      <c r="A14" t="s">
        <v>1322</v>
      </c>
      <c r="B14" t="s">
        <v>195</v>
      </c>
      <c r="C14" s="4" t="s">
        <v>34</v>
      </c>
      <c r="D14">
        <v>21</v>
      </c>
      <c r="E14">
        <v>21</v>
      </c>
      <c r="F14">
        <v>18</v>
      </c>
      <c r="G14">
        <v>11</v>
      </c>
      <c r="H14">
        <v>23</v>
      </c>
      <c r="I14">
        <v>23</v>
      </c>
      <c r="J14">
        <v>27</v>
      </c>
      <c r="K14">
        <v>19</v>
      </c>
      <c r="L14">
        <v>13</v>
      </c>
      <c r="M14">
        <v>18</v>
      </c>
      <c r="N14">
        <v>20</v>
      </c>
      <c r="O14">
        <v>31</v>
      </c>
      <c r="P14">
        <v>25</v>
      </c>
      <c r="Q14">
        <v>31</v>
      </c>
      <c r="R14">
        <v>32</v>
      </c>
    </row>
    <row r="15" spans="1:18">
      <c r="A15" t="s">
        <v>1323</v>
      </c>
      <c r="B15" t="s">
        <v>195</v>
      </c>
      <c r="C15" t="s">
        <v>169</v>
      </c>
      <c r="D15">
        <v>4</v>
      </c>
      <c r="E15">
        <v>1</v>
      </c>
      <c r="F15">
        <v>2</v>
      </c>
      <c r="G15">
        <v>5</v>
      </c>
      <c r="H15">
        <v>2</v>
      </c>
      <c r="I15">
        <v>0</v>
      </c>
      <c r="J15">
        <v>0</v>
      </c>
      <c r="K15">
        <v>0</v>
      </c>
      <c r="L15">
        <v>0</v>
      </c>
      <c r="M15">
        <v>0</v>
      </c>
      <c r="N15">
        <v>0</v>
      </c>
      <c r="O15">
        <v>0</v>
      </c>
      <c r="P15">
        <v>0</v>
      </c>
      <c r="Q15">
        <v>1</v>
      </c>
      <c r="R15">
        <v>2</v>
      </c>
    </row>
    <row r="16" spans="1:18">
      <c r="A16" t="s">
        <v>1324</v>
      </c>
      <c r="B16" t="s">
        <v>195</v>
      </c>
      <c r="C16" t="s">
        <v>170</v>
      </c>
      <c r="D16">
        <v>0</v>
      </c>
      <c r="E16">
        <v>0</v>
      </c>
      <c r="F16">
        <v>0</v>
      </c>
      <c r="G16">
        <v>0</v>
      </c>
      <c r="H16">
        <v>0</v>
      </c>
      <c r="I16">
        <v>0</v>
      </c>
      <c r="J16">
        <v>0</v>
      </c>
      <c r="K16">
        <v>0</v>
      </c>
      <c r="L16">
        <v>0</v>
      </c>
      <c r="M16">
        <v>0</v>
      </c>
      <c r="N16">
        <v>0</v>
      </c>
      <c r="O16">
        <v>0</v>
      </c>
      <c r="P16">
        <v>0</v>
      </c>
      <c r="Q16">
        <v>0</v>
      </c>
      <c r="R16">
        <v>0</v>
      </c>
    </row>
    <row r="17" spans="1:18">
      <c r="A17" t="s">
        <v>1325</v>
      </c>
      <c r="B17" t="s">
        <v>195</v>
      </c>
      <c r="C17" t="s">
        <v>171</v>
      </c>
      <c r="D17">
        <v>0</v>
      </c>
      <c r="E17">
        <v>0</v>
      </c>
      <c r="F17">
        <v>0</v>
      </c>
      <c r="G17">
        <v>0</v>
      </c>
      <c r="H17">
        <v>0</v>
      </c>
      <c r="I17">
        <v>0</v>
      </c>
      <c r="J17">
        <v>0</v>
      </c>
      <c r="K17">
        <v>0</v>
      </c>
      <c r="L17">
        <v>0</v>
      </c>
      <c r="M17">
        <v>0</v>
      </c>
      <c r="N17">
        <v>0</v>
      </c>
      <c r="O17">
        <v>0</v>
      </c>
      <c r="P17">
        <v>0</v>
      </c>
      <c r="Q17">
        <v>0</v>
      </c>
      <c r="R17">
        <v>0</v>
      </c>
    </row>
    <row r="18" spans="1:18">
      <c r="A18" t="s">
        <v>1326</v>
      </c>
      <c r="B18" t="s">
        <v>195</v>
      </c>
      <c r="C18" t="s">
        <v>148</v>
      </c>
      <c r="D18">
        <v>0</v>
      </c>
      <c r="E18">
        <v>0</v>
      </c>
      <c r="F18">
        <v>0</v>
      </c>
      <c r="G18">
        <v>0</v>
      </c>
      <c r="H18">
        <v>0</v>
      </c>
      <c r="I18">
        <v>0</v>
      </c>
      <c r="J18">
        <v>0</v>
      </c>
      <c r="K18">
        <v>0</v>
      </c>
      <c r="L18">
        <v>0</v>
      </c>
      <c r="M18">
        <v>0</v>
      </c>
      <c r="N18">
        <v>0</v>
      </c>
      <c r="O18">
        <v>0</v>
      </c>
      <c r="P18">
        <v>0</v>
      </c>
      <c r="Q18">
        <v>0</v>
      </c>
      <c r="R18">
        <v>0</v>
      </c>
    </row>
    <row r="19" spans="1:18">
      <c r="A19" t="s">
        <v>1327</v>
      </c>
      <c r="B19" t="s">
        <v>195</v>
      </c>
      <c r="C19" t="s">
        <v>184</v>
      </c>
      <c r="D19">
        <v>0</v>
      </c>
      <c r="E19">
        <v>0</v>
      </c>
      <c r="F19">
        <v>0</v>
      </c>
      <c r="G19">
        <v>0</v>
      </c>
      <c r="H19">
        <v>0</v>
      </c>
      <c r="I19">
        <v>0</v>
      </c>
      <c r="J19">
        <v>0</v>
      </c>
      <c r="K19">
        <v>0</v>
      </c>
      <c r="L19">
        <v>0</v>
      </c>
      <c r="M19">
        <v>0</v>
      </c>
      <c r="N19">
        <v>0</v>
      </c>
      <c r="O19">
        <v>0</v>
      </c>
      <c r="P19">
        <v>0</v>
      </c>
      <c r="Q19">
        <v>0</v>
      </c>
      <c r="R19">
        <v>0</v>
      </c>
    </row>
    <row r="20" spans="1:18">
      <c r="A20" t="s">
        <v>1328</v>
      </c>
      <c r="B20" t="s">
        <v>195</v>
      </c>
      <c r="C20" s="4" t="s">
        <v>188</v>
      </c>
      <c r="D20">
        <v>2</v>
      </c>
      <c r="E20">
        <v>1</v>
      </c>
      <c r="F20">
        <v>2</v>
      </c>
      <c r="G20">
        <v>4</v>
      </c>
      <c r="H20">
        <v>2</v>
      </c>
      <c r="I20">
        <v>0</v>
      </c>
      <c r="J20">
        <v>0</v>
      </c>
      <c r="K20">
        <v>0</v>
      </c>
      <c r="L20">
        <v>0</v>
      </c>
      <c r="M20">
        <v>0</v>
      </c>
      <c r="N20">
        <v>0</v>
      </c>
      <c r="O20">
        <v>0</v>
      </c>
      <c r="P20">
        <v>0</v>
      </c>
      <c r="Q20">
        <v>1</v>
      </c>
      <c r="R20">
        <v>2</v>
      </c>
    </row>
    <row r="21" spans="1:18">
      <c r="A21" t="s">
        <v>1329</v>
      </c>
      <c r="B21" t="s">
        <v>195</v>
      </c>
      <c r="C21" s="35" t="s">
        <v>189</v>
      </c>
      <c r="D21">
        <v>2</v>
      </c>
      <c r="E21">
        <v>0</v>
      </c>
      <c r="F21">
        <v>0</v>
      </c>
      <c r="G21">
        <v>1</v>
      </c>
      <c r="H21">
        <v>0</v>
      </c>
      <c r="I21">
        <v>0</v>
      </c>
      <c r="J21">
        <v>0</v>
      </c>
      <c r="K21">
        <v>0</v>
      </c>
      <c r="L21">
        <v>0</v>
      </c>
      <c r="M21">
        <v>0</v>
      </c>
      <c r="N21">
        <v>0</v>
      </c>
      <c r="O21">
        <v>0</v>
      </c>
      <c r="P21">
        <v>0</v>
      </c>
      <c r="Q21">
        <v>0</v>
      </c>
      <c r="R21">
        <v>0</v>
      </c>
    </row>
    <row r="22" spans="1:18">
      <c r="A22" t="s">
        <v>1330</v>
      </c>
      <c r="B22" t="s">
        <v>195</v>
      </c>
      <c r="C22" t="s">
        <v>172</v>
      </c>
      <c r="D22">
        <v>1</v>
      </c>
      <c r="E22">
        <v>0</v>
      </c>
      <c r="F22">
        <v>0</v>
      </c>
      <c r="G22">
        <v>1</v>
      </c>
      <c r="H22">
        <v>0</v>
      </c>
      <c r="I22">
        <v>0</v>
      </c>
      <c r="J22">
        <v>0</v>
      </c>
      <c r="K22">
        <v>0</v>
      </c>
      <c r="L22">
        <v>0</v>
      </c>
      <c r="M22">
        <v>0</v>
      </c>
      <c r="N22">
        <v>0</v>
      </c>
      <c r="O22">
        <v>0</v>
      </c>
      <c r="P22">
        <v>0</v>
      </c>
      <c r="Q22">
        <v>0</v>
      </c>
      <c r="R22">
        <v>0</v>
      </c>
    </row>
    <row r="23" spans="1:18">
      <c r="A23" t="s">
        <v>1331</v>
      </c>
      <c r="B23" t="s">
        <v>195</v>
      </c>
      <c r="C23" t="s">
        <v>30</v>
      </c>
      <c r="D23">
        <v>1</v>
      </c>
      <c r="E23">
        <v>0</v>
      </c>
      <c r="F23">
        <v>0</v>
      </c>
      <c r="G23">
        <v>0</v>
      </c>
      <c r="H23">
        <v>0</v>
      </c>
      <c r="I23">
        <v>0</v>
      </c>
      <c r="J23">
        <v>0</v>
      </c>
      <c r="K23">
        <v>0</v>
      </c>
      <c r="L23">
        <v>0</v>
      </c>
      <c r="M23">
        <v>0</v>
      </c>
      <c r="N23">
        <v>0</v>
      </c>
      <c r="O23">
        <v>0</v>
      </c>
      <c r="P23">
        <v>0</v>
      </c>
      <c r="Q23">
        <v>0</v>
      </c>
      <c r="R23">
        <v>0</v>
      </c>
    </row>
    <row r="24" spans="1:18">
      <c r="A24" t="s">
        <v>1332</v>
      </c>
      <c r="B24" t="s">
        <v>196</v>
      </c>
      <c r="C24" t="s">
        <v>193</v>
      </c>
      <c r="D24">
        <v>860</v>
      </c>
      <c r="E24">
        <v>760</v>
      </c>
      <c r="F24">
        <v>765</v>
      </c>
      <c r="G24">
        <v>718</v>
      </c>
      <c r="H24">
        <v>709</v>
      </c>
      <c r="I24">
        <v>755</v>
      </c>
      <c r="J24">
        <v>730</v>
      </c>
      <c r="K24">
        <v>650</v>
      </c>
      <c r="L24">
        <v>698</v>
      </c>
      <c r="M24">
        <v>657</v>
      </c>
      <c r="N24">
        <v>517</v>
      </c>
      <c r="O24">
        <v>561</v>
      </c>
      <c r="P24">
        <v>530</v>
      </c>
      <c r="Q24">
        <v>554</v>
      </c>
      <c r="R24">
        <v>590</v>
      </c>
    </row>
    <row r="25" spans="1:18">
      <c r="A25" t="s">
        <v>1333</v>
      </c>
      <c r="B25" t="s">
        <v>196</v>
      </c>
      <c r="C25" s="4" t="s">
        <v>34</v>
      </c>
      <c r="D25">
        <v>429</v>
      </c>
      <c r="E25">
        <v>330</v>
      </c>
      <c r="F25">
        <v>317</v>
      </c>
      <c r="G25">
        <v>245</v>
      </c>
      <c r="H25">
        <v>285</v>
      </c>
      <c r="I25">
        <v>343</v>
      </c>
      <c r="J25">
        <v>340</v>
      </c>
      <c r="K25">
        <v>302</v>
      </c>
      <c r="L25">
        <v>372</v>
      </c>
      <c r="M25">
        <v>328</v>
      </c>
      <c r="N25">
        <v>296</v>
      </c>
      <c r="O25">
        <v>322</v>
      </c>
      <c r="P25">
        <v>326</v>
      </c>
      <c r="Q25">
        <v>334</v>
      </c>
      <c r="R25">
        <v>377</v>
      </c>
    </row>
    <row r="26" spans="1:18">
      <c r="A26" t="s">
        <v>1334</v>
      </c>
      <c r="B26" t="s">
        <v>196</v>
      </c>
      <c r="C26" t="s">
        <v>169</v>
      </c>
      <c r="D26">
        <v>431</v>
      </c>
      <c r="E26">
        <v>430</v>
      </c>
      <c r="F26">
        <v>448</v>
      </c>
      <c r="G26">
        <v>473</v>
      </c>
      <c r="H26">
        <v>424</v>
      </c>
      <c r="I26">
        <v>412</v>
      </c>
      <c r="J26">
        <v>390</v>
      </c>
      <c r="K26">
        <v>348</v>
      </c>
      <c r="L26">
        <v>326</v>
      </c>
      <c r="M26">
        <v>329</v>
      </c>
      <c r="N26">
        <v>221</v>
      </c>
      <c r="O26">
        <v>239</v>
      </c>
      <c r="P26">
        <v>204</v>
      </c>
      <c r="Q26">
        <v>220</v>
      </c>
      <c r="R26">
        <v>213</v>
      </c>
    </row>
    <row r="27" spans="1:18">
      <c r="A27" t="s">
        <v>1335</v>
      </c>
      <c r="B27" t="s">
        <v>196</v>
      </c>
      <c r="C27" t="s">
        <v>170</v>
      </c>
      <c r="D27">
        <v>0</v>
      </c>
      <c r="E27">
        <v>0</v>
      </c>
      <c r="F27">
        <v>0</v>
      </c>
      <c r="G27">
        <v>0</v>
      </c>
      <c r="H27">
        <v>0</v>
      </c>
      <c r="I27">
        <v>0</v>
      </c>
      <c r="J27">
        <v>0</v>
      </c>
      <c r="K27">
        <v>0</v>
      </c>
      <c r="L27">
        <v>0</v>
      </c>
      <c r="M27">
        <v>0</v>
      </c>
      <c r="N27">
        <v>0</v>
      </c>
      <c r="O27">
        <v>0</v>
      </c>
      <c r="P27">
        <v>0</v>
      </c>
      <c r="Q27">
        <v>0</v>
      </c>
      <c r="R27">
        <v>0</v>
      </c>
    </row>
    <row r="28" spans="1:18">
      <c r="A28" t="s">
        <v>1336</v>
      </c>
      <c r="B28" t="s">
        <v>196</v>
      </c>
      <c r="C28" t="s">
        <v>171</v>
      </c>
      <c r="D28">
        <v>0</v>
      </c>
      <c r="E28">
        <v>0</v>
      </c>
      <c r="F28">
        <v>0</v>
      </c>
      <c r="G28">
        <v>0</v>
      </c>
      <c r="H28">
        <v>0</v>
      </c>
      <c r="I28">
        <v>0</v>
      </c>
      <c r="J28">
        <v>0</v>
      </c>
      <c r="K28">
        <v>0</v>
      </c>
      <c r="L28">
        <v>0</v>
      </c>
      <c r="M28">
        <v>0</v>
      </c>
      <c r="N28">
        <v>0</v>
      </c>
      <c r="O28">
        <v>0</v>
      </c>
      <c r="P28">
        <v>0</v>
      </c>
      <c r="Q28">
        <v>0</v>
      </c>
      <c r="R28">
        <v>0</v>
      </c>
    </row>
    <row r="29" spans="1:18">
      <c r="A29" t="s">
        <v>1337</v>
      </c>
      <c r="B29" t="s">
        <v>196</v>
      </c>
      <c r="C29" t="s">
        <v>148</v>
      </c>
      <c r="D29">
        <v>0</v>
      </c>
      <c r="E29">
        <v>0</v>
      </c>
      <c r="F29">
        <v>0</v>
      </c>
      <c r="G29">
        <v>0</v>
      </c>
      <c r="H29">
        <v>0</v>
      </c>
      <c r="I29">
        <v>0</v>
      </c>
      <c r="J29">
        <v>0</v>
      </c>
      <c r="K29">
        <v>0</v>
      </c>
      <c r="L29">
        <v>0</v>
      </c>
      <c r="M29">
        <v>0</v>
      </c>
      <c r="N29">
        <v>0</v>
      </c>
      <c r="O29">
        <v>0</v>
      </c>
      <c r="P29">
        <v>0</v>
      </c>
      <c r="Q29">
        <v>0</v>
      </c>
      <c r="R29">
        <v>0</v>
      </c>
    </row>
    <row r="30" spans="1:18">
      <c r="A30" t="s">
        <v>1338</v>
      </c>
      <c r="B30" t="s">
        <v>196</v>
      </c>
      <c r="C30" t="s">
        <v>184</v>
      </c>
      <c r="D30">
        <v>0</v>
      </c>
      <c r="E30">
        <v>0</v>
      </c>
      <c r="F30">
        <v>0</v>
      </c>
      <c r="G30">
        <v>0</v>
      </c>
      <c r="H30">
        <v>0</v>
      </c>
      <c r="I30">
        <v>0</v>
      </c>
      <c r="J30">
        <v>0</v>
      </c>
      <c r="K30">
        <v>0</v>
      </c>
      <c r="L30">
        <v>0</v>
      </c>
      <c r="M30">
        <v>0</v>
      </c>
      <c r="N30">
        <v>0</v>
      </c>
      <c r="O30">
        <v>0</v>
      </c>
      <c r="P30">
        <v>0</v>
      </c>
      <c r="Q30">
        <v>0</v>
      </c>
      <c r="R30">
        <v>0</v>
      </c>
    </row>
    <row r="31" spans="1:18">
      <c r="A31" t="s">
        <v>1339</v>
      </c>
      <c r="B31" t="s">
        <v>196</v>
      </c>
      <c r="C31" s="4" t="s">
        <v>188</v>
      </c>
      <c r="D31">
        <v>231</v>
      </c>
      <c r="E31">
        <v>229</v>
      </c>
      <c r="F31">
        <v>231</v>
      </c>
      <c r="G31">
        <v>230</v>
      </c>
      <c r="H31">
        <v>190</v>
      </c>
      <c r="I31">
        <v>150</v>
      </c>
      <c r="J31">
        <v>126</v>
      </c>
      <c r="K31">
        <v>110</v>
      </c>
      <c r="L31">
        <v>103</v>
      </c>
      <c r="M31">
        <v>115</v>
      </c>
      <c r="N31">
        <v>84</v>
      </c>
      <c r="O31">
        <v>107</v>
      </c>
      <c r="P31">
        <v>94</v>
      </c>
      <c r="Q31">
        <v>106</v>
      </c>
      <c r="R31">
        <v>111</v>
      </c>
    </row>
    <row r="32" spans="1:18">
      <c r="A32" t="s">
        <v>1340</v>
      </c>
      <c r="B32" t="s">
        <v>196</v>
      </c>
      <c r="C32" s="35" t="s">
        <v>189</v>
      </c>
      <c r="D32">
        <v>200</v>
      </c>
      <c r="E32">
        <v>201</v>
      </c>
      <c r="F32">
        <v>217</v>
      </c>
      <c r="G32">
        <v>243</v>
      </c>
      <c r="H32">
        <v>234</v>
      </c>
      <c r="I32">
        <v>262</v>
      </c>
      <c r="J32">
        <v>264</v>
      </c>
      <c r="K32">
        <v>238</v>
      </c>
      <c r="L32">
        <v>223</v>
      </c>
      <c r="M32">
        <v>214</v>
      </c>
      <c r="N32">
        <v>137</v>
      </c>
      <c r="O32">
        <v>132</v>
      </c>
      <c r="P32">
        <v>110</v>
      </c>
      <c r="Q32">
        <v>114</v>
      </c>
      <c r="R32">
        <v>102</v>
      </c>
    </row>
    <row r="33" spans="1:18">
      <c r="A33" t="s">
        <v>1341</v>
      </c>
      <c r="B33" t="s">
        <v>196</v>
      </c>
      <c r="C33" t="s">
        <v>172</v>
      </c>
      <c r="D33">
        <v>109</v>
      </c>
      <c r="E33">
        <v>97</v>
      </c>
      <c r="F33">
        <v>106</v>
      </c>
      <c r="G33">
        <v>123</v>
      </c>
      <c r="H33">
        <v>124</v>
      </c>
      <c r="I33">
        <v>139</v>
      </c>
      <c r="J33">
        <v>121</v>
      </c>
      <c r="K33">
        <v>102</v>
      </c>
      <c r="L33">
        <v>77</v>
      </c>
      <c r="M33">
        <v>74</v>
      </c>
      <c r="N33">
        <v>47</v>
      </c>
      <c r="O33">
        <v>37</v>
      </c>
      <c r="P33">
        <v>41</v>
      </c>
      <c r="Q33">
        <v>42</v>
      </c>
      <c r="R33">
        <v>40</v>
      </c>
    </row>
    <row r="34" spans="1:18">
      <c r="A34" t="s">
        <v>1342</v>
      </c>
      <c r="B34" t="s">
        <v>196</v>
      </c>
      <c r="C34" t="s">
        <v>30</v>
      </c>
      <c r="D34">
        <v>91</v>
      </c>
      <c r="E34">
        <v>104</v>
      </c>
      <c r="F34">
        <v>111</v>
      </c>
      <c r="G34">
        <v>120</v>
      </c>
      <c r="H34">
        <v>110</v>
      </c>
      <c r="I34">
        <v>123</v>
      </c>
      <c r="J34">
        <v>143</v>
      </c>
      <c r="K34">
        <v>136</v>
      </c>
      <c r="L34">
        <v>146</v>
      </c>
      <c r="M34">
        <v>140</v>
      </c>
      <c r="N34">
        <v>90</v>
      </c>
      <c r="O34">
        <v>95</v>
      </c>
      <c r="P34">
        <v>69</v>
      </c>
      <c r="Q34">
        <v>72</v>
      </c>
      <c r="R34">
        <v>62</v>
      </c>
    </row>
    <row r="35" spans="1:18">
      <c r="A35" t="s">
        <v>1343</v>
      </c>
      <c r="B35" t="s">
        <v>196</v>
      </c>
      <c r="C35" t="s">
        <v>177</v>
      </c>
      <c r="D35">
        <v>0</v>
      </c>
      <c r="E35">
        <v>0</v>
      </c>
      <c r="F35">
        <v>0</v>
      </c>
      <c r="G35">
        <v>0</v>
      </c>
      <c r="H35">
        <v>0</v>
      </c>
      <c r="I35">
        <v>0</v>
      </c>
      <c r="J35">
        <v>0</v>
      </c>
      <c r="K35">
        <v>0</v>
      </c>
      <c r="L35">
        <v>0</v>
      </c>
      <c r="M35">
        <v>0</v>
      </c>
      <c r="N35">
        <v>0</v>
      </c>
      <c r="O35">
        <v>0</v>
      </c>
      <c r="P35">
        <v>0</v>
      </c>
      <c r="Q35">
        <v>0</v>
      </c>
      <c r="R35">
        <v>0</v>
      </c>
    </row>
    <row r="36" spans="1:18">
      <c r="A36" t="s">
        <v>1344</v>
      </c>
      <c r="B36" t="s">
        <v>196</v>
      </c>
      <c r="C36" t="s">
        <v>178</v>
      </c>
      <c r="D36">
        <v>0</v>
      </c>
      <c r="E36">
        <v>0</v>
      </c>
      <c r="F36">
        <v>0</v>
      </c>
      <c r="G36">
        <v>0</v>
      </c>
      <c r="H36">
        <v>0</v>
      </c>
      <c r="I36">
        <v>0</v>
      </c>
      <c r="J36">
        <v>0</v>
      </c>
      <c r="K36">
        <v>0</v>
      </c>
      <c r="L36">
        <v>0</v>
      </c>
      <c r="M36">
        <v>0</v>
      </c>
      <c r="N36">
        <v>0</v>
      </c>
      <c r="O36">
        <v>0</v>
      </c>
      <c r="P36">
        <v>0</v>
      </c>
      <c r="Q36">
        <v>0</v>
      </c>
      <c r="R36">
        <v>0</v>
      </c>
    </row>
    <row r="37" spans="1:18">
      <c r="A37" t="s">
        <v>1345</v>
      </c>
      <c r="B37" t="s">
        <v>197</v>
      </c>
      <c r="C37" t="s">
        <v>193</v>
      </c>
      <c r="D37">
        <v>860</v>
      </c>
      <c r="E37">
        <v>760</v>
      </c>
      <c r="F37">
        <v>765</v>
      </c>
      <c r="G37">
        <v>718</v>
      </c>
      <c r="H37">
        <v>709</v>
      </c>
      <c r="I37">
        <v>755</v>
      </c>
      <c r="J37">
        <v>730</v>
      </c>
      <c r="K37">
        <v>650</v>
      </c>
      <c r="L37">
        <v>698</v>
      </c>
      <c r="M37">
        <v>657</v>
      </c>
      <c r="N37">
        <v>517</v>
      </c>
      <c r="O37">
        <v>561</v>
      </c>
      <c r="P37">
        <v>530</v>
      </c>
      <c r="Q37">
        <v>554</v>
      </c>
      <c r="R37">
        <v>590</v>
      </c>
    </row>
    <row r="38" spans="1:18">
      <c r="A38" t="s">
        <v>1346</v>
      </c>
      <c r="B38" t="s">
        <v>197</v>
      </c>
      <c r="C38" s="4" t="s">
        <v>34</v>
      </c>
      <c r="D38">
        <v>429</v>
      </c>
      <c r="E38">
        <v>330</v>
      </c>
      <c r="F38">
        <v>317</v>
      </c>
      <c r="G38">
        <v>245</v>
      </c>
      <c r="H38">
        <v>285</v>
      </c>
      <c r="I38">
        <v>343</v>
      </c>
      <c r="J38">
        <v>340</v>
      </c>
      <c r="K38">
        <v>302</v>
      </c>
      <c r="L38">
        <v>372</v>
      </c>
      <c r="M38">
        <v>328</v>
      </c>
      <c r="N38">
        <v>296</v>
      </c>
      <c r="O38">
        <v>322</v>
      </c>
      <c r="P38">
        <v>326</v>
      </c>
      <c r="Q38">
        <v>334</v>
      </c>
      <c r="R38">
        <v>377</v>
      </c>
    </row>
    <row r="39" spans="1:18">
      <c r="A39" t="s">
        <v>1347</v>
      </c>
      <c r="B39" t="s">
        <v>197</v>
      </c>
      <c r="C39" t="s">
        <v>169</v>
      </c>
      <c r="D39">
        <v>231</v>
      </c>
      <c r="E39">
        <v>229</v>
      </c>
      <c r="F39">
        <v>231</v>
      </c>
      <c r="G39">
        <v>230</v>
      </c>
      <c r="H39">
        <v>190</v>
      </c>
      <c r="I39">
        <v>150</v>
      </c>
      <c r="J39">
        <v>126</v>
      </c>
      <c r="K39">
        <v>110</v>
      </c>
      <c r="L39">
        <v>103</v>
      </c>
      <c r="M39">
        <v>115</v>
      </c>
      <c r="N39">
        <v>84</v>
      </c>
      <c r="O39">
        <v>107</v>
      </c>
      <c r="P39">
        <v>94</v>
      </c>
      <c r="Q39">
        <v>106</v>
      </c>
      <c r="R39">
        <v>111</v>
      </c>
    </row>
    <row r="40" spans="1:18">
      <c r="A40" t="s">
        <v>1348</v>
      </c>
      <c r="B40" t="s">
        <v>197</v>
      </c>
      <c r="C40" t="s">
        <v>170</v>
      </c>
      <c r="D40">
        <v>109</v>
      </c>
      <c r="E40">
        <v>97</v>
      </c>
      <c r="F40">
        <v>106</v>
      </c>
      <c r="G40">
        <v>123</v>
      </c>
      <c r="H40">
        <v>124</v>
      </c>
      <c r="I40">
        <v>139</v>
      </c>
      <c r="J40">
        <v>121</v>
      </c>
      <c r="K40">
        <v>102</v>
      </c>
      <c r="L40">
        <v>77</v>
      </c>
      <c r="M40">
        <v>74</v>
      </c>
      <c r="N40">
        <v>47</v>
      </c>
      <c r="O40">
        <v>37</v>
      </c>
      <c r="P40">
        <v>41</v>
      </c>
      <c r="Q40">
        <v>42</v>
      </c>
      <c r="R40">
        <v>40</v>
      </c>
    </row>
    <row r="41" spans="1:18">
      <c r="A41" t="s">
        <v>1349</v>
      </c>
      <c r="B41" t="s">
        <v>197</v>
      </c>
      <c r="C41" t="s">
        <v>171</v>
      </c>
      <c r="D41">
        <v>91</v>
      </c>
      <c r="E41">
        <v>104</v>
      </c>
      <c r="F41">
        <v>111</v>
      </c>
      <c r="G41">
        <v>120</v>
      </c>
      <c r="H41">
        <v>110</v>
      </c>
      <c r="I41">
        <v>123</v>
      </c>
      <c r="J41">
        <v>143</v>
      </c>
      <c r="K41">
        <v>136</v>
      </c>
      <c r="L41">
        <v>146</v>
      </c>
      <c r="M41">
        <v>140</v>
      </c>
      <c r="N41">
        <v>90</v>
      </c>
      <c r="O41">
        <v>95</v>
      </c>
      <c r="P41">
        <v>69</v>
      </c>
      <c r="Q41">
        <v>72</v>
      </c>
      <c r="R41">
        <v>62</v>
      </c>
    </row>
    <row r="42" spans="1:18">
      <c r="A42" t="s">
        <v>1350</v>
      </c>
      <c r="B42" t="s">
        <v>197</v>
      </c>
      <c r="C42" t="s">
        <v>148</v>
      </c>
      <c r="D42">
        <v>0</v>
      </c>
      <c r="E42">
        <v>0</v>
      </c>
      <c r="F42">
        <v>0</v>
      </c>
      <c r="G42">
        <v>0</v>
      </c>
      <c r="H42">
        <v>0</v>
      </c>
      <c r="I42">
        <v>0</v>
      </c>
      <c r="J42">
        <v>0</v>
      </c>
      <c r="K42">
        <v>0</v>
      </c>
      <c r="L42">
        <v>0</v>
      </c>
      <c r="M42">
        <v>0</v>
      </c>
      <c r="N42">
        <v>0</v>
      </c>
      <c r="O42">
        <v>0</v>
      </c>
      <c r="P42">
        <v>0</v>
      </c>
      <c r="Q42">
        <v>0</v>
      </c>
      <c r="R42">
        <v>0</v>
      </c>
    </row>
    <row r="43" spans="1:18">
      <c r="A43" t="s">
        <v>1351</v>
      </c>
      <c r="B43" t="s">
        <v>197</v>
      </c>
      <c r="C43" t="s">
        <v>184</v>
      </c>
      <c r="D43">
        <v>0</v>
      </c>
      <c r="E43">
        <v>0</v>
      </c>
      <c r="F43">
        <v>0</v>
      </c>
      <c r="G43">
        <v>0</v>
      </c>
      <c r="H43">
        <v>0</v>
      </c>
      <c r="I43">
        <v>0</v>
      </c>
      <c r="J43">
        <v>0</v>
      </c>
      <c r="K43">
        <v>0</v>
      </c>
      <c r="L43">
        <v>0</v>
      </c>
      <c r="M43">
        <v>0</v>
      </c>
      <c r="N43">
        <v>0</v>
      </c>
      <c r="O43">
        <v>0</v>
      </c>
      <c r="P43">
        <v>0</v>
      </c>
      <c r="Q43">
        <v>0</v>
      </c>
      <c r="R43">
        <v>0</v>
      </c>
    </row>
    <row r="44" spans="1:18">
      <c r="A44" t="s">
        <v>1352</v>
      </c>
      <c r="B44" t="s">
        <v>197</v>
      </c>
      <c r="C44" s="4" t="s">
        <v>188</v>
      </c>
      <c r="D44">
        <v>431</v>
      </c>
      <c r="E44">
        <v>430</v>
      </c>
      <c r="F44">
        <v>448</v>
      </c>
      <c r="G44">
        <v>473</v>
      </c>
      <c r="H44">
        <v>424</v>
      </c>
      <c r="I44">
        <v>412</v>
      </c>
      <c r="J44">
        <v>390</v>
      </c>
      <c r="K44">
        <v>348</v>
      </c>
      <c r="L44">
        <v>326</v>
      </c>
      <c r="M44">
        <v>329</v>
      </c>
      <c r="N44">
        <v>221</v>
      </c>
      <c r="O44">
        <v>239</v>
      </c>
      <c r="P44">
        <v>204</v>
      </c>
      <c r="Q44">
        <v>220</v>
      </c>
      <c r="R44">
        <v>213</v>
      </c>
    </row>
    <row r="45" spans="1:18">
      <c r="A45" t="s">
        <v>1353</v>
      </c>
      <c r="B45" t="s">
        <v>197</v>
      </c>
      <c r="C45" s="35" t="s">
        <v>189</v>
      </c>
      <c r="D45">
        <v>200</v>
      </c>
      <c r="E45">
        <v>201</v>
      </c>
      <c r="F45">
        <v>217</v>
      </c>
      <c r="G45">
        <v>243</v>
      </c>
      <c r="H45">
        <v>234</v>
      </c>
      <c r="I45">
        <v>262</v>
      </c>
      <c r="J45">
        <v>264</v>
      </c>
      <c r="K45">
        <v>238</v>
      </c>
      <c r="L45">
        <v>223</v>
      </c>
      <c r="M45">
        <v>214</v>
      </c>
      <c r="N45">
        <v>137</v>
      </c>
      <c r="O45">
        <v>132</v>
      </c>
      <c r="P45">
        <v>110</v>
      </c>
      <c r="Q45">
        <v>114</v>
      </c>
      <c r="R45">
        <v>102</v>
      </c>
    </row>
    <row r="46" spans="1:18">
      <c r="A46" t="s">
        <v>1354</v>
      </c>
      <c r="B46" t="s">
        <v>197</v>
      </c>
      <c r="C46" t="s">
        <v>172</v>
      </c>
      <c r="D46">
        <v>0</v>
      </c>
      <c r="E46">
        <v>0</v>
      </c>
      <c r="F46">
        <v>0</v>
      </c>
      <c r="G46">
        <v>0</v>
      </c>
      <c r="H46">
        <v>0</v>
      </c>
      <c r="I46">
        <v>0</v>
      </c>
      <c r="J46">
        <v>0</v>
      </c>
      <c r="K46">
        <v>0</v>
      </c>
      <c r="L46">
        <v>0</v>
      </c>
      <c r="M46">
        <v>0</v>
      </c>
      <c r="N46">
        <v>0</v>
      </c>
      <c r="O46">
        <v>0</v>
      </c>
      <c r="P46">
        <v>0</v>
      </c>
      <c r="Q46">
        <v>0</v>
      </c>
      <c r="R46">
        <v>0</v>
      </c>
    </row>
    <row r="47" spans="1:18">
      <c r="A47" t="s">
        <v>1355</v>
      </c>
      <c r="B47" t="s">
        <v>197</v>
      </c>
      <c r="C47" t="s">
        <v>30</v>
      </c>
      <c r="D47">
        <v>0</v>
      </c>
      <c r="E47">
        <v>0</v>
      </c>
      <c r="F47">
        <v>0</v>
      </c>
      <c r="G47">
        <v>0</v>
      </c>
      <c r="H47">
        <v>0</v>
      </c>
      <c r="I47">
        <v>0</v>
      </c>
      <c r="J47">
        <v>0</v>
      </c>
      <c r="K47">
        <v>0</v>
      </c>
      <c r="L47">
        <v>0</v>
      </c>
      <c r="M47">
        <v>0</v>
      </c>
      <c r="N47">
        <v>0</v>
      </c>
      <c r="O47">
        <v>0</v>
      </c>
      <c r="P47">
        <v>0</v>
      </c>
      <c r="Q47">
        <v>0</v>
      </c>
      <c r="R47">
        <v>0</v>
      </c>
    </row>
    <row r="48" spans="1:18">
      <c r="A48" t="s">
        <v>1356</v>
      </c>
      <c r="B48" t="s">
        <v>197</v>
      </c>
      <c r="C48" t="s">
        <v>177</v>
      </c>
      <c r="D48">
        <v>0</v>
      </c>
      <c r="E48">
        <v>0</v>
      </c>
      <c r="F48">
        <v>0</v>
      </c>
      <c r="G48">
        <v>0</v>
      </c>
      <c r="H48">
        <v>0</v>
      </c>
      <c r="I48">
        <v>0</v>
      </c>
      <c r="J48">
        <v>0</v>
      </c>
      <c r="K48">
        <v>0</v>
      </c>
      <c r="L48">
        <v>0</v>
      </c>
      <c r="M48">
        <v>0</v>
      </c>
      <c r="N48">
        <v>0</v>
      </c>
      <c r="O48">
        <v>0</v>
      </c>
      <c r="P48">
        <v>0</v>
      </c>
      <c r="Q48">
        <v>0</v>
      </c>
      <c r="R48">
        <v>0</v>
      </c>
    </row>
    <row r="49" spans="1:18">
      <c r="A49" t="s">
        <v>1357</v>
      </c>
      <c r="B49" t="s">
        <v>197</v>
      </c>
      <c r="C49" t="s">
        <v>178</v>
      </c>
      <c r="D49" s="3">
        <v>0</v>
      </c>
      <c r="E49" s="3">
        <v>0</v>
      </c>
      <c r="F49" s="3">
        <v>0</v>
      </c>
      <c r="G49" s="3">
        <v>0</v>
      </c>
      <c r="H49" s="3">
        <v>0</v>
      </c>
      <c r="I49" s="3">
        <v>0</v>
      </c>
      <c r="J49">
        <v>0</v>
      </c>
      <c r="K49">
        <v>0</v>
      </c>
      <c r="L49">
        <v>0</v>
      </c>
      <c r="M49">
        <v>0</v>
      </c>
      <c r="N49">
        <v>0</v>
      </c>
      <c r="O49">
        <v>0</v>
      </c>
      <c r="P49">
        <v>0</v>
      </c>
      <c r="Q49">
        <v>0</v>
      </c>
      <c r="R49">
        <v>0</v>
      </c>
    </row>
    <row r="50" spans="1:18">
      <c r="A50" t="s">
        <v>1358</v>
      </c>
      <c r="B50" t="s">
        <v>194</v>
      </c>
      <c r="C50" t="s">
        <v>193</v>
      </c>
      <c r="D50">
        <v>333</v>
      </c>
      <c r="E50">
        <v>343</v>
      </c>
      <c r="F50">
        <v>427</v>
      </c>
      <c r="G50">
        <v>537</v>
      </c>
      <c r="H50">
        <v>382</v>
      </c>
      <c r="I50">
        <v>325</v>
      </c>
      <c r="J50">
        <v>337</v>
      </c>
      <c r="K50">
        <v>580</v>
      </c>
      <c r="L50">
        <v>695</v>
      </c>
      <c r="M50">
        <v>583</v>
      </c>
      <c r="N50">
        <v>611</v>
      </c>
      <c r="O50">
        <v>649</v>
      </c>
      <c r="P50">
        <v>752</v>
      </c>
      <c r="Q50">
        <v>710</v>
      </c>
      <c r="R50">
        <v>735</v>
      </c>
    </row>
    <row r="51" spans="1:18">
      <c r="A51" t="s">
        <v>1359</v>
      </c>
      <c r="B51" t="s">
        <v>194</v>
      </c>
      <c r="C51" s="4" t="s">
        <v>34</v>
      </c>
      <c r="D51">
        <v>148</v>
      </c>
      <c r="E51">
        <v>145</v>
      </c>
      <c r="F51">
        <v>188</v>
      </c>
      <c r="G51">
        <v>274</v>
      </c>
      <c r="H51">
        <v>172</v>
      </c>
      <c r="I51">
        <v>154</v>
      </c>
      <c r="J51">
        <v>181</v>
      </c>
      <c r="K51">
        <v>428</v>
      </c>
      <c r="L51">
        <v>530</v>
      </c>
      <c r="M51">
        <v>437</v>
      </c>
      <c r="N51">
        <v>444</v>
      </c>
      <c r="O51">
        <v>463</v>
      </c>
      <c r="P51">
        <v>540</v>
      </c>
      <c r="Q51">
        <v>540</v>
      </c>
      <c r="R51">
        <v>569</v>
      </c>
    </row>
    <row r="52" spans="1:18">
      <c r="A52" t="s">
        <v>1360</v>
      </c>
      <c r="B52" t="s">
        <v>194</v>
      </c>
      <c r="C52" t="s">
        <v>169</v>
      </c>
      <c r="D52">
        <v>185</v>
      </c>
      <c r="E52">
        <v>198</v>
      </c>
      <c r="F52">
        <v>239</v>
      </c>
      <c r="G52">
        <v>263</v>
      </c>
      <c r="H52">
        <v>210</v>
      </c>
      <c r="I52">
        <v>171</v>
      </c>
      <c r="J52">
        <v>156</v>
      </c>
      <c r="K52">
        <v>152</v>
      </c>
      <c r="L52">
        <v>165</v>
      </c>
      <c r="M52">
        <v>146</v>
      </c>
      <c r="N52">
        <v>167</v>
      </c>
      <c r="O52">
        <v>186</v>
      </c>
      <c r="P52">
        <v>212</v>
      </c>
      <c r="Q52">
        <v>170</v>
      </c>
      <c r="R52">
        <v>166</v>
      </c>
    </row>
    <row r="53" spans="1:18">
      <c r="A53" t="s">
        <v>1361</v>
      </c>
      <c r="B53" t="s">
        <v>194</v>
      </c>
      <c r="C53" t="s">
        <v>170</v>
      </c>
      <c r="D53">
        <v>0</v>
      </c>
      <c r="E53">
        <v>0</v>
      </c>
      <c r="F53">
        <v>0</v>
      </c>
      <c r="G53">
        <v>0</v>
      </c>
      <c r="H53">
        <v>0</v>
      </c>
      <c r="I53">
        <v>0</v>
      </c>
      <c r="J53">
        <v>0</v>
      </c>
      <c r="K53">
        <v>0</v>
      </c>
      <c r="L53">
        <v>0</v>
      </c>
      <c r="M53">
        <v>0</v>
      </c>
      <c r="N53">
        <v>0</v>
      </c>
      <c r="O53">
        <v>0</v>
      </c>
      <c r="P53">
        <v>0</v>
      </c>
      <c r="Q53">
        <v>0</v>
      </c>
      <c r="R53">
        <v>0</v>
      </c>
    </row>
    <row r="54" spans="1:18">
      <c r="A54" t="s">
        <v>1362</v>
      </c>
      <c r="B54" t="s">
        <v>194</v>
      </c>
      <c r="C54" t="s">
        <v>171</v>
      </c>
      <c r="D54">
        <v>0</v>
      </c>
      <c r="E54">
        <v>0</v>
      </c>
      <c r="F54">
        <v>0</v>
      </c>
      <c r="G54">
        <v>0</v>
      </c>
      <c r="H54">
        <v>0</v>
      </c>
      <c r="I54">
        <v>0</v>
      </c>
      <c r="J54">
        <v>0</v>
      </c>
      <c r="K54">
        <v>0</v>
      </c>
      <c r="L54">
        <v>0</v>
      </c>
      <c r="M54">
        <v>0</v>
      </c>
      <c r="N54">
        <v>0</v>
      </c>
      <c r="O54">
        <v>0</v>
      </c>
      <c r="P54">
        <v>0</v>
      </c>
      <c r="Q54">
        <v>0</v>
      </c>
      <c r="R54">
        <v>0</v>
      </c>
    </row>
    <row r="55" spans="1:18">
      <c r="A55" t="s">
        <v>1363</v>
      </c>
      <c r="B55" t="s">
        <v>194</v>
      </c>
      <c r="C55" t="s">
        <v>148</v>
      </c>
      <c r="D55">
        <v>0</v>
      </c>
      <c r="E55">
        <v>0</v>
      </c>
      <c r="F55">
        <v>0</v>
      </c>
      <c r="G55">
        <v>0</v>
      </c>
      <c r="H55">
        <v>0</v>
      </c>
      <c r="I55">
        <v>0</v>
      </c>
      <c r="J55">
        <v>0</v>
      </c>
      <c r="K55">
        <v>0</v>
      </c>
      <c r="L55">
        <v>0</v>
      </c>
      <c r="M55">
        <v>0</v>
      </c>
      <c r="N55">
        <v>0</v>
      </c>
      <c r="O55">
        <v>0</v>
      </c>
      <c r="P55">
        <v>0</v>
      </c>
      <c r="Q55">
        <v>0</v>
      </c>
      <c r="R55">
        <v>0</v>
      </c>
    </row>
    <row r="56" spans="1:18">
      <c r="A56" t="s">
        <v>1364</v>
      </c>
      <c r="B56" t="s">
        <v>194</v>
      </c>
      <c r="C56" t="s">
        <v>184</v>
      </c>
      <c r="D56">
        <v>0</v>
      </c>
      <c r="E56">
        <v>0</v>
      </c>
      <c r="F56">
        <v>0</v>
      </c>
      <c r="G56">
        <v>0</v>
      </c>
      <c r="H56">
        <v>0</v>
      </c>
      <c r="I56">
        <v>0</v>
      </c>
      <c r="J56">
        <v>0</v>
      </c>
      <c r="K56">
        <v>0</v>
      </c>
      <c r="L56">
        <v>0</v>
      </c>
      <c r="M56">
        <v>0</v>
      </c>
      <c r="N56">
        <v>0</v>
      </c>
      <c r="O56">
        <v>0</v>
      </c>
      <c r="P56">
        <v>0</v>
      </c>
      <c r="Q56">
        <v>0</v>
      </c>
      <c r="R56">
        <v>0</v>
      </c>
    </row>
    <row r="57" spans="1:18">
      <c r="A57" t="s">
        <v>1365</v>
      </c>
      <c r="B57" t="s">
        <v>194</v>
      </c>
      <c r="C57" s="4" t="s">
        <v>188</v>
      </c>
      <c r="D57">
        <v>113</v>
      </c>
      <c r="E57">
        <v>111</v>
      </c>
      <c r="F57">
        <v>165</v>
      </c>
      <c r="G57">
        <v>192</v>
      </c>
      <c r="H57">
        <v>148</v>
      </c>
      <c r="I57">
        <v>96</v>
      </c>
      <c r="J57">
        <v>76</v>
      </c>
      <c r="K57">
        <v>73</v>
      </c>
      <c r="L57">
        <v>87</v>
      </c>
      <c r="M57">
        <v>80</v>
      </c>
      <c r="N57">
        <v>105</v>
      </c>
      <c r="O57">
        <v>139</v>
      </c>
      <c r="P57">
        <v>164</v>
      </c>
      <c r="Q57">
        <v>111</v>
      </c>
      <c r="R57">
        <v>105</v>
      </c>
    </row>
    <row r="58" spans="1:18">
      <c r="A58" t="s">
        <v>1366</v>
      </c>
      <c r="B58" t="s">
        <v>194</v>
      </c>
      <c r="C58" s="35" t="s">
        <v>189</v>
      </c>
      <c r="D58">
        <v>72</v>
      </c>
      <c r="E58">
        <v>87</v>
      </c>
      <c r="F58">
        <v>74</v>
      </c>
      <c r="G58">
        <v>71</v>
      </c>
      <c r="H58">
        <v>62</v>
      </c>
      <c r="I58">
        <v>75</v>
      </c>
      <c r="J58">
        <v>80</v>
      </c>
      <c r="K58">
        <v>79</v>
      </c>
      <c r="L58">
        <v>78</v>
      </c>
      <c r="M58">
        <v>66</v>
      </c>
      <c r="N58">
        <v>62</v>
      </c>
      <c r="O58">
        <v>47</v>
      </c>
      <c r="P58">
        <v>48</v>
      </c>
      <c r="Q58">
        <v>59</v>
      </c>
      <c r="R58">
        <v>61</v>
      </c>
    </row>
    <row r="59" spans="1:18">
      <c r="A59" t="s">
        <v>1367</v>
      </c>
      <c r="B59" t="s">
        <v>194</v>
      </c>
      <c r="C59" t="s">
        <v>172</v>
      </c>
      <c r="D59">
        <v>58</v>
      </c>
      <c r="E59">
        <v>56</v>
      </c>
      <c r="F59">
        <v>52</v>
      </c>
      <c r="G59">
        <v>53</v>
      </c>
      <c r="H59">
        <v>52</v>
      </c>
      <c r="I59">
        <v>60</v>
      </c>
      <c r="J59">
        <v>61</v>
      </c>
      <c r="K59">
        <v>61</v>
      </c>
      <c r="L59">
        <v>45</v>
      </c>
      <c r="M59">
        <v>35</v>
      </c>
      <c r="N59">
        <v>36</v>
      </c>
      <c r="O59">
        <v>20</v>
      </c>
      <c r="P59">
        <v>29</v>
      </c>
      <c r="Q59">
        <v>41</v>
      </c>
      <c r="R59">
        <v>44</v>
      </c>
    </row>
    <row r="60" spans="1:18">
      <c r="A60" t="s">
        <v>1368</v>
      </c>
      <c r="B60" t="s">
        <v>194</v>
      </c>
      <c r="C60" t="s">
        <v>30</v>
      </c>
      <c r="D60">
        <v>14</v>
      </c>
      <c r="E60">
        <v>31</v>
      </c>
      <c r="F60">
        <v>22</v>
      </c>
      <c r="G60">
        <v>18</v>
      </c>
      <c r="H60">
        <v>10</v>
      </c>
      <c r="I60">
        <v>15</v>
      </c>
      <c r="J60">
        <v>19</v>
      </c>
      <c r="K60">
        <v>18</v>
      </c>
      <c r="L60">
        <v>33</v>
      </c>
      <c r="M60">
        <v>31</v>
      </c>
      <c r="N60">
        <v>26</v>
      </c>
      <c r="O60">
        <v>27</v>
      </c>
      <c r="P60">
        <v>19</v>
      </c>
      <c r="Q60">
        <v>18</v>
      </c>
      <c r="R60">
        <v>17</v>
      </c>
    </row>
    <row r="61" spans="1:18">
      <c r="A61" t="s">
        <v>1369</v>
      </c>
      <c r="B61" t="s">
        <v>195</v>
      </c>
      <c r="C61" t="s">
        <v>193</v>
      </c>
      <c r="D61">
        <v>22</v>
      </c>
      <c r="E61">
        <v>17</v>
      </c>
      <c r="F61">
        <v>66</v>
      </c>
      <c r="G61">
        <v>84</v>
      </c>
      <c r="H61">
        <v>30</v>
      </c>
      <c r="I61">
        <v>27</v>
      </c>
      <c r="J61">
        <v>33</v>
      </c>
      <c r="K61">
        <v>46</v>
      </c>
      <c r="L61">
        <v>56</v>
      </c>
      <c r="M61">
        <v>44</v>
      </c>
      <c r="N61">
        <v>47</v>
      </c>
      <c r="O61">
        <v>53</v>
      </c>
      <c r="P61">
        <v>53</v>
      </c>
      <c r="Q61">
        <v>61</v>
      </c>
      <c r="R61">
        <v>73</v>
      </c>
    </row>
    <row r="62" spans="1:18">
      <c r="A62" t="s">
        <v>1370</v>
      </c>
      <c r="B62" t="s">
        <v>195</v>
      </c>
      <c r="C62" s="4" t="s">
        <v>34</v>
      </c>
      <c r="D62">
        <v>17</v>
      </c>
      <c r="E62">
        <v>11</v>
      </c>
      <c r="F62">
        <v>31</v>
      </c>
      <c r="G62">
        <v>40</v>
      </c>
      <c r="H62">
        <v>4</v>
      </c>
      <c r="I62">
        <v>3</v>
      </c>
      <c r="J62">
        <v>12</v>
      </c>
      <c r="K62">
        <v>29</v>
      </c>
      <c r="L62">
        <v>41</v>
      </c>
      <c r="M62">
        <v>29</v>
      </c>
      <c r="N62">
        <v>27</v>
      </c>
      <c r="O62">
        <v>36</v>
      </c>
      <c r="P62">
        <v>32</v>
      </c>
      <c r="Q62">
        <v>37</v>
      </c>
      <c r="R62">
        <v>49</v>
      </c>
    </row>
    <row r="63" spans="1:18">
      <c r="A63" t="s">
        <v>1371</v>
      </c>
      <c r="B63" t="s">
        <v>195</v>
      </c>
      <c r="C63" t="s">
        <v>169</v>
      </c>
      <c r="D63">
        <v>5</v>
      </c>
      <c r="E63">
        <v>6</v>
      </c>
      <c r="F63">
        <v>35</v>
      </c>
      <c r="G63">
        <v>44</v>
      </c>
      <c r="H63">
        <v>26</v>
      </c>
      <c r="I63">
        <v>24</v>
      </c>
      <c r="J63">
        <v>21</v>
      </c>
      <c r="K63">
        <v>17</v>
      </c>
      <c r="L63">
        <v>15</v>
      </c>
      <c r="M63">
        <v>15</v>
      </c>
      <c r="N63">
        <v>20</v>
      </c>
      <c r="O63">
        <v>17</v>
      </c>
      <c r="P63">
        <v>21</v>
      </c>
      <c r="Q63">
        <v>24</v>
      </c>
      <c r="R63">
        <v>24</v>
      </c>
    </row>
    <row r="64" spans="1:18">
      <c r="A64" t="s">
        <v>1372</v>
      </c>
      <c r="B64" t="s">
        <v>195</v>
      </c>
      <c r="C64" t="s">
        <v>170</v>
      </c>
      <c r="D64">
        <v>0</v>
      </c>
      <c r="E64">
        <v>0</v>
      </c>
      <c r="F64">
        <v>0</v>
      </c>
      <c r="G64">
        <v>0</v>
      </c>
      <c r="H64">
        <v>0</v>
      </c>
      <c r="I64">
        <v>0</v>
      </c>
      <c r="J64">
        <v>0</v>
      </c>
      <c r="K64">
        <v>0</v>
      </c>
      <c r="L64">
        <v>0</v>
      </c>
      <c r="M64">
        <v>0</v>
      </c>
      <c r="N64">
        <v>0</v>
      </c>
      <c r="O64">
        <v>0</v>
      </c>
      <c r="P64">
        <v>0</v>
      </c>
      <c r="Q64">
        <v>0</v>
      </c>
      <c r="R64">
        <v>0</v>
      </c>
    </row>
    <row r="65" spans="1:18">
      <c r="A65" t="s">
        <v>1373</v>
      </c>
      <c r="B65" t="s">
        <v>195</v>
      </c>
      <c r="C65" t="s">
        <v>171</v>
      </c>
      <c r="D65">
        <v>0</v>
      </c>
      <c r="E65">
        <v>0</v>
      </c>
      <c r="F65">
        <v>0</v>
      </c>
      <c r="G65">
        <v>0</v>
      </c>
      <c r="H65">
        <v>0</v>
      </c>
      <c r="I65">
        <v>0</v>
      </c>
      <c r="J65">
        <v>0</v>
      </c>
      <c r="K65">
        <v>0</v>
      </c>
      <c r="L65">
        <v>0</v>
      </c>
      <c r="M65">
        <v>0</v>
      </c>
      <c r="N65">
        <v>0</v>
      </c>
      <c r="O65">
        <v>0</v>
      </c>
      <c r="P65">
        <v>0</v>
      </c>
      <c r="Q65">
        <v>0</v>
      </c>
      <c r="R65">
        <v>0</v>
      </c>
    </row>
    <row r="66" spans="1:18">
      <c r="A66" t="s">
        <v>1374</v>
      </c>
      <c r="B66" t="s">
        <v>195</v>
      </c>
      <c r="C66" t="s">
        <v>148</v>
      </c>
      <c r="D66">
        <v>0</v>
      </c>
      <c r="E66">
        <v>0</v>
      </c>
      <c r="F66">
        <v>0</v>
      </c>
      <c r="G66">
        <v>0</v>
      </c>
      <c r="H66">
        <v>0</v>
      </c>
      <c r="I66">
        <v>0</v>
      </c>
      <c r="J66">
        <v>0</v>
      </c>
      <c r="K66">
        <v>0</v>
      </c>
      <c r="L66">
        <v>0</v>
      </c>
      <c r="M66">
        <v>0</v>
      </c>
      <c r="N66">
        <v>0</v>
      </c>
      <c r="O66">
        <v>0</v>
      </c>
      <c r="P66">
        <v>0</v>
      </c>
      <c r="Q66">
        <v>0</v>
      </c>
      <c r="R66">
        <v>0</v>
      </c>
    </row>
    <row r="67" spans="1:18">
      <c r="A67" t="s">
        <v>1375</v>
      </c>
      <c r="B67" t="s">
        <v>195</v>
      </c>
      <c r="C67" t="s">
        <v>184</v>
      </c>
      <c r="D67">
        <v>0</v>
      </c>
      <c r="E67">
        <v>0</v>
      </c>
      <c r="F67">
        <v>0</v>
      </c>
      <c r="G67">
        <v>0</v>
      </c>
      <c r="H67">
        <v>0</v>
      </c>
      <c r="I67">
        <v>0</v>
      </c>
      <c r="J67">
        <v>0</v>
      </c>
      <c r="K67">
        <v>0</v>
      </c>
      <c r="L67">
        <v>0</v>
      </c>
      <c r="M67">
        <v>0</v>
      </c>
      <c r="N67">
        <v>0</v>
      </c>
      <c r="O67">
        <v>0</v>
      </c>
      <c r="P67">
        <v>0</v>
      </c>
      <c r="Q67">
        <v>0</v>
      </c>
      <c r="R67">
        <v>0</v>
      </c>
    </row>
    <row r="68" spans="1:18">
      <c r="A68" t="s">
        <v>1376</v>
      </c>
      <c r="B68" t="s">
        <v>195</v>
      </c>
      <c r="C68" s="4" t="s">
        <v>188</v>
      </c>
      <c r="D68">
        <v>3</v>
      </c>
      <c r="E68">
        <v>5</v>
      </c>
      <c r="F68">
        <v>31</v>
      </c>
      <c r="G68">
        <v>38</v>
      </c>
      <c r="H68">
        <v>19</v>
      </c>
      <c r="I68">
        <v>13</v>
      </c>
      <c r="J68">
        <v>7</v>
      </c>
      <c r="K68">
        <v>5</v>
      </c>
      <c r="L68">
        <v>5</v>
      </c>
      <c r="M68">
        <v>6</v>
      </c>
      <c r="N68">
        <v>11</v>
      </c>
      <c r="O68">
        <v>10</v>
      </c>
      <c r="P68">
        <v>16</v>
      </c>
      <c r="Q68">
        <v>16</v>
      </c>
      <c r="R68">
        <v>16</v>
      </c>
    </row>
    <row r="69" spans="1:18">
      <c r="A69" t="s">
        <v>1377</v>
      </c>
      <c r="B69" t="s">
        <v>195</v>
      </c>
      <c r="C69" s="35" t="s">
        <v>189</v>
      </c>
      <c r="D69">
        <v>2</v>
      </c>
      <c r="E69">
        <v>1</v>
      </c>
      <c r="F69">
        <v>4</v>
      </c>
      <c r="G69">
        <v>6</v>
      </c>
      <c r="H69">
        <v>7</v>
      </c>
      <c r="I69">
        <v>11</v>
      </c>
      <c r="J69">
        <v>14</v>
      </c>
      <c r="K69">
        <v>12</v>
      </c>
      <c r="L69">
        <v>10</v>
      </c>
      <c r="M69">
        <v>9</v>
      </c>
      <c r="N69">
        <v>9</v>
      </c>
      <c r="O69">
        <v>7</v>
      </c>
      <c r="P69">
        <v>5</v>
      </c>
      <c r="Q69">
        <v>8</v>
      </c>
      <c r="R69">
        <v>8</v>
      </c>
    </row>
    <row r="70" spans="1:18">
      <c r="A70" t="s">
        <v>1378</v>
      </c>
      <c r="B70" t="s">
        <v>195</v>
      </c>
      <c r="C70" t="s">
        <v>172</v>
      </c>
      <c r="D70">
        <v>1</v>
      </c>
      <c r="E70">
        <v>0</v>
      </c>
      <c r="F70">
        <v>3</v>
      </c>
      <c r="G70">
        <v>5</v>
      </c>
      <c r="H70">
        <v>6</v>
      </c>
      <c r="I70">
        <v>11</v>
      </c>
      <c r="J70">
        <v>14</v>
      </c>
      <c r="K70">
        <v>12</v>
      </c>
      <c r="L70">
        <v>7</v>
      </c>
      <c r="M70">
        <v>4</v>
      </c>
      <c r="N70">
        <v>3</v>
      </c>
      <c r="O70">
        <v>1</v>
      </c>
      <c r="P70">
        <v>2</v>
      </c>
      <c r="Q70">
        <v>6</v>
      </c>
      <c r="R70">
        <v>6</v>
      </c>
    </row>
    <row r="71" spans="1:18">
      <c r="A71" t="s">
        <v>1379</v>
      </c>
      <c r="B71" t="s">
        <v>195</v>
      </c>
      <c r="C71" t="s">
        <v>30</v>
      </c>
      <c r="D71">
        <v>1</v>
      </c>
      <c r="E71">
        <v>1</v>
      </c>
      <c r="F71">
        <v>1</v>
      </c>
      <c r="G71">
        <v>1</v>
      </c>
      <c r="H71">
        <v>1</v>
      </c>
      <c r="I71">
        <v>0</v>
      </c>
      <c r="J71">
        <v>0</v>
      </c>
      <c r="K71">
        <v>0</v>
      </c>
      <c r="L71">
        <v>3</v>
      </c>
      <c r="M71">
        <v>5</v>
      </c>
      <c r="N71">
        <v>6</v>
      </c>
      <c r="O71">
        <v>6</v>
      </c>
      <c r="P71">
        <v>3</v>
      </c>
      <c r="Q71">
        <v>2</v>
      </c>
      <c r="R71">
        <v>2</v>
      </c>
    </row>
    <row r="72" spans="1:18">
      <c r="A72" t="s">
        <v>1380</v>
      </c>
      <c r="B72" t="s">
        <v>196</v>
      </c>
      <c r="C72" t="s">
        <v>193</v>
      </c>
      <c r="D72">
        <v>333</v>
      </c>
      <c r="E72">
        <v>343</v>
      </c>
      <c r="F72">
        <v>427</v>
      </c>
      <c r="G72">
        <v>537</v>
      </c>
      <c r="H72">
        <v>382</v>
      </c>
      <c r="I72">
        <v>325</v>
      </c>
      <c r="J72">
        <v>337</v>
      </c>
      <c r="K72">
        <v>580</v>
      </c>
      <c r="L72">
        <v>695</v>
      </c>
      <c r="M72">
        <v>583</v>
      </c>
      <c r="N72">
        <v>611</v>
      </c>
      <c r="O72">
        <v>649</v>
      </c>
      <c r="P72">
        <v>752</v>
      </c>
      <c r="Q72">
        <v>710</v>
      </c>
      <c r="R72">
        <v>735</v>
      </c>
    </row>
    <row r="73" spans="1:18">
      <c r="A73" t="s">
        <v>1381</v>
      </c>
      <c r="B73" t="s">
        <v>196</v>
      </c>
      <c r="C73" s="4" t="s">
        <v>34</v>
      </c>
      <c r="D73">
        <v>145</v>
      </c>
      <c r="E73">
        <v>143</v>
      </c>
      <c r="F73">
        <v>177</v>
      </c>
      <c r="G73">
        <v>267</v>
      </c>
      <c r="H73">
        <v>168</v>
      </c>
      <c r="I73">
        <v>152</v>
      </c>
      <c r="J73">
        <v>179</v>
      </c>
      <c r="K73">
        <v>420</v>
      </c>
      <c r="L73">
        <v>520</v>
      </c>
      <c r="M73">
        <v>423</v>
      </c>
      <c r="N73">
        <v>426</v>
      </c>
      <c r="O73">
        <v>442</v>
      </c>
      <c r="P73">
        <v>522</v>
      </c>
      <c r="Q73">
        <v>521</v>
      </c>
      <c r="R73">
        <v>554</v>
      </c>
    </row>
    <row r="74" spans="1:18">
      <c r="A74" t="s">
        <v>1382</v>
      </c>
      <c r="B74" t="s">
        <v>196</v>
      </c>
      <c r="C74" t="s">
        <v>169</v>
      </c>
      <c r="D74">
        <v>188</v>
      </c>
      <c r="E74">
        <v>200</v>
      </c>
      <c r="F74">
        <v>250</v>
      </c>
      <c r="G74">
        <v>270</v>
      </c>
      <c r="H74">
        <v>214</v>
      </c>
      <c r="I74">
        <v>173</v>
      </c>
      <c r="J74">
        <v>158</v>
      </c>
      <c r="K74">
        <v>160</v>
      </c>
      <c r="L74">
        <v>175</v>
      </c>
      <c r="M74">
        <v>160</v>
      </c>
      <c r="N74">
        <v>185</v>
      </c>
      <c r="O74">
        <v>207</v>
      </c>
      <c r="P74">
        <v>230</v>
      </c>
      <c r="Q74">
        <v>189</v>
      </c>
      <c r="R74">
        <v>181</v>
      </c>
    </row>
    <row r="75" spans="1:18">
      <c r="A75" t="s">
        <v>1383</v>
      </c>
      <c r="B75" t="s">
        <v>196</v>
      </c>
      <c r="C75" t="s">
        <v>170</v>
      </c>
      <c r="D75">
        <v>0</v>
      </c>
      <c r="E75">
        <v>0</v>
      </c>
      <c r="F75">
        <v>0</v>
      </c>
      <c r="G75">
        <v>0</v>
      </c>
      <c r="H75">
        <v>0</v>
      </c>
      <c r="I75">
        <v>0</v>
      </c>
      <c r="J75">
        <v>0</v>
      </c>
      <c r="K75">
        <v>0</v>
      </c>
      <c r="L75">
        <v>0</v>
      </c>
      <c r="M75">
        <v>0</v>
      </c>
      <c r="N75">
        <v>0</v>
      </c>
      <c r="O75">
        <v>0</v>
      </c>
      <c r="P75">
        <v>0</v>
      </c>
      <c r="Q75">
        <v>0</v>
      </c>
      <c r="R75">
        <v>0</v>
      </c>
    </row>
    <row r="76" spans="1:18">
      <c r="A76" t="s">
        <v>1384</v>
      </c>
      <c r="B76" t="s">
        <v>196</v>
      </c>
      <c r="C76" t="s">
        <v>171</v>
      </c>
      <c r="D76">
        <v>0</v>
      </c>
      <c r="E76">
        <v>0</v>
      </c>
      <c r="F76">
        <v>0</v>
      </c>
      <c r="G76">
        <v>0</v>
      </c>
      <c r="H76">
        <v>0</v>
      </c>
      <c r="I76">
        <v>0</v>
      </c>
      <c r="J76">
        <v>0</v>
      </c>
      <c r="K76">
        <v>0</v>
      </c>
      <c r="L76">
        <v>0</v>
      </c>
      <c r="M76">
        <v>0</v>
      </c>
      <c r="N76">
        <v>0</v>
      </c>
      <c r="O76">
        <v>0</v>
      </c>
      <c r="P76">
        <v>0</v>
      </c>
      <c r="Q76">
        <v>0</v>
      </c>
      <c r="R76">
        <v>0</v>
      </c>
    </row>
    <row r="77" spans="1:18">
      <c r="A77" t="s">
        <v>1385</v>
      </c>
      <c r="B77" t="s">
        <v>196</v>
      </c>
      <c r="C77" t="s">
        <v>148</v>
      </c>
      <c r="D77">
        <v>0</v>
      </c>
      <c r="E77">
        <v>0</v>
      </c>
      <c r="F77">
        <v>0</v>
      </c>
      <c r="G77">
        <v>0</v>
      </c>
      <c r="H77">
        <v>0</v>
      </c>
      <c r="I77">
        <v>0</v>
      </c>
      <c r="J77">
        <v>0</v>
      </c>
      <c r="K77">
        <v>0</v>
      </c>
      <c r="L77">
        <v>0</v>
      </c>
      <c r="M77">
        <v>0</v>
      </c>
      <c r="N77">
        <v>0</v>
      </c>
      <c r="O77">
        <v>0</v>
      </c>
      <c r="P77">
        <v>0</v>
      </c>
      <c r="Q77">
        <v>0</v>
      </c>
      <c r="R77">
        <v>0</v>
      </c>
    </row>
    <row r="78" spans="1:18">
      <c r="A78" t="s">
        <v>1386</v>
      </c>
      <c r="B78" t="s">
        <v>196</v>
      </c>
      <c r="C78" t="s">
        <v>184</v>
      </c>
      <c r="D78">
        <v>0</v>
      </c>
      <c r="E78">
        <v>0</v>
      </c>
      <c r="F78">
        <v>0</v>
      </c>
      <c r="G78">
        <v>0</v>
      </c>
      <c r="H78">
        <v>0</v>
      </c>
      <c r="I78">
        <v>0</v>
      </c>
      <c r="J78">
        <v>0</v>
      </c>
      <c r="K78">
        <v>0</v>
      </c>
      <c r="L78">
        <v>0</v>
      </c>
      <c r="M78">
        <v>0</v>
      </c>
      <c r="N78">
        <v>0</v>
      </c>
      <c r="O78">
        <v>0</v>
      </c>
      <c r="P78">
        <v>0</v>
      </c>
      <c r="Q78">
        <v>0</v>
      </c>
      <c r="R78">
        <v>0</v>
      </c>
    </row>
    <row r="79" spans="1:18">
      <c r="A79" t="s">
        <v>1387</v>
      </c>
      <c r="B79" t="s">
        <v>196</v>
      </c>
      <c r="C79" s="4" t="s">
        <v>188</v>
      </c>
      <c r="D79">
        <v>113</v>
      </c>
      <c r="E79">
        <v>110</v>
      </c>
      <c r="F79">
        <v>168</v>
      </c>
      <c r="G79">
        <v>180</v>
      </c>
      <c r="H79">
        <v>136</v>
      </c>
      <c r="I79">
        <v>89</v>
      </c>
      <c r="J79">
        <v>71</v>
      </c>
      <c r="K79">
        <v>78</v>
      </c>
      <c r="L79">
        <v>93</v>
      </c>
      <c r="M79">
        <v>87</v>
      </c>
      <c r="N79">
        <v>116</v>
      </c>
      <c r="O79">
        <v>148</v>
      </c>
      <c r="P79">
        <v>170</v>
      </c>
      <c r="Q79">
        <v>113</v>
      </c>
      <c r="R79">
        <v>100</v>
      </c>
    </row>
    <row r="80" spans="1:18">
      <c r="A80" t="s">
        <v>1388</v>
      </c>
      <c r="B80" t="s">
        <v>196</v>
      </c>
      <c r="C80" s="35" t="s">
        <v>189</v>
      </c>
      <c r="D80">
        <v>75</v>
      </c>
      <c r="E80">
        <v>90</v>
      </c>
      <c r="F80">
        <v>82</v>
      </c>
      <c r="G80">
        <v>90</v>
      </c>
      <c r="H80">
        <v>78</v>
      </c>
      <c r="I80">
        <v>84</v>
      </c>
      <c r="J80">
        <v>87</v>
      </c>
      <c r="K80">
        <v>82</v>
      </c>
      <c r="L80">
        <v>82</v>
      </c>
      <c r="M80">
        <v>73</v>
      </c>
      <c r="N80">
        <v>69</v>
      </c>
      <c r="O80">
        <v>59</v>
      </c>
      <c r="P80">
        <v>60</v>
      </c>
      <c r="Q80">
        <v>76</v>
      </c>
      <c r="R80">
        <v>81</v>
      </c>
    </row>
    <row r="81" spans="1:18">
      <c r="A81" t="s">
        <v>1389</v>
      </c>
      <c r="B81" t="s">
        <v>196</v>
      </c>
      <c r="C81" t="s">
        <v>172</v>
      </c>
      <c r="D81">
        <v>58</v>
      </c>
      <c r="E81">
        <v>57</v>
      </c>
      <c r="F81">
        <v>58</v>
      </c>
      <c r="G81">
        <v>70</v>
      </c>
      <c r="H81">
        <v>65</v>
      </c>
      <c r="I81">
        <v>65</v>
      </c>
      <c r="J81">
        <v>65</v>
      </c>
      <c r="K81">
        <v>57</v>
      </c>
      <c r="L81">
        <v>45</v>
      </c>
      <c r="M81">
        <v>37</v>
      </c>
      <c r="N81">
        <v>37</v>
      </c>
      <c r="O81">
        <v>28</v>
      </c>
      <c r="P81">
        <v>35</v>
      </c>
      <c r="Q81">
        <v>51</v>
      </c>
      <c r="R81">
        <v>57</v>
      </c>
    </row>
    <row r="82" spans="1:18">
      <c r="A82" t="s">
        <v>1390</v>
      </c>
      <c r="B82" t="s">
        <v>196</v>
      </c>
      <c r="C82" t="s">
        <v>30</v>
      </c>
      <c r="D82">
        <v>17</v>
      </c>
      <c r="E82">
        <v>33</v>
      </c>
      <c r="F82">
        <v>24</v>
      </c>
      <c r="G82">
        <v>20</v>
      </c>
      <c r="H82">
        <v>13</v>
      </c>
      <c r="I82">
        <v>19</v>
      </c>
      <c r="J82">
        <v>22</v>
      </c>
      <c r="K82">
        <v>25</v>
      </c>
      <c r="L82">
        <v>37</v>
      </c>
      <c r="M82">
        <v>36</v>
      </c>
      <c r="N82">
        <v>32</v>
      </c>
      <c r="O82">
        <v>31</v>
      </c>
      <c r="P82">
        <v>25</v>
      </c>
      <c r="Q82">
        <v>25</v>
      </c>
      <c r="R82">
        <v>24</v>
      </c>
    </row>
    <row r="83" spans="1:18">
      <c r="A83" t="s">
        <v>1391</v>
      </c>
      <c r="B83" t="s">
        <v>196</v>
      </c>
      <c r="C83" t="s">
        <v>177</v>
      </c>
      <c r="D83">
        <v>0</v>
      </c>
      <c r="E83">
        <v>0</v>
      </c>
      <c r="F83">
        <v>0</v>
      </c>
      <c r="G83">
        <v>0</v>
      </c>
      <c r="H83">
        <v>0</v>
      </c>
      <c r="I83">
        <v>0</v>
      </c>
      <c r="J83">
        <v>0</v>
      </c>
      <c r="K83">
        <v>0</v>
      </c>
      <c r="L83">
        <v>0</v>
      </c>
      <c r="M83">
        <v>0</v>
      </c>
      <c r="N83">
        <v>0</v>
      </c>
      <c r="O83">
        <v>0</v>
      </c>
      <c r="P83">
        <v>0</v>
      </c>
      <c r="Q83">
        <v>0</v>
      </c>
      <c r="R83">
        <v>0</v>
      </c>
    </row>
    <row r="84" spans="1:18">
      <c r="A84" t="s">
        <v>1392</v>
      </c>
      <c r="B84" t="s">
        <v>196</v>
      </c>
      <c r="C84" t="s">
        <v>178</v>
      </c>
      <c r="D84">
        <v>0</v>
      </c>
      <c r="E84">
        <v>0</v>
      </c>
      <c r="F84">
        <v>0</v>
      </c>
      <c r="G84">
        <v>0</v>
      </c>
      <c r="H84">
        <v>0</v>
      </c>
      <c r="I84">
        <v>0</v>
      </c>
      <c r="J84">
        <v>0</v>
      </c>
      <c r="K84">
        <v>0</v>
      </c>
      <c r="L84">
        <v>0</v>
      </c>
      <c r="M84">
        <v>0</v>
      </c>
      <c r="N84">
        <v>0</v>
      </c>
      <c r="O84">
        <v>0</v>
      </c>
      <c r="P84">
        <v>0</v>
      </c>
      <c r="Q84">
        <v>0</v>
      </c>
      <c r="R84">
        <v>0</v>
      </c>
    </row>
    <row r="85" spans="1:18">
      <c r="A85" t="s">
        <v>1393</v>
      </c>
      <c r="B85" t="s">
        <v>197</v>
      </c>
      <c r="C85" t="s">
        <v>193</v>
      </c>
      <c r="D85">
        <v>333</v>
      </c>
      <c r="E85">
        <v>343</v>
      </c>
      <c r="F85">
        <v>427</v>
      </c>
      <c r="G85">
        <v>537</v>
      </c>
      <c r="H85">
        <v>382</v>
      </c>
      <c r="I85">
        <v>325</v>
      </c>
      <c r="J85">
        <v>337</v>
      </c>
      <c r="K85">
        <v>580</v>
      </c>
      <c r="L85">
        <v>695</v>
      </c>
      <c r="M85">
        <v>583</v>
      </c>
      <c r="N85">
        <v>611</v>
      </c>
      <c r="O85">
        <v>649</v>
      </c>
      <c r="P85">
        <v>752</v>
      </c>
      <c r="Q85">
        <v>710</v>
      </c>
      <c r="R85">
        <v>735</v>
      </c>
    </row>
    <row r="86" spans="1:18">
      <c r="A86" t="s">
        <v>1394</v>
      </c>
      <c r="B86" t="s">
        <v>197</v>
      </c>
      <c r="C86" s="4" t="s">
        <v>34</v>
      </c>
      <c r="D86">
        <v>145</v>
      </c>
      <c r="E86">
        <v>143</v>
      </c>
      <c r="F86">
        <v>177</v>
      </c>
      <c r="G86">
        <v>267</v>
      </c>
      <c r="H86">
        <v>168</v>
      </c>
      <c r="I86">
        <v>152</v>
      </c>
      <c r="J86">
        <v>179</v>
      </c>
      <c r="K86">
        <v>420</v>
      </c>
      <c r="L86">
        <v>520</v>
      </c>
      <c r="M86">
        <v>423</v>
      </c>
      <c r="N86">
        <v>426</v>
      </c>
      <c r="O86">
        <v>442</v>
      </c>
      <c r="P86">
        <v>522</v>
      </c>
      <c r="Q86">
        <v>521</v>
      </c>
      <c r="R86">
        <v>554</v>
      </c>
    </row>
    <row r="87" spans="1:18">
      <c r="A87" t="s">
        <v>1395</v>
      </c>
      <c r="B87" t="s">
        <v>197</v>
      </c>
      <c r="C87" t="s">
        <v>169</v>
      </c>
      <c r="D87">
        <v>113</v>
      </c>
      <c r="E87">
        <v>110</v>
      </c>
      <c r="F87">
        <v>168</v>
      </c>
      <c r="G87">
        <v>180</v>
      </c>
      <c r="H87">
        <v>136</v>
      </c>
      <c r="I87">
        <v>89</v>
      </c>
      <c r="J87">
        <v>71</v>
      </c>
      <c r="K87">
        <v>78</v>
      </c>
      <c r="L87">
        <v>93</v>
      </c>
      <c r="M87">
        <v>87</v>
      </c>
      <c r="N87">
        <v>116</v>
      </c>
      <c r="O87">
        <v>148</v>
      </c>
      <c r="P87">
        <v>170</v>
      </c>
      <c r="Q87">
        <v>113</v>
      </c>
      <c r="R87">
        <v>100</v>
      </c>
    </row>
    <row r="88" spans="1:18">
      <c r="A88" t="s">
        <v>1396</v>
      </c>
      <c r="B88" t="s">
        <v>197</v>
      </c>
      <c r="C88" t="s">
        <v>170</v>
      </c>
      <c r="D88">
        <v>58</v>
      </c>
      <c r="E88">
        <v>57</v>
      </c>
      <c r="F88">
        <v>58</v>
      </c>
      <c r="G88">
        <v>70</v>
      </c>
      <c r="H88">
        <v>65</v>
      </c>
      <c r="I88">
        <v>65</v>
      </c>
      <c r="J88">
        <v>65</v>
      </c>
      <c r="K88">
        <v>57</v>
      </c>
      <c r="L88">
        <v>45</v>
      </c>
      <c r="M88">
        <v>37</v>
      </c>
      <c r="N88">
        <v>37</v>
      </c>
      <c r="O88">
        <v>28</v>
      </c>
      <c r="P88">
        <v>35</v>
      </c>
      <c r="Q88">
        <v>51</v>
      </c>
      <c r="R88">
        <v>57</v>
      </c>
    </row>
    <row r="89" spans="1:18">
      <c r="A89" t="s">
        <v>1397</v>
      </c>
      <c r="B89" t="s">
        <v>197</v>
      </c>
      <c r="C89" t="s">
        <v>171</v>
      </c>
      <c r="D89">
        <v>17</v>
      </c>
      <c r="E89">
        <v>33</v>
      </c>
      <c r="F89">
        <v>24</v>
      </c>
      <c r="G89">
        <v>20</v>
      </c>
      <c r="H89">
        <v>13</v>
      </c>
      <c r="I89">
        <v>19</v>
      </c>
      <c r="J89">
        <v>22</v>
      </c>
      <c r="K89">
        <v>25</v>
      </c>
      <c r="L89">
        <v>37</v>
      </c>
      <c r="M89">
        <v>36</v>
      </c>
      <c r="N89">
        <v>32</v>
      </c>
      <c r="O89">
        <v>31</v>
      </c>
      <c r="P89">
        <v>25</v>
      </c>
      <c r="Q89">
        <v>25</v>
      </c>
      <c r="R89">
        <v>24</v>
      </c>
    </row>
    <row r="90" spans="1:18">
      <c r="A90" t="s">
        <v>1398</v>
      </c>
      <c r="B90" t="s">
        <v>197</v>
      </c>
      <c r="C90" t="s">
        <v>148</v>
      </c>
      <c r="D90">
        <v>0</v>
      </c>
      <c r="E90">
        <v>0</v>
      </c>
      <c r="F90">
        <v>0</v>
      </c>
      <c r="G90">
        <v>0</v>
      </c>
      <c r="H90">
        <v>0</v>
      </c>
      <c r="I90">
        <v>0</v>
      </c>
      <c r="J90">
        <v>0</v>
      </c>
      <c r="K90">
        <v>0</v>
      </c>
      <c r="L90">
        <v>0</v>
      </c>
      <c r="M90">
        <v>0</v>
      </c>
      <c r="N90">
        <v>0</v>
      </c>
      <c r="O90">
        <v>0</v>
      </c>
      <c r="P90">
        <v>0</v>
      </c>
      <c r="Q90">
        <v>0</v>
      </c>
      <c r="R90">
        <v>0</v>
      </c>
    </row>
    <row r="91" spans="1:18">
      <c r="A91" t="s">
        <v>1399</v>
      </c>
      <c r="B91" t="s">
        <v>197</v>
      </c>
      <c r="C91" t="s">
        <v>184</v>
      </c>
      <c r="D91">
        <v>0</v>
      </c>
      <c r="E91">
        <v>0</v>
      </c>
      <c r="F91">
        <v>0</v>
      </c>
      <c r="G91">
        <v>0</v>
      </c>
      <c r="H91">
        <v>0</v>
      </c>
      <c r="I91">
        <v>0</v>
      </c>
      <c r="J91">
        <v>0</v>
      </c>
      <c r="K91">
        <v>0</v>
      </c>
      <c r="L91">
        <v>0</v>
      </c>
      <c r="M91">
        <v>0</v>
      </c>
      <c r="N91">
        <v>0</v>
      </c>
      <c r="O91">
        <v>0</v>
      </c>
      <c r="P91">
        <v>0</v>
      </c>
      <c r="Q91">
        <v>0</v>
      </c>
      <c r="R91">
        <v>0</v>
      </c>
    </row>
    <row r="92" spans="1:18">
      <c r="A92" t="s">
        <v>1400</v>
      </c>
      <c r="B92" t="s">
        <v>197</v>
      </c>
      <c r="C92" s="4" t="s">
        <v>188</v>
      </c>
      <c r="D92">
        <v>188</v>
      </c>
      <c r="E92">
        <v>200</v>
      </c>
      <c r="F92">
        <v>250</v>
      </c>
      <c r="G92">
        <v>270</v>
      </c>
      <c r="H92">
        <v>214</v>
      </c>
      <c r="I92">
        <v>173</v>
      </c>
      <c r="J92">
        <v>158</v>
      </c>
      <c r="K92">
        <v>160</v>
      </c>
      <c r="L92">
        <v>175</v>
      </c>
      <c r="M92">
        <v>160</v>
      </c>
      <c r="N92">
        <v>185</v>
      </c>
      <c r="O92">
        <v>207</v>
      </c>
      <c r="P92">
        <v>230</v>
      </c>
      <c r="Q92">
        <v>189</v>
      </c>
      <c r="R92">
        <v>181</v>
      </c>
    </row>
    <row r="93" spans="1:18">
      <c r="A93" t="s">
        <v>1401</v>
      </c>
      <c r="B93" t="s">
        <v>197</v>
      </c>
      <c r="C93" s="35" t="s">
        <v>189</v>
      </c>
      <c r="D93">
        <v>75</v>
      </c>
      <c r="E93">
        <v>90</v>
      </c>
      <c r="F93">
        <v>82</v>
      </c>
      <c r="G93">
        <v>90</v>
      </c>
      <c r="H93">
        <v>78</v>
      </c>
      <c r="I93">
        <v>84</v>
      </c>
      <c r="J93">
        <v>87</v>
      </c>
      <c r="K93">
        <v>82</v>
      </c>
      <c r="L93">
        <v>82</v>
      </c>
      <c r="M93">
        <v>73</v>
      </c>
      <c r="N93">
        <v>69</v>
      </c>
      <c r="O93">
        <v>59</v>
      </c>
      <c r="P93">
        <v>60</v>
      </c>
      <c r="Q93">
        <v>76</v>
      </c>
      <c r="R93">
        <v>81</v>
      </c>
    </row>
    <row r="94" spans="1:18">
      <c r="A94" t="s">
        <v>1402</v>
      </c>
      <c r="B94" t="s">
        <v>197</v>
      </c>
      <c r="C94" t="s">
        <v>172</v>
      </c>
      <c r="D94">
        <v>0</v>
      </c>
      <c r="E94">
        <v>0</v>
      </c>
      <c r="F94">
        <v>0</v>
      </c>
      <c r="G94">
        <v>0</v>
      </c>
      <c r="H94">
        <v>0</v>
      </c>
      <c r="I94">
        <v>0</v>
      </c>
      <c r="J94">
        <v>0</v>
      </c>
      <c r="K94">
        <v>0</v>
      </c>
      <c r="L94">
        <v>0</v>
      </c>
      <c r="M94">
        <v>0</v>
      </c>
      <c r="N94">
        <v>0</v>
      </c>
      <c r="O94">
        <v>0</v>
      </c>
      <c r="P94">
        <v>0</v>
      </c>
      <c r="Q94">
        <v>0</v>
      </c>
      <c r="R94">
        <v>0</v>
      </c>
    </row>
    <row r="95" spans="1:18">
      <c r="A95" t="s">
        <v>1403</v>
      </c>
      <c r="B95" t="s">
        <v>197</v>
      </c>
      <c r="C95" t="s">
        <v>30</v>
      </c>
      <c r="D95">
        <v>0</v>
      </c>
      <c r="E95">
        <v>0</v>
      </c>
      <c r="F95">
        <v>0</v>
      </c>
      <c r="G95">
        <v>0</v>
      </c>
      <c r="H95">
        <v>0</v>
      </c>
      <c r="I95">
        <v>0</v>
      </c>
      <c r="J95">
        <v>0</v>
      </c>
      <c r="K95">
        <v>0</v>
      </c>
      <c r="L95">
        <v>0</v>
      </c>
      <c r="M95">
        <v>0</v>
      </c>
      <c r="N95">
        <v>0</v>
      </c>
      <c r="O95">
        <v>0</v>
      </c>
      <c r="P95">
        <v>0</v>
      </c>
      <c r="Q95">
        <v>0</v>
      </c>
      <c r="R95">
        <v>0</v>
      </c>
    </row>
    <row r="96" spans="1:18">
      <c r="A96" t="s">
        <v>1404</v>
      </c>
      <c r="B96" t="s">
        <v>197</v>
      </c>
      <c r="C96" t="s">
        <v>177</v>
      </c>
      <c r="D96">
        <v>0</v>
      </c>
      <c r="E96">
        <v>0</v>
      </c>
      <c r="F96">
        <v>0</v>
      </c>
      <c r="G96">
        <v>0</v>
      </c>
      <c r="H96">
        <v>0</v>
      </c>
      <c r="I96">
        <v>0</v>
      </c>
      <c r="J96">
        <v>0</v>
      </c>
      <c r="K96">
        <v>0</v>
      </c>
      <c r="L96">
        <v>0</v>
      </c>
      <c r="M96">
        <v>0</v>
      </c>
      <c r="N96">
        <v>0</v>
      </c>
      <c r="O96">
        <v>0</v>
      </c>
      <c r="P96">
        <v>0</v>
      </c>
      <c r="Q96">
        <v>0</v>
      </c>
      <c r="R96">
        <v>0</v>
      </c>
    </row>
    <row r="97" spans="1:18">
      <c r="A97" t="s">
        <v>1405</v>
      </c>
      <c r="B97" t="s">
        <v>197</v>
      </c>
      <c r="C97" t="s">
        <v>178</v>
      </c>
      <c r="D97">
        <v>0</v>
      </c>
      <c r="E97">
        <v>0</v>
      </c>
      <c r="F97">
        <v>0</v>
      </c>
      <c r="G97">
        <v>0</v>
      </c>
      <c r="H97">
        <v>0</v>
      </c>
      <c r="I97">
        <v>0</v>
      </c>
      <c r="J97">
        <v>0</v>
      </c>
      <c r="K97">
        <v>0</v>
      </c>
      <c r="L97">
        <v>0</v>
      </c>
      <c r="M97">
        <v>0</v>
      </c>
      <c r="N97">
        <v>0</v>
      </c>
      <c r="O97">
        <v>0</v>
      </c>
      <c r="P97">
        <v>0</v>
      </c>
      <c r="Q97">
        <v>0</v>
      </c>
      <c r="R97">
        <v>0</v>
      </c>
    </row>
    <row r="98" spans="1:18">
      <c r="A98" t="s">
        <v>1406</v>
      </c>
      <c r="B98" t="s">
        <v>194</v>
      </c>
      <c r="C98" t="s">
        <v>193</v>
      </c>
      <c r="D98">
        <v>1149</v>
      </c>
      <c r="E98">
        <v>1084</v>
      </c>
      <c r="F98">
        <v>924</v>
      </c>
      <c r="G98">
        <v>802</v>
      </c>
      <c r="H98">
        <v>732</v>
      </c>
      <c r="I98">
        <v>674</v>
      </c>
      <c r="J98">
        <v>719</v>
      </c>
      <c r="K98">
        <v>692</v>
      </c>
      <c r="L98">
        <v>751</v>
      </c>
      <c r="M98">
        <v>643</v>
      </c>
      <c r="N98">
        <v>588</v>
      </c>
      <c r="O98">
        <v>598</v>
      </c>
      <c r="P98">
        <v>633</v>
      </c>
      <c r="Q98">
        <v>649</v>
      </c>
      <c r="R98">
        <v>718</v>
      </c>
    </row>
    <row r="99" spans="1:18">
      <c r="A99" t="s">
        <v>1407</v>
      </c>
      <c r="B99" t="s">
        <v>194</v>
      </c>
      <c r="C99" s="4" t="s">
        <v>34</v>
      </c>
      <c r="D99">
        <v>515</v>
      </c>
      <c r="E99">
        <v>371</v>
      </c>
      <c r="F99">
        <v>199</v>
      </c>
      <c r="G99">
        <v>61</v>
      </c>
      <c r="H99">
        <v>51</v>
      </c>
      <c r="I99">
        <v>135</v>
      </c>
      <c r="J99">
        <v>285</v>
      </c>
      <c r="K99">
        <v>381</v>
      </c>
      <c r="L99">
        <v>487</v>
      </c>
      <c r="M99">
        <v>422</v>
      </c>
      <c r="N99">
        <v>402</v>
      </c>
      <c r="O99">
        <v>444</v>
      </c>
      <c r="P99">
        <v>553</v>
      </c>
      <c r="Q99">
        <v>546</v>
      </c>
      <c r="R99">
        <v>628</v>
      </c>
    </row>
    <row r="100" spans="1:18">
      <c r="A100" t="s">
        <v>1408</v>
      </c>
      <c r="B100" t="s">
        <v>194</v>
      </c>
      <c r="C100" t="s">
        <v>169</v>
      </c>
      <c r="D100">
        <v>634</v>
      </c>
      <c r="E100">
        <v>713</v>
      </c>
      <c r="F100">
        <v>725</v>
      </c>
      <c r="G100">
        <v>741</v>
      </c>
      <c r="H100">
        <v>681</v>
      </c>
      <c r="I100">
        <v>539</v>
      </c>
      <c r="J100">
        <v>434</v>
      </c>
      <c r="K100">
        <v>311</v>
      </c>
      <c r="L100">
        <v>264</v>
      </c>
      <c r="M100">
        <v>221</v>
      </c>
      <c r="N100">
        <v>186</v>
      </c>
      <c r="O100">
        <v>154</v>
      </c>
      <c r="P100">
        <v>80</v>
      </c>
      <c r="Q100">
        <v>103</v>
      </c>
      <c r="R100">
        <v>90</v>
      </c>
    </row>
    <row r="101" spans="1:18">
      <c r="A101" t="s">
        <v>1409</v>
      </c>
      <c r="B101" t="s">
        <v>194</v>
      </c>
      <c r="C101" t="s">
        <v>170</v>
      </c>
      <c r="D101">
        <v>0</v>
      </c>
      <c r="E101">
        <v>0</v>
      </c>
      <c r="F101">
        <v>0</v>
      </c>
      <c r="G101">
        <v>0</v>
      </c>
      <c r="H101">
        <v>0</v>
      </c>
      <c r="I101">
        <v>0</v>
      </c>
      <c r="J101">
        <v>0</v>
      </c>
      <c r="K101">
        <v>0</v>
      </c>
      <c r="L101">
        <v>0</v>
      </c>
      <c r="M101">
        <v>0</v>
      </c>
      <c r="N101">
        <v>0</v>
      </c>
      <c r="O101">
        <v>0</v>
      </c>
      <c r="P101">
        <v>0</v>
      </c>
      <c r="Q101">
        <v>0</v>
      </c>
      <c r="R101">
        <v>0</v>
      </c>
    </row>
    <row r="102" spans="1:18">
      <c r="A102" t="s">
        <v>1410</v>
      </c>
      <c r="B102" t="s">
        <v>194</v>
      </c>
      <c r="C102" t="s">
        <v>171</v>
      </c>
      <c r="D102">
        <v>0</v>
      </c>
      <c r="E102">
        <v>0</v>
      </c>
      <c r="F102">
        <v>0</v>
      </c>
      <c r="G102">
        <v>0</v>
      </c>
      <c r="H102">
        <v>0</v>
      </c>
      <c r="I102">
        <v>0</v>
      </c>
      <c r="J102">
        <v>0</v>
      </c>
      <c r="K102">
        <v>0</v>
      </c>
      <c r="L102">
        <v>0</v>
      </c>
      <c r="M102">
        <v>0</v>
      </c>
      <c r="N102">
        <v>0</v>
      </c>
      <c r="O102">
        <v>0</v>
      </c>
      <c r="P102">
        <v>0</v>
      </c>
      <c r="Q102">
        <v>0</v>
      </c>
      <c r="R102">
        <v>0</v>
      </c>
    </row>
    <row r="103" spans="1:18">
      <c r="A103" t="s">
        <v>1411</v>
      </c>
      <c r="B103" t="s">
        <v>194</v>
      </c>
      <c r="C103" t="s">
        <v>148</v>
      </c>
      <c r="D103">
        <v>0</v>
      </c>
      <c r="E103">
        <v>0</v>
      </c>
      <c r="F103">
        <v>0</v>
      </c>
      <c r="G103">
        <v>0</v>
      </c>
      <c r="H103">
        <v>0</v>
      </c>
      <c r="I103">
        <v>0</v>
      </c>
      <c r="J103">
        <v>0</v>
      </c>
      <c r="K103">
        <v>0</v>
      </c>
      <c r="L103">
        <v>0</v>
      </c>
      <c r="M103">
        <v>0</v>
      </c>
      <c r="N103">
        <v>0</v>
      </c>
      <c r="O103">
        <v>0</v>
      </c>
      <c r="P103">
        <v>0</v>
      </c>
      <c r="Q103">
        <v>0</v>
      </c>
      <c r="R103">
        <v>0</v>
      </c>
    </row>
    <row r="104" spans="1:18">
      <c r="A104" t="s">
        <v>1412</v>
      </c>
      <c r="B104" t="s">
        <v>194</v>
      </c>
      <c r="C104" t="s">
        <v>184</v>
      </c>
      <c r="D104">
        <v>0</v>
      </c>
      <c r="E104">
        <v>0</v>
      </c>
      <c r="F104">
        <v>0</v>
      </c>
      <c r="G104">
        <v>0</v>
      </c>
      <c r="H104">
        <v>0</v>
      </c>
      <c r="I104">
        <v>0</v>
      </c>
      <c r="J104">
        <v>0</v>
      </c>
      <c r="K104">
        <v>0</v>
      </c>
      <c r="L104">
        <v>0</v>
      </c>
      <c r="M104">
        <v>0</v>
      </c>
      <c r="N104">
        <v>0</v>
      </c>
      <c r="O104">
        <v>0</v>
      </c>
      <c r="P104">
        <v>0</v>
      </c>
      <c r="Q104">
        <v>0</v>
      </c>
      <c r="R104">
        <v>0</v>
      </c>
    </row>
    <row r="105" spans="1:18">
      <c r="A105" t="s">
        <v>1413</v>
      </c>
      <c r="B105" t="s">
        <v>194</v>
      </c>
      <c r="C105" s="4" t="s">
        <v>188</v>
      </c>
      <c r="D105">
        <v>350</v>
      </c>
      <c r="E105">
        <v>383</v>
      </c>
      <c r="F105">
        <v>421</v>
      </c>
      <c r="G105">
        <v>449</v>
      </c>
      <c r="H105">
        <v>355</v>
      </c>
      <c r="I105">
        <v>261</v>
      </c>
      <c r="J105">
        <v>136</v>
      </c>
      <c r="K105">
        <v>9</v>
      </c>
      <c r="L105">
        <v>9</v>
      </c>
      <c r="M105">
        <v>52</v>
      </c>
      <c r="N105">
        <v>80</v>
      </c>
      <c r="O105">
        <v>128</v>
      </c>
      <c r="P105">
        <v>73</v>
      </c>
      <c r="Q105">
        <v>97</v>
      </c>
      <c r="R105">
        <v>87</v>
      </c>
    </row>
    <row r="106" spans="1:18">
      <c r="A106" t="s">
        <v>1414</v>
      </c>
      <c r="B106" t="s">
        <v>194</v>
      </c>
      <c r="C106" s="35" t="s">
        <v>189</v>
      </c>
      <c r="D106">
        <v>284</v>
      </c>
      <c r="E106">
        <v>330</v>
      </c>
      <c r="F106">
        <v>304</v>
      </c>
      <c r="G106">
        <v>292</v>
      </c>
      <c r="H106">
        <v>326</v>
      </c>
      <c r="I106">
        <v>278</v>
      </c>
      <c r="J106">
        <v>298</v>
      </c>
      <c r="K106">
        <v>302</v>
      </c>
      <c r="L106">
        <v>255</v>
      </c>
      <c r="M106">
        <v>169</v>
      </c>
      <c r="N106">
        <v>106</v>
      </c>
      <c r="O106">
        <v>26</v>
      </c>
      <c r="P106">
        <v>7</v>
      </c>
      <c r="Q106">
        <v>6</v>
      </c>
      <c r="R106">
        <v>3</v>
      </c>
    </row>
    <row r="107" spans="1:18">
      <c r="A107" t="s">
        <v>1415</v>
      </c>
      <c r="B107" t="s">
        <v>194</v>
      </c>
      <c r="C107" t="s">
        <v>172</v>
      </c>
      <c r="D107">
        <v>212</v>
      </c>
      <c r="E107">
        <v>219</v>
      </c>
      <c r="F107">
        <v>205</v>
      </c>
      <c r="G107">
        <v>213</v>
      </c>
      <c r="H107">
        <v>251</v>
      </c>
      <c r="I107">
        <v>231</v>
      </c>
      <c r="J107">
        <v>264</v>
      </c>
      <c r="K107">
        <v>276</v>
      </c>
      <c r="L107">
        <v>222</v>
      </c>
      <c r="M107">
        <v>128</v>
      </c>
      <c r="N107">
        <v>55</v>
      </c>
      <c r="O107">
        <v>2</v>
      </c>
      <c r="P107">
        <v>0</v>
      </c>
      <c r="Q107">
        <v>5</v>
      </c>
      <c r="R107">
        <v>3</v>
      </c>
    </row>
    <row r="108" spans="1:18">
      <c r="A108" t="s">
        <v>1416</v>
      </c>
      <c r="B108" t="s">
        <v>194</v>
      </c>
      <c r="C108" t="s">
        <v>30</v>
      </c>
      <c r="D108">
        <v>72</v>
      </c>
      <c r="E108">
        <v>111</v>
      </c>
      <c r="F108">
        <v>99</v>
      </c>
      <c r="G108">
        <v>79</v>
      </c>
      <c r="H108">
        <v>75</v>
      </c>
      <c r="I108">
        <v>47</v>
      </c>
      <c r="J108">
        <v>34</v>
      </c>
      <c r="K108">
        <v>26</v>
      </c>
      <c r="L108">
        <v>33</v>
      </c>
      <c r="M108">
        <v>41</v>
      </c>
      <c r="N108">
        <v>51</v>
      </c>
      <c r="O108">
        <v>24</v>
      </c>
      <c r="P108">
        <v>7</v>
      </c>
      <c r="Q108">
        <v>1</v>
      </c>
      <c r="R108">
        <v>0</v>
      </c>
    </row>
    <row r="109" spans="1:18">
      <c r="A109" t="s">
        <v>1417</v>
      </c>
      <c r="B109" t="s">
        <v>195</v>
      </c>
      <c r="C109" t="s">
        <v>193</v>
      </c>
      <c r="D109">
        <v>103</v>
      </c>
      <c r="E109">
        <v>83</v>
      </c>
      <c r="F109">
        <v>51</v>
      </c>
      <c r="G109">
        <v>42</v>
      </c>
      <c r="H109">
        <v>33</v>
      </c>
      <c r="I109">
        <v>34</v>
      </c>
      <c r="J109">
        <v>46</v>
      </c>
      <c r="K109">
        <v>48</v>
      </c>
      <c r="L109">
        <v>60</v>
      </c>
      <c r="M109">
        <v>13</v>
      </c>
      <c r="N109">
        <v>61</v>
      </c>
      <c r="O109">
        <v>65</v>
      </c>
      <c r="P109">
        <v>61</v>
      </c>
      <c r="Q109">
        <v>49</v>
      </c>
      <c r="R109">
        <v>54</v>
      </c>
    </row>
    <row r="110" spans="1:18">
      <c r="A110" t="s">
        <v>1418</v>
      </c>
      <c r="B110" t="s">
        <v>195</v>
      </c>
      <c r="C110" s="4" t="s">
        <v>34</v>
      </c>
      <c r="D110">
        <v>78</v>
      </c>
      <c r="E110">
        <v>50</v>
      </c>
      <c r="F110">
        <v>21</v>
      </c>
      <c r="G110">
        <v>9</v>
      </c>
      <c r="H110">
        <v>4</v>
      </c>
      <c r="I110">
        <v>17</v>
      </c>
      <c r="J110">
        <v>38</v>
      </c>
      <c r="K110">
        <v>46</v>
      </c>
      <c r="L110">
        <v>59</v>
      </c>
      <c r="M110">
        <v>9</v>
      </c>
      <c r="N110">
        <v>56</v>
      </c>
      <c r="O110">
        <v>60</v>
      </c>
      <c r="P110">
        <v>57</v>
      </c>
      <c r="Q110">
        <v>48</v>
      </c>
      <c r="R110">
        <v>54</v>
      </c>
    </row>
    <row r="111" spans="1:18">
      <c r="A111" t="s">
        <v>1419</v>
      </c>
      <c r="B111" t="s">
        <v>195</v>
      </c>
      <c r="C111" t="s">
        <v>169</v>
      </c>
      <c r="D111">
        <v>25</v>
      </c>
      <c r="E111">
        <v>33</v>
      </c>
      <c r="F111">
        <v>30</v>
      </c>
      <c r="G111">
        <v>33</v>
      </c>
      <c r="H111">
        <v>29</v>
      </c>
      <c r="I111">
        <v>17</v>
      </c>
      <c r="J111">
        <v>8</v>
      </c>
      <c r="K111">
        <v>2</v>
      </c>
      <c r="L111">
        <v>1</v>
      </c>
      <c r="M111">
        <v>4</v>
      </c>
      <c r="N111">
        <v>5</v>
      </c>
      <c r="O111">
        <v>5</v>
      </c>
      <c r="P111">
        <v>4</v>
      </c>
      <c r="Q111">
        <v>1</v>
      </c>
      <c r="R111">
        <v>0</v>
      </c>
    </row>
    <row r="112" spans="1:18">
      <c r="A112" t="s">
        <v>1420</v>
      </c>
      <c r="B112" t="s">
        <v>195</v>
      </c>
      <c r="C112" t="s">
        <v>170</v>
      </c>
      <c r="D112">
        <v>0</v>
      </c>
      <c r="E112">
        <v>0</v>
      </c>
      <c r="F112">
        <v>0</v>
      </c>
      <c r="G112">
        <v>0</v>
      </c>
      <c r="H112">
        <v>0</v>
      </c>
      <c r="I112">
        <v>0</v>
      </c>
      <c r="J112">
        <v>0</v>
      </c>
      <c r="K112">
        <v>0</v>
      </c>
      <c r="L112">
        <v>0</v>
      </c>
      <c r="M112">
        <v>0</v>
      </c>
      <c r="N112">
        <v>0</v>
      </c>
      <c r="O112">
        <v>0</v>
      </c>
      <c r="P112">
        <v>0</v>
      </c>
      <c r="Q112">
        <v>0</v>
      </c>
      <c r="R112">
        <v>0</v>
      </c>
    </row>
    <row r="113" spans="1:18">
      <c r="A113" t="s">
        <v>1421</v>
      </c>
      <c r="B113" t="s">
        <v>195</v>
      </c>
      <c r="C113" t="s">
        <v>171</v>
      </c>
      <c r="D113">
        <v>0</v>
      </c>
      <c r="E113">
        <v>0</v>
      </c>
      <c r="F113">
        <v>0</v>
      </c>
      <c r="G113">
        <v>0</v>
      </c>
      <c r="H113">
        <v>0</v>
      </c>
      <c r="I113">
        <v>0</v>
      </c>
      <c r="J113">
        <v>0</v>
      </c>
      <c r="K113">
        <v>0</v>
      </c>
      <c r="L113">
        <v>0</v>
      </c>
      <c r="M113">
        <v>0</v>
      </c>
      <c r="N113">
        <v>0</v>
      </c>
      <c r="O113">
        <v>0</v>
      </c>
      <c r="P113">
        <v>0</v>
      </c>
      <c r="Q113">
        <v>0</v>
      </c>
      <c r="R113">
        <v>0</v>
      </c>
    </row>
    <row r="114" spans="1:18">
      <c r="A114" t="s">
        <v>1422</v>
      </c>
      <c r="B114" t="s">
        <v>195</v>
      </c>
      <c r="C114" t="s">
        <v>148</v>
      </c>
      <c r="D114">
        <v>0</v>
      </c>
      <c r="E114">
        <v>0</v>
      </c>
      <c r="F114">
        <v>0</v>
      </c>
      <c r="G114">
        <v>0</v>
      </c>
      <c r="H114">
        <v>0</v>
      </c>
      <c r="I114">
        <v>0</v>
      </c>
      <c r="J114">
        <v>0</v>
      </c>
      <c r="K114">
        <v>0</v>
      </c>
      <c r="L114">
        <v>0</v>
      </c>
      <c r="M114">
        <v>0</v>
      </c>
      <c r="N114">
        <v>0</v>
      </c>
      <c r="O114">
        <v>0</v>
      </c>
      <c r="P114">
        <v>0</v>
      </c>
      <c r="Q114">
        <v>0</v>
      </c>
      <c r="R114">
        <v>0</v>
      </c>
    </row>
    <row r="115" spans="1:18">
      <c r="A115" t="s">
        <v>1423</v>
      </c>
      <c r="B115" t="s">
        <v>195</v>
      </c>
      <c r="C115" t="s">
        <v>184</v>
      </c>
      <c r="D115">
        <v>0</v>
      </c>
      <c r="E115">
        <v>0</v>
      </c>
      <c r="F115">
        <v>0</v>
      </c>
      <c r="G115">
        <v>0</v>
      </c>
      <c r="H115">
        <v>0</v>
      </c>
      <c r="I115">
        <v>0</v>
      </c>
      <c r="J115">
        <v>0</v>
      </c>
      <c r="K115">
        <v>0</v>
      </c>
      <c r="L115">
        <v>0</v>
      </c>
      <c r="M115">
        <v>0</v>
      </c>
      <c r="N115">
        <v>0</v>
      </c>
      <c r="O115">
        <v>0</v>
      </c>
      <c r="P115">
        <v>0</v>
      </c>
      <c r="Q115">
        <v>0</v>
      </c>
      <c r="R115">
        <v>0</v>
      </c>
    </row>
    <row r="116" spans="1:18">
      <c r="A116" t="s">
        <v>1424</v>
      </c>
      <c r="B116" t="s">
        <v>195</v>
      </c>
      <c r="C116" s="4" t="s">
        <v>188</v>
      </c>
      <c r="D116">
        <v>24</v>
      </c>
      <c r="E116">
        <v>31</v>
      </c>
      <c r="F116">
        <v>30</v>
      </c>
      <c r="G116">
        <v>33</v>
      </c>
      <c r="H116">
        <v>28</v>
      </c>
      <c r="I116">
        <v>17</v>
      </c>
      <c r="J116">
        <v>8</v>
      </c>
      <c r="K116">
        <v>2</v>
      </c>
      <c r="L116">
        <v>1</v>
      </c>
      <c r="M116">
        <v>4</v>
      </c>
      <c r="N116">
        <v>5</v>
      </c>
      <c r="O116">
        <v>5</v>
      </c>
      <c r="P116">
        <v>4</v>
      </c>
      <c r="Q116">
        <v>1</v>
      </c>
      <c r="R116">
        <v>0</v>
      </c>
    </row>
    <row r="117" spans="1:18">
      <c r="A117" t="s">
        <v>1425</v>
      </c>
      <c r="B117" t="s">
        <v>195</v>
      </c>
      <c r="C117" s="35" t="s">
        <v>189</v>
      </c>
      <c r="D117">
        <v>1</v>
      </c>
      <c r="E117">
        <v>2</v>
      </c>
      <c r="F117">
        <v>0</v>
      </c>
      <c r="G117">
        <v>0</v>
      </c>
      <c r="H117">
        <v>1</v>
      </c>
      <c r="I117">
        <v>0</v>
      </c>
      <c r="J117">
        <v>0</v>
      </c>
      <c r="K117">
        <v>0</v>
      </c>
      <c r="L117">
        <v>0</v>
      </c>
      <c r="M117">
        <v>0</v>
      </c>
      <c r="N117">
        <v>0</v>
      </c>
      <c r="O117">
        <v>0</v>
      </c>
      <c r="P117">
        <v>0</v>
      </c>
      <c r="Q117">
        <v>0</v>
      </c>
      <c r="R117">
        <v>0</v>
      </c>
    </row>
    <row r="118" spans="1:18">
      <c r="A118" t="s">
        <v>1426</v>
      </c>
      <c r="B118" t="s">
        <v>195</v>
      </c>
      <c r="C118" t="s">
        <v>172</v>
      </c>
      <c r="D118">
        <v>1</v>
      </c>
      <c r="E118">
        <v>2</v>
      </c>
      <c r="F118">
        <v>0</v>
      </c>
      <c r="G118">
        <v>0</v>
      </c>
      <c r="H118">
        <v>1</v>
      </c>
      <c r="I118">
        <v>0</v>
      </c>
      <c r="J118">
        <v>0</v>
      </c>
      <c r="K118">
        <v>0</v>
      </c>
      <c r="L118">
        <v>0</v>
      </c>
      <c r="M118">
        <v>0</v>
      </c>
      <c r="N118">
        <v>0</v>
      </c>
      <c r="O118">
        <v>0</v>
      </c>
      <c r="P118">
        <v>0</v>
      </c>
      <c r="Q118">
        <v>0</v>
      </c>
      <c r="R118">
        <v>0</v>
      </c>
    </row>
    <row r="119" spans="1:18">
      <c r="A119" t="s">
        <v>1427</v>
      </c>
      <c r="B119" t="s">
        <v>195</v>
      </c>
      <c r="C119" t="s">
        <v>30</v>
      </c>
      <c r="D119">
        <v>0</v>
      </c>
      <c r="E119">
        <v>0</v>
      </c>
      <c r="F119">
        <v>0</v>
      </c>
      <c r="G119">
        <v>0</v>
      </c>
      <c r="H119">
        <v>0</v>
      </c>
      <c r="I119">
        <v>0</v>
      </c>
      <c r="J119">
        <v>0</v>
      </c>
      <c r="K119">
        <v>0</v>
      </c>
      <c r="L119">
        <v>0</v>
      </c>
      <c r="M119">
        <v>0</v>
      </c>
      <c r="N119">
        <v>0</v>
      </c>
      <c r="O119">
        <v>0</v>
      </c>
      <c r="P119">
        <v>0</v>
      </c>
      <c r="Q119">
        <v>0</v>
      </c>
      <c r="R119">
        <v>0</v>
      </c>
    </row>
    <row r="120" spans="1:18">
      <c r="A120" t="s">
        <v>1428</v>
      </c>
      <c r="B120" t="s">
        <v>196</v>
      </c>
      <c r="C120" t="s">
        <v>193</v>
      </c>
      <c r="D120">
        <v>1149</v>
      </c>
      <c r="E120">
        <v>1084</v>
      </c>
      <c r="F120">
        <v>924</v>
      </c>
      <c r="G120">
        <v>802</v>
      </c>
      <c r="H120">
        <v>732</v>
      </c>
      <c r="I120">
        <v>674</v>
      </c>
      <c r="J120">
        <v>719</v>
      </c>
      <c r="K120">
        <v>692</v>
      </c>
      <c r="L120">
        <v>751</v>
      </c>
      <c r="M120">
        <v>643</v>
      </c>
      <c r="N120">
        <v>588</v>
      </c>
      <c r="O120">
        <v>598</v>
      </c>
      <c r="P120">
        <v>633</v>
      </c>
      <c r="Q120">
        <v>649</v>
      </c>
      <c r="R120">
        <v>718</v>
      </c>
    </row>
    <row r="121" spans="1:18">
      <c r="A121" t="s">
        <v>1429</v>
      </c>
      <c r="B121" t="s">
        <v>196</v>
      </c>
      <c r="C121" s="4" t="s">
        <v>34</v>
      </c>
      <c r="D121">
        <v>515</v>
      </c>
      <c r="E121">
        <v>371</v>
      </c>
      <c r="F121">
        <v>199</v>
      </c>
      <c r="G121">
        <v>61</v>
      </c>
      <c r="H121">
        <v>51</v>
      </c>
      <c r="I121">
        <v>135</v>
      </c>
      <c r="J121">
        <v>285</v>
      </c>
      <c r="K121">
        <v>381</v>
      </c>
      <c r="L121">
        <v>487</v>
      </c>
      <c r="M121">
        <v>422</v>
      </c>
      <c r="N121">
        <v>402</v>
      </c>
      <c r="O121">
        <v>444</v>
      </c>
      <c r="P121">
        <v>553</v>
      </c>
      <c r="Q121">
        <v>546</v>
      </c>
      <c r="R121">
        <v>628</v>
      </c>
    </row>
    <row r="122" spans="1:18">
      <c r="A122" t="s">
        <v>1430</v>
      </c>
      <c r="B122" t="s">
        <v>196</v>
      </c>
      <c r="C122" t="s">
        <v>169</v>
      </c>
      <c r="D122">
        <v>634</v>
      </c>
      <c r="E122">
        <v>713</v>
      </c>
      <c r="F122">
        <v>725</v>
      </c>
      <c r="G122">
        <v>741</v>
      </c>
      <c r="H122">
        <v>681</v>
      </c>
      <c r="I122">
        <v>539</v>
      </c>
      <c r="J122">
        <v>434</v>
      </c>
      <c r="K122">
        <v>311</v>
      </c>
      <c r="L122">
        <v>264</v>
      </c>
      <c r="M122">
        <v>221</v>
      </c>
      <c r="N122">
        <v>186</v>
      </c>
      <c r="O122">
        <v>154</v>
      </c>
      <c r="P122">
        <v>80</v>
      </c>
      <c r="Q122">
        <v>103</v>
      </c>
      <c r="R122">
        <v>90</v>
      </c>
    </row>
    <row r="123" spans="1:18">
      <c r="A123" t="s">
        <v>1431</v>
      </c>
      <c r="B123" t="s">
        <v>196</v>
      </c>
      <c r="C123" t="s">
        <v>170</v>
      </c>
      <c r="D123">
        <v>0</v>
      </c>
      <c r="E123">
        <v>0</v>
      </c>
      <c r="F123">
        <v>0</v>
      </c>
      <c r="G123">
        <v>0</v>
      </c>
      <c r="H123">
        <v>0</v>
      </c>
      <c r="I123">
        <v>0</v>
      </c>
      <c r="J123">
        <v>0</v>
      </c>
      <c r="K123">
        <v>0</v>
      </c>
      <c r="L123">
        <v>0</v>
      </c>
      <c r="M123">
        <v>0</v>
      </c>
      <c r="N123">
        <v>0</v>
      </c>
      <c r="O123">
        <v>0</v>
      </c>
      <c r="P123">
        <v>0</v>
      </c>
      <c r="Q123">
        <v>0</v>
      </c>
      <c r="R123">
        <v>0</v>
      </c>
    </row>
    <row r="124" spans="1:18">
      <c r="A124" t="s">
        <v>1432</v>
      </c>
      <c r="B124" t="s">
        <v>196</v>
      </c>
      <c r="C124" t="s">
        <v>171</v>
      </c>
      <c r="D124">
        <v>0</v>
      </c>
      <c r="E124">
        <v>0</v>
      </c>
      <c r="F124">
        <v>0</v>
      </c>
      <c r="G124">
        <v>0</v>
      </c>
      <c r="H124">
        <v>0</v>
      </c>
      <c r="I124">
        <v>0</v>
      </c>
      <c r="J124">
        <v>0</v>
      </c>
      <c r="K124">
        <v>0</v>
      </c>
      <c r="L124">
        <v>0</v>
      </c>
      <c r="M124">
        <v>0</v>
      </c>
      <c r="N124">
        <v>0</v>
      </c>
      <c r="O124">
        <v>0</v>
      </c>
      <c r="P124">
        <v>0</v>
      </c>
      <c r="Q124">
        <v>0</v>
      </c>
      <c r="R124">
        <v>0</v>
      </c>
    </row>
    <row r="125" spans="1:18">
      <c r="A125" t="s">
        <v>1433</v>
      </c>
      <c r="B125" t="s">
        <v>196</v>
      </c>
      <c r="C125" t="s">
        <v>148</v>
      </c>
      <c r="D125">
        <v>0</v>
      </c>
      <c r="E125">
        <v>0</v>
      </c>
      <c r="F125">
        <v>0</v>
      </c>
      <c r="G125">
        <v>0</v>
      </c>
      <c r="H125">
        <v>0</v>
      </c>
      <c r="I125">
        <v>0</v>
      </c>
      <c r="J125">
        <v>0</v>
      </c>
      <c r="K125">
        <v>0</v>
      </c>
      <c r="L125">
        <v>0</v>
      </c>
      <c r="M125">
        <v>0</v>
      </c>
      <c r="N125">
        <v>0</v>
      </c>
      <c r="O125">
        <v>0</v>
      </c>
      <c r="P125">
        <v>0</v>
      </c>
      <c r="Q125">
        <v>0</v>
      </c>
      <c r="R125">
        <v>0</v>
      </c>
    </row>
    <row r="126" spans="1:18">
      <c r="A126" t="s">
        <v>1434</v>
      </c>
      <c r="B126" t="s">
        <v>196</v>
      </c>
      <c r="C126" t="s">
        <v>184</v>
      </c>
      <c r="D126">
        <v>0</v>
      </c>
      <c r="E126">
        <v>0</v>
      </c>
      <c r="F126">
        <v>0</v>
      </c>
      <c r="G126">
        <v>0</v>
      </c>
      <c r="H126">
        <v>0</v>
      </c>
      <c r="I126">
        <v>0</v>
      </c>
      <c r="J126">
        <v>0</v>
      </c>
      <c r="K126">
        <v>0</v>
      </c>
      <c r="L126">
        <v>0</v>
      </c>
      <c r="M126">
        <v>0</v>
      </c>
      <c r="N126">
        <v>0</v>
      </c>
      <c r="O126">
        <v>0</v>
      </c>
      <c r="P126">
        <v>0</v>
      </c>
      <c r="Q126">
        <v>0</v>
      </c>
      <c r="R126">
        <v>0</v>
      </c>
    </row>
    <row r="127" spans="1:18">
      <c r="A127" t="s">
        <v>1435</v>
      </c>
      <c r="B127" t="s">
        <v>196</v>
      </c>
      <c r="C127" s="4" t="s">
        <v>188</v>
      </c>
      <c r="D127">
        <v>350</v>
      </c>
      <c r="E127">
        <v>383</v>
      </c>
      <c r="F127">
        <v>421</v>
      </c>
      <c r="G127">
        <v>449</v>
      </c>
      <c r="H127">
        <v>355</v>
      </c>
      <c r="I127">
        <v>261</v>
      </c>
      <c r="J127">
        <v>136</v>
      </c>
      <c r="K127">
        <v>9</v>
      </c>
      <c r="L127">
        <v>9</v>
      </c>
      <c r="M127">
        <v>52</v>
      </c>
      <c r="N127">
        <v>80</v>
      </c>
      <c r="O127">
        <v>128</v>
      </c>
      <c r="P127">
        <v>73</v>
      </c>
      <c r="Q127">
        <v>97</v>
      </c>
      <c r="R127">
        <v>87</v>
      </c>
    </row>
    <row r="128" spans="1:18">
      <c r="A128" t="s">
        <v>1436</v>
      </c>
      <c r="B128" t="s">
        <v>196</v>
      </c>
      <c r="C128" s="35" t="s">
        <v>189</v>
      </c>
      <c r="D128">
        <v>284</v>
      </c>
      <c r="E128">
        <v>330</v>
      </c>
      <c r="F128">
        <v>304</v>
      </c>
      <c r="G128">
        <v>292</v>
      </c>
      <c r="H128">
        <v>326</v>
      </c>
      <c r="I128">
        <v>278</v>
      </c>
      <c r="J128">
        <v>298</v>
      </c>
      <c r="K128">
        <v>302</v>
      </c>
      <c r="L128">
        <v>255</v>
      </c>
      <c r="M128">
        <v>169</v>
      </c>
      <c r="N128">
        <v>106</v>
      </c>
      <c r="O128">
        <v>26</v>
      </c>
      <c r="P128">
        <v>7</v>
      </c>
      <c r="Q128">
        <v>6</v>
      </c>
      <c r="R128">
        <v>3</v>
      </c>
    </row>
    <row r="129" spans="1:18">
      <c r="A129" t="s">
        <v>1437</v>
      </c>
      <c r="B129" t="s">
        <v>196</v>
      </c>
      <c r="C129" t="s">
        <v>172</v>
      </c>
      <c r="D129">
        <v>212</v>
      </c>
      <c r="E129">
        <v>219</v>
      </c>
      <c r="F129">
        <v>205</v>
      </c>
      <c r="G129">
        <v>213</v>
      </c>
      <c r="H129">
        <v>251</v>
      </c>
      <c r="I129">
        <v>231</v>
      </c>
      <c r="J129">
        <v>264</v>
      </c>
      <c r="K129">
        <v>276</v>
      </c>
      <c r="L129">
        <v>222</v>
      </c>
      <c r="M129">
        <v>128</v>
      </c>
      <c r="N129">
        <v>55</v>
      </c>
      <c r="O129">
        <v>2</v>
      </c>
      <c r="P129">
        <v>0</v>
      </c>
      <c r="Q129">
        <v>5</v>
      </c>
      <c r="R129">
        <v>3</v>
      </c>
    </row>
    <row r="130" spans="1:18">
      <c r="A130" t="s">
        <v>1438</v>
      </c>
      <c r="B130" t="s">
        <v>196</v>
      </c>
      <c r="C130" t="s">
        <v>30</v>
      </c>
      <c r="D130">
        <v>72</v>
      </c>
      <c r="E130">
        <v>111</v>
      </c>
      <c r="F130">
        <v>99</v>
      </c>
      <c r="G130">
        <v>79</v>
      </c>
      <c r="H130">
        <v>75</v>
      </c>
      <c r="I130">
        <v>47</v>
      </c>
      <c r="J130">
        <v>34</v>
      </c>
      <c r="K130">
        <v>26</v>
      </c>
      <c r="L130">
        <v>33</v>
      </c>
      <c r="M130">
        <v>41</v>
      </c>
      <c r="N130">
        <v>51</v>
      </c>
      <c r="O130">
        <v>24</v>
      </c>
      <c r="P130">
        <v>7</v>
      </c>
      <c r="Q130">
        <v>1</v>
      </c>
      <c r="R130">
        <v>0</v>
      </c>
    </row>
    <row r="131" spans="1:18">
      <c r="A131" t="s">
        <v>1439</v>
      </c>
      <c r="B131" t="s">
        <v>196</v>
      </c>
      <c r="C131" t="s">
        <v>177</v>
      </c>
      <c r="D131">
        <v>0</v>
      </c>
      <c r="E131">
        <v>0</v>
      </c>
      <c r="F131">
        <v>0</v>
      </c>
      <c r="G131">
        <v>0</v>
      </c>
      <c r="H131">
        <v>0</v>
      </c>
      <c r="I131">
        <v>0</v>
      </c>
      <c r="J131">
        <v>0</v>
      </c>
      <c r="K131">
        <v>0</v>
      </c>
      <c r="L131">
        <v>0</v>
      </c>
      <c r="M131">
        <v>0</v>
      </c>
      <c r="N131">
        <v>0</v>
      </c>
      <c r="O131">
        <v>0</v>
      </c>
      <c r="P131">
        <v>0</v>
      </c>
      <c r="Q131">
        <v>0</v>
      </c>
      <c r="R131">
        <v>0</v>
      </c>
    </row>
    <row r="132" spans="1:18">
      <c r="A132" t="s">
        <v>1440</v>
      </c>
      <c r="B132" t="s">
        <v>196</v>
      </c>
      <c r="C132" t="s">
        <v>178</v>
      </c>
      <c r="D132">
        <v>0</v>
      </c>
      <c r="E132">
        <v>0</v>
      </c>
      <c r="F132">
        <v>0</v>
      </c>
      <c r="G132">
        <v>0</v>
      </c>
      <c r="H132">
        <v>0</v>
      </c>
      <c r="I132">
        <v>0</v>
      </c>
      <c r="J132">
        <v>0</v>
      </c>
      <c r="K132">
        <v>0</v>
      </c>
      <c r="L132">
        <v>0</v>
      </c>
      <c r="M132">
        <v>0</v>
      </c>
      <c r="N132">
        <v>0</v>
      </c>
      <c r="O132">
        <v>0</v>
      </c>
      <c r="P132">
        <v>0</v>
      </c>
      <c r="Q132">
        <v>0</v>
      </c>
      <c r="R132">
        <v>0</v>
      </c>
    </row>
    <row r="133" spans="1:18">
      <c r="A133" t="s">
        <v>1441</v>
      </c>
      <c r="B133" t="s">
        <v>197</v>
      </c>
      <c r="C133" t="s">
        <v>193</v>
      </c>
      <c r="D133">
        <v>1149</v>
      </c>
      <c r="E133">
        <v>1084</v>
      </c>
      <c r="F133">
        <v>924</v>
      </c>
      <c r="G133">
        <v>802</v>
      </c>
      <c r="H133">
        <v>732</v>
      </c>
      <c r="I133">
        <v>674</v>
      </c>
      <c r="J133">
        <v>719</v>
      </c>
      <c r="K133">
        <v>692</v>
      </c>
      <c r="L133">
        <v>751</v>
      </c>
      <c r="M133">
        <v>643</v>
      </c>
      <c r="N133">
        <v>588</v>
      </c>
      <c r="O133">
        <v>598</v>
      </c>
      <c r="P133">
        <v>633</v>
      </c>
      <c r="Q133">
        <v>649</v>
      </c>
      <c r="R133">
        <v>718</v>
      </c>
    </row>
    <row r="134" spans="1:18">
      <c r="A134" t="s">
        <v>1442</v>
      </c>
      <c r="B134" t="s">
        <v>197</v>
      </c>
      <c r="C134" s="4" t="s">
        <v>34</v>
      </c>
      <c r="D134">
        <v>515</v>
      </c>
      <c r="E134">
        <v>371</v>
      </c>
      <c r="F134">
        <v>199</v>
      </c>
      <c r="G134">
        <v>61</v>
      </c>
      <c r="H134">
        <v>51</v>
      </c>
      <c r="I134">
        <v>135</v>
      </c>
      <c r="J134">
        <v>285</v>
      </c>
      <c r="K134">
        <v>381</v>
      </c>
      <c r="L134">
        <v>487</v>
      </c>
      <c r="M134">
        <v>422</v>
      </c>
      <c r="N134">
        <v>402</v>
      </c>
      <c r="O134">
        <v>444</v>
      </c>
      <c r="P134">
        <v>553</v>
      </c>
      <c r="Q134">
        <v>546</v>
      </c>
      <c r="R134">
        <v>628</v>
      </c>
    </row>
    <row r="135" spans="1:18">
      <c r="A135" t="s">
        <v>1443</v>
      </c>
      <c r="B135" t="s">
        <v>197</v>
      </c>
      <c r="C135" t="s">
        <v>169</v>
      </c>
      <c r="D135">
        <v>350</v>
      </c>
      <c r="E135">
        <v>383</v>
      </c>
      <c r="F135">
        <v>421</v>
      </c>
      <c r="G135">
        <v>449</v>
      </c>
      <c r="H135">
        <v>355</v>
      </c>
      <c r="I135">
        <v>261</v>
      </c>
      <c r="J135">
        <v>136</v>
      </c>
      <c r="K135">
        <v>9</v>
      </c>
      <c r="L135">
        <v>9</v>
      </c>
      <c r="M135">
        <v>52</v>
      </c>
      <c r="N135">
        <v>80</v>
      </c>
      <c r="O135">
        <v>128</v>
      </c>
      <c r="P135">
        <v>73</v>
      </c>
      <c r="Q135">
        <v>97</v>
      </c>
      <c r="R135">
        <v>87</v>
      </c>
    </row>
    <row r="136" spans="1:18">
      <c r="A136" t="s">
        <v>1444</v>
      </c>
      <c r="B136" t="s">
        <v>197</v>
      </c>
      <c r="C136" t="s">
        <v>170</v>
      </c>
      <c r="D136">
        <v>212</v>
      </c>
      <c r="E136">
        <v>219</v>
      </c>
      <c r="F136">
        <v>205</v>
      </c>
      <c r="G136">
        <v>213</v>
      </c>
      <c r="H136">
        <v>251</v>
      </c>
      <c r="I136">
        <v>231</v>
      </c>
      <c r="J136">
        <v>264</v>
      </c>
      <c r="K136">
        <v>276</v>
      </c>
      <c r="L136">
        <v>222</v>
      </c>
      <c r="M136">
        <v>128</v>
      </c>
      <c r="N136">
        <v>55</v>
      </c>
      <c r="O136">
        <v>2</v>
      </c>
      <c r="P136">
        <v>0</v>
      </c>
      <c r="Q136">
        <v>5</v>
      </c>
      <c r="R136">
        <v>3</v>
      </c>
    </row>
    <row r="137" spans="1:18">
      <c r="A137" t="s">
        <v>1445</v>
      </c>
      <c r="B137" t="s">
        <v>197</v>
      </c>
      <c r="C137" t="s">
        <v>171</v>
      </c>
      <c r="D137">
        <v>72</v>
      </c>
      <c r="E137">
        <v>111</v>
      </c>
      <c r="F137">
        <v>99</v>
      </c>
      <c r="G137">
        <v>79</v>
      </c>
      <c r="H137">
        <v>75</v>
      </c>
      <c r="I137">
        <v>47</v>
      </c>
      <c r="J137">
        <v>34</v>
      </c>
      <c r="K137">
        <v>26</v>
      </c>
      <c r="L137">
        <v>33</v>
      </c>
      <c r="M137">
        <v>41</v>
      </c>
      <c r="N137">
        <v>51</v>
      </c>
      <c r="O137">
        <v>24</v>
      </c>
      <c r="P137">
        <v>7</v>
      </c>
      <c r="Q137">
        <v>1</v>
      </c>
      <c r="R137">
        <v>0</v>
      </c>
    </row>
    <row r="138" spans="1:18">
      <c r="A138" t="s">
        <v>1446</v>
      </c>
      <c r="B138" t="s">
        <v>197</v>
      </c>
      <c r="C138" t="s">
        <v>148</v>
      </c>
      <c r="D138">
        <v>0</v>
      </c>
      <c r="E138">
        <v>0</v>
      </c>
      <c r="F138">
        <v>0</v>
      </c>
      <c r="G138">
        <v>0</v>
      </c>
      <c r="H138">
        <v>0</v>
      </c>
      <c r="I138">
        <v>0</v>
      </c>
      <c r="J138">
        <v>0</v>
      </c>
      <c r="K138">
        <v>0</v>
      </c>
      <c r="L138">
        <v>0</v>
      </c>
      <c r="M138">
        <v>0</v>
      </c>
      <c r="N138">
        <v>0</v>
      </c>
      <c r="O138">
        <v>0</v>
      </c>
      <c r="P138">
        <v>0</v>
      </c>
      <c r="Q138">
        <v>0</v>
      </c>
      <c r="R138">
        <v>0</v>
      </c>
    </row>
    <row r="139" spans="1:18">
      <c r="A139" t="s">
        <v>1447</v>
      </c>
      <c r="B139" t="s">
        <v>197</v>
      </c>
      <c r="C139" t="s">
        <v>184</v>
      </c>
      <c r="D139">
        <v>0</v>
      </c>
      <c r="E139">
        <v>0</v>
      </c>
      <c r="F139">
        <v>0</v>
      </c>
      <c r="G139">
        <v>0</v>
      </c>
      <c r="H139">
        <v>0</v>
      </c>
      <c r="I139">
        <v>0</v>
      </c>
      <c r="J139">
        <v>0</v>
      </c>
      <c r="K139">
        <v>0</v>
      </c>
      <c r="L139">
        <v>0</v>
      </c>
      <c r="M139">
        <v>0</v>
      </c>
      <c r="N139">
        <v>0</v>
      </c>
      <c r="O139">
        <v>0</v>
      </c>
      <c r="P139">
        <v>0</v>
      </c>
      <c r="Q139">
        <v>0</v>
      </c>
      <c r="R139">
        <v>0</v>
      </c>
    </row>
    <row r="140" spans="1:18">
      <c r="A140" t="s">
        <v>1448</v>
      </c>
      <c r="B140" t="s">
        <v>197</v>
      </c>
      <c r="C140" s="4" t="s">
        <v>188</v>
      </c>
      <c r="D140">
        <v>634</v>
      </c>
      <c r="E140">
        <v>713</v>
      </c>
      <c r="F140">
        <v>725</v>
      </c>
      <c r="G140">
        <v>741</v>
      </c>
      <c r="H140">
        <v>681</v>
      </c>
      <c r="I140">
        <v>539</v>
      </c>
      <c r="J140">
        <v>434</v>
      </c>
      <c r="K140">
        <v>311</v>
      </c>
      <c r="L140">
        <v>264</v>
      </c>
      <c r="M140">
        <v>221</v>
      </c>
      <c r="N140">
        <v>186</v>
      </c>
      <c r="O140">
        <v>154</v>
      </c>
      <c r="P140">
        <v>80</v>
      </c>
      <c r="Q140">
        <v>103</v>
      </c>
      <c r="R140">
        <v>90</v>
      </c>
    </row>
    <row r="141" spans="1:18">
      <c r="A141" t="s">
        <v>1449</v>
      </c>
      <c r="B141" t="s">
        <v>197</v>
      </c>
      <c r="C141" s="35" t="s">
        <v>189</v>
      </c>
      <c r="D141">
        <v>284</v>
      </c>
      <c r="E141">
        <v>330</v>
      </c>
      <c r="F141">
        <v>304</v>
      </c>
      <c r="G141">
        <v>292</v>
      </c>
      <c r="H141">
        <v>326</v>
      </c>
      <c r="I141">
        <v>278</v>
      </c>
      <c r="J141">
        <v>298</v>
      </c>
      <c r="K141">
        <v>302</v>
      </c>
      <c r="L141">
        <v>255</v>
      </c>
      <c r="M141">
        <v>169</v>
      </c>
      <c r="N141">
        <v>106</v>
      </c>
      <c r="O141">
        <v>26</v>
      </c>
      <c r="P141">
        <v>7</v>
      </c>
      <c r="Q141">
        <v>6</v>
      </c>
      <c r="R141">
        <v>3</v>
      </c>
    </row>
    <row r="142" spans="1:18">
      <c r="A142" t="s">
        <v>1450</v>
      </c>
      <c r="B142" t="s">
        <v>197</v>
      </c>
      <c r="C142" t="s">
        <v>172</v>
      </c>
      <c r="D142">
        <v>0</v>
      </c>
      <c r="E142">
        <v>0</v>
      </c>
      <c r="F142">
        <v>0</v>
      </c>
      <c r="G142">
        <v>0</v>
      </c>
      <c r="H142">
        <v>0</v>
      </c>
      <c r="I142">
        <v>0</v>
      </c>
      <c r="J142">
        <v>0</v>
      </c>
      <c r="K142">
        <v>0</v>
      </c>
      <c r="L142">
        <v>0</v>
      </c>
      <c r="M142">
        <v>0</v>
      </c>
      <c r="N142">
        <v>0</v>
      </c>
      <c r="O142">
        <v>0</v>
      </c>
      <c r="P142">
        <v>0</v>
      </c>
      <c r="Q142">
        <v>0</v>
      </c>
      <c r="R142">
        <v>0</v>
      </c>
    </row>
    <row r="143" spans="1:18">
      <c r="A143" t="s">
        <v>1451</v>
      </c>
      <c r="B143" t="s">
        <v>197</v>
      </c>
      <c r="C143" t="s">
        <v>30</v>
      </c>
      <c r="D143">
        <v>0</v>
      </c>
      <c r="E143">
        <v>0</v>
      </c>
      <c r="F143">
        <v>0</v>
      </c>
      <c r="G143">
        <v>0</v>
      </c>
      <c r="H143">
        <v>0</v>
      </c>
      <c r="I143">
        <v>0</v>
      </c>
      <c r="J143">
        <v>0</v>
      </c>
      <c r="K143">
        <v>0</v>
      </c>
      <c r="L143">
        <v>0</v>
      </c>
      <c r="M143">
        <v>0</v>
      </c>
      <c r="N143">
        <v>0</v>
      </c>
      <c r="O143">
        <v>0</v>
      </c>
      <c r="P143">
        <v>0</v>
      </c>
      <c r="Q143">
        <v>0</v>
      </c>
      <c r="R143">
        <v>0</v>
      </c>
    </row>
    <row r="144" spans="1:18">
      <c r="A144" t="s">
        <v>1452</v>
      </c>
      <c r="B144" t="s">
        <v>197</v>
      </c>
      <c r="C144" t="s">
        <v>177</v>
      </c>
      <c r="D144">
        <v>0</v>
      </c>
      <c r="E144">
        <v>0</v>
      </c>
      <c r="F144">
        <v>0</v>
      </c>
      <c r="G144">
        <v>0</v>
      </c>
      <c r="H144">
        <v>0</v>
      </c>
      <c r="I144">
        <v>0</v>
      </c>
      <c r="J144">
        <v>0</v>
      </c>
      <c r="K144">
        <v>0</v>
      </c>
      <c r="L144">
        <v>0</v>
      </c>
      <c r="M144">
        <v>0</v>
      </c>
      <c r="N144">
        <v>0</v>
      </c>
      <c r="O144">
        <v>0</v>
      </c>
      <c r="P144">
        <v>0</v>
      </c>
      <c r="Q144">
        <v>0</v>
      </c>
      <c r="R144">
        <v>0</v>
      </c>
    </row>
    <row r="145" spans="1:18">
      <c r="A145" t="s">
        <v>1453</v>
      </c>
      <c r="B145" t="s">
        <v>197</v>
      </c>
      <c r="C145" t="s">
        <v>178</v>
      </c>
      <c r="D145">
        <v>0</v>
      </c>
      <c r="E145">
        <v>0</v>
      </c>
      <c r="F145">
        <v>0</v>
      </c>
      <c r="G145">
        <v>0</v>
      </c>
      <c r="H145">
        <v>0</v>
      </c>
      <c r="I145">
        <v>0</v>
      </c>
      <c r="J145">
        <v>0</v>
      </c>
      <c r="K145">
        <v>0</v>
      </c>
      <c r="L145">
        <v>0</v>
      </c>
      <c r="M145">
        <v>0</v>
      </c>
      <c r="N145">
        <v>0</v>
      </c>
      <c r="O145">
        <v>0</v>
      </c>
      <c r="P145">
        <v>0</v>
      </c>
      <c r="Q145">
        <v>0</v>
      </c>
      <c r="R145">
        <v>0</v>
      </c>
    </row>
    <row r="146" spans="1:18">
      <c r="A146" t="s">
        <v>1454</v>
      </c>
      <c r="B146" t="s">
        <v>194</v>
      </c>
      <c r="C146" t="s">
        <v>193</v>
      </c>
      <c r="D146">
        <v>3256</v>
      </c>
      <c r="E146">
        <v>3109</v>
      </c>
      <c r="F146">
        <v>2988</v>
      </c>
      <c r="G146">
        <v>2906</v>
      </c>
      <c r="H146">
        <v>2832</v>
      </c>
      <c r="I146">
        <v>2665</v>
      </c>
      <c r="J146">
        <v>2528</v>
      </c>
      <c r="K146">
        <v>2477</v>
      </c>
      <c r="L146">
        <v>2506</v>
      </c>
      <c r="M146">
        <v>2358</v>
      </c>
      <c r="N146">
        <v>2411</v>
      </c>
      <c r="O146">
        <v>2489</v>
      </c>
      <c r="P146">
        <v>2372</v>
      </c>
      <c r="Q146">
        <v>2402</v>
      </c>
      <c r="R146">
        <v>2382</v>
      </c>
    </row>
    <row r="147" spans="1:18">
      <c r="A147" t="s">
        <v>1455</v>
      </c>
      <c r="B147" t="s">
        <v>194</v>
      </c>
      <c r="C147" s="4" t="s">
        <v>34</v>
      </c>
      <c r="D147">
        <v>1295</v>
      </c>
      <c r="E147">
        <v>1016</v>
      </c>
      <c r="F147">
        <v>665</v>
      </c>
      <c r="G147">
        <v>451</v>
      </c>
      <c r="H147">
        <v>618</v>
      </c>
      <c r="I147">
        <v>790</v>
      </c>
      <c r="J147">
        <v>875</v>
      </c>
      <c r="K147">
        <v>1020</v>
      </c>
      <c r="L147">
        <v>1092</v>
      </c>
      <c r="M147">
        <v>980</v>
      </c>
      <c r="N147">
        <v>1073</v>
      </c>
      <c r="O147">
        <v>1158</v>
      </c>
      <c r="P147">
        <v>1076</v>
      </c>
      <c r="Q147">
        <v>1203</v>
      </c>
      <c r="R147">
        <v>1288</v>
      </c>
    </row>
    <row r="148" spans="1:18">
      <c r="A148" t="s">
        <v>1456</v>
      </c>
      <c r="B148" t="s">
        <v>194</v>
      </c>
      <c r="C148" t="s">
        <v>169</v>
      </c>
      <c r="D148">
        <v>1961</v>
      </c>
      <c r="E148">
        <v>2093</v>
      </c>
      <c r="F148">
        <v>2323</v>
      </c>
      <c r="G148">
        <v>2455</v>
      </c>
      <c r="H148">
        <v>2214</v>
      </c>
      <c r="I148">
        <v>1875</v>
      </c>
      <c r="J148">
        <v>1653</v>
      </c>
      <c r="K148">
        <v>1457</v>
      </c>
      <c r="L148">
        <v>1414</v>
      </c>
      <c r="M148">
        <v>1378</v>
      </c>
      <c r="N148">
        <v>1338</v>
      </c>
      <c r="O148">
        <v>1331</v>
      </c>
      <c r="P148">
        <v>1296</v>
      </c>
      <c r="Q148">
        <v>1199</v>
      </c>
      <c r="R148">
        <v>1094</v>
      </c>
    </row>
    <row r="149" spans="1:18">
      <c r="A149" t="s">
        <v>1457</v>
      </c>
      <c r="B149" t="s">
        <v>194</v>
      </c>
      <c r="C149" t="s">
        <v>170</v>
      </c>
      <c r="D149">
        <v>0</v>
      </c>
      <c r="E149">
        <v>0</v>
      </c>
      <c r="F149">
        <v>0</v>
      </c>
      <c r="G149">
        <v>0</v>
      </c>
      <c r="H149">
        <v>0</v>
      </c>
      <c r="I149">
        <v>0</v>
      </c>
      <c r="J149">
        <v>0</v>
      </c>
      <c r="K149">
        <v>0</v>
      </c>
      <c r="L149">
        <v>0</v>
      </c>
      <c r="M149">
        <v>0</v>
      </c>
      <c r="N149">
        <v>0</v>
      </c>
      <c r="O149">
        <v>0</v>
      </c>
      <c r="P149">
        <v>0</v>
      </c>
      <c r="Q149">
        <v>0</v>
      </c>
      <c r="R149">
        <v>0</v>
      </c>
    </row>
    <row r="150" spans="1:18">
      <c r="A150" t="s">
        <v>1458</v>
      </c>
      <c r="B150" t="s">
        <v>194</v>
      </c>
      <c r="C150" t="s">
        <v>171</v>
      </c>
      <c r="D150">
        <v>0</v>
      </c>
      <c r="E150">
        <v>0</v>
      </c>
      <c r="F150">
        <v>0</v>
      </c>
      <c r="G150">
        <v>0</v>
      </c>
      <c r="H150">
        <v>0</v>
      </c>
      <c r="I150">
        <v>0</v>
      </c>
      <c r="J150">
        <v>0</v>
      </c>
      <c r="K150">
        <v>0</v>
      </c>
      <c r="L150">
        <v>0</v>
      </c>
      <c r="M150">
        <v>0</v>
      </c>
      <c r="N150">
        <v>0</v>
      </c>
      <c r="O150">
        <v>0</v>
      </c>
      <c r="P150">
        <v>0</v>
      </c>
      <c r="Q150">
        <v>0</v>
      </c>
      <c r="R150">
        <v>0</v>
      </c>
    </row>
    <row r="151" spans="1:18">
      <c r="A151" t="s">
        <v>1459</v>
      </c>
      <c r="B151" t="s">
        <v>194</v>
      </c>
      <c r="C151" t="s">
        <v>148</v>
      </c>
      <c r="D151">
        <v>0</v>
      </c>
      <c r="E151">
        <v>0</v>
      </c>
      <c r="F151">
        <v>0</v>
      </c>
      <c r="G151">
        <v>0</v>
      </c>
      <c r="H151">
        <v>0</v>
      </c>
      <c r="I151">
        <v>0</v>
      </c>
      <c r="J151">
        <v>0</v>
      </c>
      <c r="K151">
        <v>0</v>
      </c>
      <c r="L151">
        <v>0</v>
      </c>
      <c r="M151">
        <v>0</v>
      </c>
      <c r="N151">
        <v>0</v>
      </c>
      <c r="O151">
        <v>0</v>
      </c>
      <c r="P151">
        <v>0</v>
      </c>
      <c r="Q151">
        <v>0</v>
      </c>
      <c r="R151">
        <v>0</v>
      </c>
    </row>
    <row r="152" spans="1:18">
      <c r="A152" t="s">
        <v>1460</v>
      </c>
      <c r="B152" t="s">
        <v>194</v>
      </c>
      <c r="C152" t="s">
        <v>184</v>
      </c>
      <c r="D152">
        <v>0</v>
      </c>
      <c r="E152">
        <v>0</v>
      </c>
      <c r="F152">
        <v>0</v>
      </c>
      <c r="G152">
        <v>0</v>
      </c>
      <c r="H152">
        <v>0</v>
      </c>
      <c r="I152">
        <v>0</v>
      </c>
      <c r="J152">
        <v>0</v>
      </c>
      <c r="K152">
        <v>0</v>
      </c>
      <c r="L152">
        <v>0</v>
      </c>
      <c r="M152">
        <v>0</v>
      </c>
      <c r="N152">
        <v>0</v>
      </c>
      <c r="O152">
        <v>0</v>
      </c>
      <c r="P152">
        <v>0</v>
      </c>
      <c r="Q152">
        <v>0</v>
      </c>
      <c r="R152">
        <v>0</v>
      </c>
    </row>
    <row r="153" spans="1:18">
      <c r="A153" t="s">
        <v>1461</v>
      </c>
      <c r="B153" t="s">
        <v>194</v>
      </c>
      <c r="C153" s="4" t="s">
        <v>188</v>
      </c>
      <c r="D153">
        <v>873</v>
      </c>
      <c r="E153">
        <v>888</v>
      </c>
      <c r="F153">
        <v>1056</v>
      </c>
      <c r="G153">
        <v>1060</v>
      </c>
      <c r="H153">
        <v>801</v>
      </c>
      <c r="I153">
        <v>479</v>
      </c>
      <c r="J153">
        <v>230</v>
      </c>
      <c r="K153">
        <v>133</v>
      </c>
      <c r="L153">
        <v>199</v>
      </c>
      <c r="M153">
        <v>257</v>
      </c>
      <c r="N153">
        <v>317</v>
      </c>
      <c r="O153">
        <v>396</v>
      </c>
      <c r="P153">
        <v>450</v>
      </c>
      <c r="Q153">
        <v>409</v>
      </c>
      <c r="R153">
        <v>361</v>
      </c>
    </row>
    <row r="154" spans="1:18">
      <c r="A154" t="s">
        <v>1462</v>
      </c>
      <c r="B154" t="s">
        <v>194</v>
      </c>
      <c r="C154" s="35" t="s">
        <v>189</v>
      </c>
      <c r="D154">
        <v>1088</v>
      </c>
      <c r="E154">
        <v>1205</v>
      </c>
      <c r="F154">
        <v>1267</v>
      </c>
      <c r="G154">
        <v>1395</v>
      </c>
      <c r="H154">
        <v>1413</v>
      </c>
      <c r="I154">
        <v>1396</v>
      </c>
      <c r="J154">
        <v>1423</v>
      </c>
      <c r="K154">
        <v>1324</v>
      </c>
      <c r="L154">
        <v>1215</v>
      </c>
      <c r="M154">
        <v>1121</v>
      </c>
      <c r="N154">
        <v>1021</v>
      </c>
      <c r="O154">
        <v>935</v>
      </c>
      <c r="P154">
        <v>846</v>
      </c>
      <c r="Q154">
        <v>790</v>
      </c>
      <c r="R154">
        <v>733</v>
      </c>
    </row>
    <row r="155" spans="1:18">
      <c r="A155" t="s">
        <v>1463</v>
      </c>
      <c r="B155" t="s">
        <v>194</v>
      </c>
      <c r="C155" t="s">
        <v>172</v>
      </c>
      <c r="D155">
        <v>478</v>
      </c>
      <c r="E155">
        <v>527</v>
      </c>
      <c r="F155">
        <v>542</v>
      </c>
      <c r="G155">
        <v>629</v>
      </c>
      <c r="H155">
        <v>616</v>
      </c>
      <c r="I155">
        <v>575</v>
      </c>
      <c r="J155">
        <v>592</v>
      </c>
      <c r="K155">
        <v>505</v>
      </c>
      <c r="L155">
        <v>366</v>
      </c>
      <c r="M155">
        <v>244</v>
      </c>
      <c r="N155">
        <v>122</v>
      </c>
      <c r="O155">
        <v>87</v>
      </c>
      <c r="P155">
        <v>104</v>
      </c>
      <c r="Q155">
        <v>126</v>
      </c>
      <c r="R155">
        <v>146</v>
      </c>
    </row>
    <row r="156" spans="1:18">
      <c r="A156" t="s">
        <v>1464</v>
      </c>
      <c r="B156" t="s">
        <v>194</v>
      </c>
      <c r="C156" t="s">
        <v>30</v>
      </c>
      <c r="D156">
        <v>610</v>
      </c>
      <c r="E156">
        <v>678</v>
      </c>
      <c r="F156">
        <v>725</v>
      </c>
      <c r="G156">
        <v>766</v>
      </c>
      <c r="H156">
        <v>797</v>
      </c>
      <c r="I156">
        <v>821</v>
      </c>
      <c r="J156">
        <v>831</v>
      </c>
      <c r="K156">
        <v>819</v>
      </c>
      <c r="L156">
        <v>849</v>
      </c>
      <c r="M156">
        <v>877</v>
      </c>
      <c r="N156">
        <v>899</v>
      </c>
      <c r="O156">
        <v>848</v>
      </c>
      <c r="P156">
        <v>742</v>
      </c>
      <c r="Q156">
        <v>664</v>
      </c>
      <c r="R156">
        <v>587</v>
      </c>
    </row>
    <row r="157" spans="1:18">
      <c r="A157" t="s">
        <v>1465</v>
      </c>
      <c r="B157" t="s">
        <v>195</v>
      </c>
      <c r="C157" t="s">
        <v>193</v>
      </c>
      <c r="D157">
        <v>191</v>
      </c>
      <c r="E157">
        <v>195</v>
      </c>
      <c r="F157">
        <v>177</v>
      </c>
      <c r="G157">
        <v>161</v>
      </c>
      <c r="H157">
        <v>166</v>
      </c>
      <c r="I157">
        <v>164</v>
      </c>
      <c r="J157">
        <v>158</v>
      </c>
      <c r="K157">
        <v>122</v>
      </c>
      <c r="L157">
        <v>106</v>
      </c>
      <c r="M157">
        <v>102</v>
      </c>
      <c r="N157">
        <v>90</v>
      </c>
      <c r="O157">
        <v>96</v>
      </c>
      <c r="P157">
        <v>99</v>
      </c>
      <c r="Q157">
        <v>109</v>
      </c>
      <c r="R157">
        <v>107</v>
      </c>
    </row>
    <row r="158" spans="1:18">
      <c r="A158" t="s">
        <v>1466</v>
      </c>
      <c r="B158" t="s">
        <v>195</v>
      </c>
      <c r="C158" s="4" t="s">
        <v>34</v>
      </c>
      <c r="D158">
        <v>57</v>
      </c>
      <c r="E158">
        <v>43</v>
      </c>
      <c r="F158">
        <v>31</v>
      </c>
      <c r="G158">
        <v>16</v>
      </c>
      <c r="H158">
        <v>28</v>
      </c>
      <c r="I158">
        <v>34</v>
      </c>
      <c r="J158">
        <v>41</v>
      </c>
      <c r="K158">
        <v>35</v>
      </c>
      <c r="L158">
        <v>35</v>
      </c>
      <c r="M158">
        <v>36</v>
      </c>
      <c r="N158">
        <v>30</v>
      </c>
      <c r="O158">
        <v>38</v>
      </c>
      <c r="P158">
        <v>42</v>
      </c>
      <c r="Q158">
        <v>50</v>
      </c>
      <c r="R158">
        <v>61</v>
      </c>
    </row>
    <row r="159" spans="1:18">
      <c r="A159" t="s">
        <v>1467</v>
      </c>
      <c r="B159" t="s">
        <v>195</v>
      </c>
      <c r="C159" t="s">
        <v>169</v>
      </c>
      <c r="D159">
        <v>134</v>
      </c>
      <c r="E159">
        <v>152</v>
      </c>
      <c r="F159">
        <v>146</v>
      </c>
      <c r="G159">
        <v>145</v>
      </c>
      <c r="H159">
        <v>138</v>
      </c>
      <c r="I159">
        <v>130</v>
      </c>
      <c r="J159">
        <v>117</v>
      </c>
      <c r="K159">
        <v>87</v>
      </c>
      <c r="L159">
        <v>71</v>
      </c>
      <c r="M159">
        <v>66</v>
      </c>
      <c r="N159">
        <v>60</v>
      </c>
      <c r="O159">
        <v>58</v>
      </c>
      <c r="P159">
        <v>57</v>
      </c>
      <c r="Q159">
        <v>59</v>
      </c>
      <c r="R159">
        <v>46</v>
      </c>
    </row>
    <row r="160" spans="1:18">
      <c r="A160" t="s">
        <v>1468</v>
      </c>
      <c r="B160" t="s">
        <v>195</v>
      </c>
      <c r="C160" t="s">
        <v>170</v>
      </c>
      <c r="D160">
        <v>0</v>
      </c>
      <c r="E160">
        <v>0</v>
      </c>
      <c r="F160">
        <v>0</v>
      </c>
      <c r="G160">
        <v>0</v>
      </c>
      <c r="H160">
        <v>0</v>
      </c>
      <c r="I160">
        <v>0</v>
      </c>
      <c r="J160">
        <v>0</v>
      </c>
      <c r="K160">
        <v>0</v>
      </c>
      <c r="L160">
        <v>0</v>
      </c>
      <c r="M160">
        <v>0</v>
      </c>
      <c r="N160">
        <v>0</v>
      </c>
      <c r="O160">
        <v>0</v>
      </c>
      <c r="P160">
        <v>0</v>
      </c>
      <c r="Q160">
        <v>0</v>
      </c>
      <c r="R160">
        <v>0</v>
      </c>
    </row>
    <row r="161" spans="1:18">
      <c r="A161" t="s">
        <v>1469</v>
      </c>
      <c r="B161" t="s">
        <v>195</v>
      </c>
      <c r="C161" t="s">
        <v>171</v>
      </c>
      <c r="D161">
        <v>0</v>
      </c>
      <c r="E161">
        <v>0</v>
      </c>
      <c r="F161">
        <v>0</v>
      </c>
      <c r="G161">
        <v>0</v>
      </c>
      <c r="H161">
        <v>0</v>
      </c>
      <c r="I161">
        <v>0</v>
      </c>
      <c r="J161">
        <v>0</v>
      </c>
      <c r="K161">
        <v>0</v>
      </c>
      <c r="L161">
        <v>0</v>
      </c>
      <c r="M161">
        <v>0</v>
      </c>
      <c r="N161">
        <v>0</v>
      </c>
      <c r="O161">
        <v>0</v>
      </c>
      <c r="P161">
        <v>0</v>
      </c>
      <c r="Q161">
        <v>0</v>
      </c>
      <c r="R161">
        <v>0</v>
      </c>
    </row>
    <row r="162" spans="1:18">
      <c r="A162" t="s">
        <v>1470</v>
      </c>
      <c r="B162" t="s">
        <v>195</v>
      </c>
      <c r="C162" t="s">
        <v>148</v>
      </c>
      <c r="D162">
        <v>0</v>
      </c>
      <c r="E162">
        <v>0</v>
      </c>
      <c r="F162">
        <v>0</v>
      </c>
      <c r="G162">
        <v>0</v>
      </c>
      <c r="H162">
        <v>0</v>
      </c>
      <c r="I162">
        <v>0</v>
      </c>
      <c r="J162">
        <v>0</v>
      </c>
      <c r="K162">
        <v>0</v>
      </c>
      <c r="L162">
        <v>0</v>
      </c>
      <c r="M162">
        <v>0</v>
      </c>
      <c r="N162">
        <v>0</v>
      </c>
      <c r="O162">
        <v>0</v>
      </c>
      <c r="P162">
        <v>0</v>
      </c>
      <c r="Q162">
        <v>0</v>
      </c>
      <c r="R162">
        <v>0</v>
      </c>
    </row>
    <row r="163" spans="1:18">
      <c r="A163" t="s">
        <v>1471</v>
      </c>
      <c r="B163" t="s">
        <v>195</v>
      </c>
      <c r="C163" t="s">
        <v>184</v>
      </c>
      <c r="D163">
        <v>0</v>
      </c>
      <c r="E163">
        <v>0</v>
      </c>
      <c r="F163">
        <v>0</v>
      </c>
      <c r="G163">
        <v>0</v>
      </c>
      <c r="H163">
        <v>0</v>
      </c>
      <c r="I163">
        <v>0</v>
      </c>
      <c r="J163">
        <v>0</v>
      </c>
      <c r="K163">
        <v>0</v>
      </c>
      <c r="L163">
        <v>0</v>
      </c>
      <c r="M163">
        <v>0</v>
      </c>
      <c r="N163">
        <v>0</v>
      </c>
      <c r="O163">
        <v>0</v>
      </c>
      <c r="P163">
        <v>0</v>
      </c>
      <c r="Q163">
        <v>0</v>
      </c>
      <c r="R163">
        <v>0</v>
      </c>
    </row>
    <row r="164" spans="1:18">
      <c r="A164" t="s">
        <v>1472</v>
      </c>
      <c r="B164" t="s">
        <v>195</v>
      </c>
      <c r="C164" s="4" t="s">
        <v>188</v>
      </c>
      <c r="D164">
        <v>45</v>
      </c>
      <c r="E164">
        <v>59</v>
      </c>
      <c r="F164">
        <v>62</v>
      </c>
      <c r="G164">
        <v>56</v>
      </c>
      <c r="H164">
        <v>45</v>
      </c>
      <c r="I164">
        <v>31</v>
      </c>
      <c r="J164">
        <v>15</v>
      </c>
      <c r="K164">
        <v>9</v>
      </c>
      <c r="L164">
        <v>11</v>
      </c>
      <c r="M164">
        <v>13</v>
      </c>
      <c r="N164">
        <v>14</v>
      </c>
      <c r="O164">
        <v>12</v>
      </c>
      <c r="P164">
        <v>15</v>
      </c>
      <c r="Q164">
        <v>18</v>
      </c>
      <c r="R164">
        <v>11</v>
      </c>
    </row>
    <row r="165" spans="1:18">
      <c r="A165" t="s">
        <v>1473</v>
      </c>
      <c r="B165" t="s">
        <v>195</v>
      </c>
      <c r="C165" s="35" t="s">
        <v>189</v>
      </c>
      <c r="D165">
        <v>89</v>
      </c>
      <c r="E165">
        <v>93</v>
      </c>
      <c r="F165">
        <v>84</v>
      </c>
      <c r="G165">
        <v>89</v>
      </c>
      <c r="H165">
        <v>93</v>
      </c>
      <c r="I165">
        <v>99</v>
      </c>
      <c r="J165">
        <v>102</v>
      </c>
      <c r="K165">
        <v>78</v>
      </c>
      <c r="L165">
        <v>60</v>
      </c>
      <c r="M165">
        <v>53</v>
      </c>
      <c r="N165">
        <v>46</v>
      </c>
      <c r="O165">
        <v>46</v>
      </c>
      <c r="P165">
        <v>42</v>
      </c>
      <c r="Q165">
        <v>41</v>
      </c>
      <c r="R165">
        <v>35</v>
      </c>
    </row>
    <row r="166" spans="1:18">
      <c r="A166" t="s">
        <v>1474</v>
      </c>
      <c r="B166" t="s">
        <v>195</v>
      </c>
      <c r="C166" t="s">
        <v>172</v>
      </c>
      <c r="D166">
        <v>59</v>
      </c>
      <c r="E166">
        <v>55</v>
      </c>
      <c r="F166">
        <v>47</v>
      </c>
      <c r="G166">
        <v>51</v>
      </c>
      <c r="H166">
        <v>44</v>
      </c>
      <c r="I166">
        <v>46</v>
      </c>
      <c r="J166">
        <v>48</v>
      </c>
      <c r="K166">
        <v>39</v>
      </c>
      <c r="L166">
        <v>22</v>
      </c>
      <c r="M166">
        <v>14</v>
      </c>
      <c r="N166">
        <v>7</v>
      </c>
      <c r="O166">
        <v>7</v>
      </c>
      <c r="P166">
        <v>4</v>
      </c>
      <c r="Q166">
        <v>6</v>
      </c>
      <c r="R166">
        <v>5</v>
      </c>
    </row>
    <row r="167" spans="1:18">
      <c r="A167" t="s">
        <v>1475</v>
      </c>
      <c r="B167" t="s">
        <v>195</v>
      </c>
      <c r="C167" t="s">
        <v>30</v>
      </c>
      <c r="D167">
        <v>30</v>
      </c>
      <c r="E167">
        <v>38</v>
      </c>
      <c r="F167">
        <v>37</v>
      </c>
      <c r="G167">
        <v>38</v>
      </c>
      <c r="H167">
        <v>49</v>
      </c>
      <c r="I167">
        <v>53</v>
      </c>
      <c r="J167">
        <v>54</v>
      </c>
      <c r="K167">
        <v>39</v>
      </c>
      <c r="L167">
        <v>38</v>
      </c>
      <c r="M167">
        <v>39</v>
      </c>
      <c r="N167">
        <v>39</v>
      </c>
      <c r="O167">
        <v>39</v>
      </c>
      <c r="P167">
        <v>38</v>
      </c>
      <c r="Q167">
        <v>35</v>
      </c>
      <c r="R167">
        <v>30</v>
      </c>
    </row>
    <row r="168" spans="1:18">
      <c r="A168" t="s">
        <v>1476</v>
      </c>
      <c r="B168" t="s">
        <v>196</v>
      </c>
      <c r="C168" t="s">
        <v>193</v>
      </c>
      <c r="D168">
        <v>3256</v>
      </c>
      <c r="E168">
        <v>3109</v>
      </c>
      <c r="F168">
        <v>2988</v>
      </c>
      <c r="G168">
        <v>2906</v>
      </c>
      <c r="H168">
        <v>2832</v>
      </c>
      <c r="I168">
        <v>2665</v>
      </c>
      <c r="J168">
        <v>2528</v>
      </c>
      <c r="K168">
        <v>2477</v>
      </c>
      <c r="L168">
        <v>2506</v>
      </c>
      <c r="M168">
        <v>2358</v>
      </c>
      <c r="N168">
        <v>2411</v>
      </c>
      <c r="O168">
        <v>2489</v>
      </c>
      <c r="P168">
        <v>2372</v>
      </c>
      <c r="Q168">
        <v>2402</v>
      </c>
      <c r="R168">
        <v>2382</v>
      </c>
    </row>
    <row r="169" spans="1:18">
      <c r="A169" t="s">
        <v>1477</v>
      </c>
      <c r="B169" t="s">
        <v>196</v>
      </c>
      <c r="C169" s="4" t="s">
        <v>34</v>
      </c>
      <c r="D169">
        <v>1295</v>
      </c>
      <c r="E169">
        <v>1016</v>
      </c>
      <c r="F169">
        <v>665</v>
      </c>
      <c r="G169">
        <v>451</v>
      </c>
      <c r="H169">
        <v>618</v>
      </c>
      <c r="I169">
        <v>790</v>
      </c>
      <c r="J169">
        <v>875</v>
      </c>
      <c r="K169">
        <v>1020</v>
      </c>
      <c r="L169">
        <v>1092</v>
      </c>
      <c r="M169">
        <v>980</v>
      </c>
      <c r="N169">
        <v>1073</v>
      </c>
      <c r="O169">
        <v>1158</v>
      </c>
      <c r="P169">
        <v>1076</v>
      </c>
      <c r="Q169">
        <v>1203</v>
      </c>
      <c r="R169">
        <v>1288</v>
      </c>
    </row>
    <row r="170" spans="1:18">
      <c r="A170" t="s">
        <v>1478</v>
      </c>
      <c r="B170" t="s">
        <v>196</v>
      </c>
      <c r="C170" t="s">
        <v>169</v>
      </c>
      <c r="D170">
        <v>1961</v>
      </c>
      <c r="E170">
        <v>2093</v>
      </c>
      <c r="F170">
        <v>2323</v>
      </c>
      <c r="G170">
        <v>2455</v>
      </c>
      <c r="H170">
        <v>2214</v>
      </c>
      <c r="I170">
        <v>1875</v>
      </c>
      <c r="J170">
        <v>1653</v>
      </c>
      <c r="K170">
        <v>1457</v>
      </c>
      <c r="L170">
        <v>1414</v>
      </c>
      <c r="M170">
        <v>1378</v>
      </c>
      <c r="N170">
        <v>1338</v>
      </c>
      <c r="O170">
        <v>1331</v>
      </c>
      <c r="P170">
        <v>1296</v>
      </c>
      <c r="Q170">
        <v>1199</v>
      </c>
      <c r="R170">
        <v>1094</v>
      </c>
    </row>
    <row r="171" spans="1:18">
      <c r="A171" t="s">
        <v>1479</v>
      </c>
      <c r="B171" t="s">
        <v>196</v>
      </c>
      <c r="C171" t="s">
        <v>170</v>
      </c>
      <c r="D171">
        <v>0</v>
      </c>
      <c r="E171">
        <v>0</v>
      </c>
      <c r="F171">
        <v>0</v>
      </c>
      <c r="G171">
        <v>0</v>
      </c>
      <c r="H171">
        <v>0</v>
      </c>
      <c r="I171">
        <v>0</v>
      </c>
      <c r="J171">
        <v>0</v>
      </c>
      <c r="K171">
        <v>0</v>
      </c>
      <c r="L171">
        <v>0</v>
      </c>
      <c r="M171">
        <v>0</v>
      </c>
      <c r="N171">
        <v>0</v>
      </c>
      <c r="O171">
        <v>0</v>
      </c>
      <c r="P171">
        <v>0</v>
      </c>
      <c r="Q171">
        <v>0</v>
      </c>
      <c r="R171">
        <v>0</v>
      </c>
    </row>
    <row r="172" spans="1:18">
      <c r="A172" t="s">
        <v>1480</v>
      </c>
      <c r="B172" t="s">
        <v>196</v>
      </c>
      <c r="C172" t="s">
        <v>171</v>
      </c>
      <c r="D172">
        <v>0</v>
      </c>
      <c r="E172">
        <v>0</v>
      </c>
      <c r="F172">
        <v>0</v>
      </c>
      <c r="G172">
        <v>0</v>
      </c>
      <c r="H172">
        <v>0</v>
      </c>
      <c r="I172">
        <v>0</v>
      </c>
      <c r="J172">
        <v>0</v>
      </c>
      <c r="K172">
        <v>0</v>
      </c>
      <c r="L172">
        <v>0</v>
      </c>
      <c r="M172">
        <v>0</v>
      </c>
      <c r="N172">
        <v>0</v>
      </c>
      <c r="O172">
        <v>0</v>
      </c>
      <c r="P172">
        <v>0</v>
      </c>
      <c r="Q172">
        <v>0</v>
      </c>
      <c r="R172">
        <v>0</v>
      </c>
    </row>
    <row r="173" spans="1:18">
      <c r="A173" t="s">
        <v>1481</v>
      </c>
      <c r="B173" t="s">
        <v>196</v>
      </c>
      <c r="C173" t="s">
        <v>148</v>
      </c>
      <c r="D173">
        <v>0</v>
      </c>
      <c r="E173">
        <v>0</v>
      </c>
      <c r="F173">
        <v>0</v>
      </c>
      <c r="G173">
        <v>0</v>
      </c>
      <c r="H173">
        <v>0</v>
      </c>
      <c r="I173">
        <v>0</v>
      </c>
      <c r="J173">
        <v>0</v>
      </c>
      <c r="K173">
        <v>0</v>
      </c>
      <c r="L173">
        <v>0</v>
      </c>
      <c r="M173">
        <v>0</v>
      </c>
      <c r="N173">
        <v>0</v>
      </c>
      <c r="O173">
        <v>0</v>
      </c>
      <c r="P173">
        <v>0</v>
      </c>
      <c r="Q173">
        <v>0</v>
      </c>
      <c r="R173">
        <v>0</v>
      </c>
    </row>
    <row r="174" spans="1:18">
      <c r="A174" t="s">
        <v>1482</v>
      </c>
      <c r="B174" t="s">
        <v>196</v>
      </c>
      <c r="C174" t="s">
        <v>184</v>
      </c>
      <c r="D174">
        <v>0</v>
      </c>
      <c r="E174">
        <v>0</v>
      </c>
      <c r="F174">
        <v>0</v>
      </c>
      <c r="G174">
        <v>0</v>
      </c>
      <c r="H174">
        <v>0</v>
      </c>
      <c r="I174">
        <v>0</v>
      </c>
      <c r="J174">
        <v>0</v>
      </c>
      <c r="K174">
        <v>0</v>
      </c>
      <c r="L174">
        <v>0</v>
      </c>
      <c r="M174">
        <v>0</v>
      </c>
      <c r="N174">
        <v>0</v>
      </c>
      <c r="O174">
        <v>0</v>
      </c>
      <c r="P174">
        <v>0</v>
      </c>
      <c r="Q174">
        <v>0</v>
      </c>
      <c r="R174">
        <v>0</v>
      </c>
    </row>
    <row r="175" spans="1:18">
      <c r="A175" t="s">
        <v>1483</v>
      </c>
      <c r="B175" t="s">
        <v>196</v>
      </c>
      <c r="C175" s="4" t="s">
        <v>188</v>
      </c>
      <c r="D175">
        <v>873</v>
      </c>
      <c r="E175">
        <v>888</v>
      </c>
      <c r="F175">
        <v>1056</v>
      </c>
      <c r="G175">
        <v>1060</v>
      </c>
      <c r="H175">
        <v>801</v>
      </c>
      <c r="I175">
        <v>479</v>
      </c>
      <c r="J175">
        <v>230</v>
      </c>
      <c r="K175">
        <v>133</v>
      </c>
      <c r="L175">
        <v>199</v>
      </c>
      <c r="M175">
        <v>257</v>
      </c>
      <c r="N175">
        <v>317</v>
      </c>
      <c r="O175">
        <v>396</v>
      </c>
      <c r="P175">
        <v>450</v>
      </c>
      <c r="Q175">
        <v>409</v>
      </c>
      <c r="R175">
        <v>361</v>
      </c>
    </row>
    <row r="176" spans="1:18">
      <c r="A176" t="s">
        <v>1484</v>
      </c>
      <c r="B176" t="s">
        <v>196</v>
      </c>
      <c r="C176" s="35" t="s">
        <v>189</v>
      </c>
      <c r="D176">
        <v>1088</v>
      </c>
      <c r="E176">
        <v>1205</v>
      </c>
      <c r="F176">
        <v>1267</v>
      </c>
      <c r="G176">
        <v>1395</v>
      </c>
      <c r="H176">
        <v>1413</v>
      </c>
      <c r="I176">
        <v>1396</v>
      </c>
      <c r="J176">
        <v>1423</v>
      </c>
      <c r="K176">
        <v>1324</v>
      </c>
      <c r="L176">
        <v>1215</v>
      </c>
      <c r="M176">
        <v>1121</v>
      </c>
      <c r="N176">
        <v>1021</v>
      </c>
      <c r="O176">
        <v>935</v>
      </c>
      <c r="P176">
        <v>846</v>
      </c>
      <c r="Q176">
        <v>790</v>
      </c>
      <c r="R176">
        <v>733</v>
      </c>
    </row>
    <row r="177" spans="1:18">
      <c r="A177" t="s">
        <v>1485</v>
      </c>
      <c r="B177" t="s">
        <v>196</v>
      </c>
      <c r="C177" t="s">
        <v>172</v>
      </c>
      <c r="D177">
        <v>478</v>
      </c>
      <c r="E177">
        <v>527</v>
      </c>
      <c r="F177">
        <v>542</v>
      </c>
      <c r="G177">
        <v>629</v>
      </c>
      <c r="H177">
        <v>616</v>
      </c>
      <c r="I177">
        <v>575</v>
      </c>
      <c r="J177">
        <v>592</v>
      </c>
      <c r="K177">
        <v>505</v>
      </c>
      <c r="L177">
        <v>366</v>
      </c>
      <c r="M177">
        <v>244</v>
      </c>
      <c r="N177">
        <v>122</v>
      </c>
      <c r="O177">
        <v>87</v>
      </c>
      <c r="P177">
        <v>104</v>
      </c>
      <c r="Q177">
        <v>126</v>
      </c>
      <c r="R177">
        <v>146</v>
      </c>
    </row>
    <row r="178" spans="1:18">
      <c r="A178" t="s">
        <v>1486</v>
      </c>
      <c r="B178" t="s">
        <v>196</v>
      </c>
      <c r="C178" t="s">
        <v>30</v>
      </c>
      <c r="D178">
        <v>610</v>
      </c>
      <c r="E178">
        <v>678</v>
      </c>
      <c r="F178">
        <v>725</v>
      </c>
      <c r="G178">
        <v>766</v>
      </c>
      <c r="H178">
        <v>797</v>
      </c>
      <c r="I178">
        <v>821</v>
      </c>
      <c r="J178">
        <v>831</v>
      </c>
      <c r="K178">
        <v>819</v>
      </c>
      <c r="L178">
        <v>849</v>
      </c>
      <c r="M178">
        <v>877</v>
      </c>
      <c r="N178">
        <v>899</v>
      </c>
      <c r="O178">
        <v>848</v>
      </c>
      <c r="P178">
        <v>742</v>
      </c>
      <c r="Q178">
        <v>664</v>
      </c>
      <c r="R178">
        <v>587</v>
      </c>
    </row>
    <row r="179" spans="1:18">
      <c r="A179" t="s">
        <v>1487</v>
      </c>
      <c r="B179" t="s">
        <v>196</v>
      </c>
      <c r="C179" t="s">
        <v>177</v>
      </c>
      <c r="D179">
        <v>0</v>
      </c>
      <c r="E179">
        <v>0</v>
      </c>
      <c r="F179">
        <v>0</v>
      </c>
      <c r="G179">
        <v>0</v>
      </c>
      <c r="H179">
        <v>0</v>
      </c>
      <c r="I179">
        <v>0</v>
      </c>
      <c r="J179">
        <v>0</v>
      </c>
      <c r="K179">
        <v>0</v>
      </c>
      <c r="L179">
        <v>0</v>
      </c>
      <c r="M179">
        <v>0</v>
      </c>
      <c r="N179">
        <v>0</v>
      </c>
      <c r="O179">
        <v>0</v>
      </c>
      <c r="P179">
        <v>0</v>
      </c>
      <c r="Q179">
        <v>0</v>
      </c>
      <c r="R179">
        <v>0</v>
      </c>
    </row>
    <row r="180" spans="1:18">
      <c r="A180" t="s">
        <v>1488</v>
      </c>
      <c r="B180" t="s">
        <v>196</v>
      </c>
      <c r="C180" t="s">
        <v>178</v>
      </c>
      <c r="D180">
        <v>0</v>
      </c>
      <c r="E180">
        <v>0</v>
      </c>
      <c r="F180">
        <v>0</v>
      </c>
      <c r="G180">
        <v>0</v>
      </c>
      <c r="H180">
        <v>0</v>
      </c>
      <c r="I180">
        <v>0</v>
      </c>
      <c r="J180">
        <v>0</v>
      </c>
      <c r="K180">
        <v>0</v>
      </c>
      <c r="L180">
        <v>0</v>
      </c>
      <c r="M180">
        <v>0</v>
      </c>
      <c r="N180">
        <v>0</v>
      </c>
      <c r="O180">
        <v>0</v>
      </c>
      <c r="P180">
        <v>0</v>
      </c>
      <c r="Q180">
        <v>0</v>
      </c>
      <c r="R180">
        <v>0</v>
      </c>
    </row>
    <row r="181" spans="1:18">
      <c r="A181" t="s">
        <v>1489</v>
      </c>
      <c r="B181" t="s">
        <v>197</v>
      </c>
      <c r="C181" t="s">
        <v>193</v>
      </c>
      <c r="D181">
        <v>3256</v>
      </c>
      <c r="E181">
        <v>3109</v>
      </c>
      <c r="F181">
        <v>2988</v>
      </c>
      <c r="G181">
        <v>2906</v>
      </c>
      <c r="H181">
        <v>2832</v>
      </c>
      <c r="I181">
        <v>2665</v>
      </c>
      <c r="J181">
        <v>2528</v>
      </c>
      <c r="K181">
        <v>2477</v>
      </c>
      <c r="L181">
        <v>2506</v>
      </c>
      <c r="M181">
        <v>2358</v>
      </c>
      <c r="N181">
        <v>2411</v>
      </c>
      <c r="O181">
        <v>2489</v>
      </c>
      <c r="P181">
        <v>2372</v>
      </c>
      <c r="Q181">
        <v>2402</v>
      </c>
      <c r="R181">
        <v>2382</v>
      </c>
    </row>
    <row r="182" spans="1:18">
      <c r="A182" t="s">
        <v>1490</v>
      </c>
      <c r="B182" t="s">
        <v>197</v>
      </c>
      <c r="C182" s="4" t="s">
        <v>34</v>
      </c>
      <c r="D182">
        <v>1295</v>
      </c>
      <c r="E182">
        <v>1016</v>
      </c>
      <c r="F182">
        <v>665</v>
      </c>
      <c r="G182">
        <v>451</v>
      </c>
      <c r="H182">
        <v>618</v>
      </c>
      <c r="I182">
        <v>790</v>
      </c>
      <c r="J182">
        <v>875</v>
      </c>
      <c r="K182">
        <v>1020</v>
      </c>
      <c r="L182">
        <v>1092</v>
      </c>
      <c r="M182">
        <v>980</v>
      </c>
      <c r="N182">
        <v>1073</v>
      </c>
      <c r="O182">
        <v>1158</v>
      </c>
      <c r="P182">
        <v>1076</v>
      </c>
      <c r="Q182">
        <v>1203</v>
      </c>
      <c r="R182">
        <v>1288</v>
      </c>
    </row>
    <row r="183" spans="1:18">
      <c r="A183" t="s">
        <v>1491</v>
      </c>
      <c r="B183" t="s">
        <v>197</v>
      </c>
      <c r="C183" t="s">
        <v>169</v>
      </c>
      <c r="D183">
        <v>873</v>
      </c>
      <c r="E183">
        <v>888</v>
      </c>
      <c r="F183">
        <v>1056</v>
      </c>
      <c r="G183">
        <v>1060</v>
      </c>
      <c r="H183">
        <v>801</v>
      </c>
      <c r="I183">
        <v>479</v>
      </c>
      <c r="J183">
        <v>230</v>
      </c>
      <c r="K183">
        <v>133</v>
      </c>
      <c r="L183">
        <v>199</v>
      </c>
      <c r="M183">
        <v>257</v>
      </c>
      <c r="N183">
        <v>317</v>
      </c>
      <c r="O183">
        <v>396</v>
      </c>
      <c r="P183">
        <v>450</v>
      </c>
      <c r="Q183">
        <v>409</v>
      </c>
      <c r="R183">
        <v>361</v>
      </c>
    </row>
    <row r="184" spans="1:18">
      <c r="A184" t="s">
        <v>1492</v>
      </c>
      <c r="B184" t="s">
        <v>197</v>
      </c>
      <c r="C184" t="s">
        <v>170</v>
      </c>
      <c r="D184">
        <v>478</v>
      </c>
      <c r="E184">
        <v>527</v>
      </c>
      <c r="F184">
        <v>542</v>
      </c>
      <c r="G184">
        <v>629</v>
      </c>
      <c r="H184">
        <v>616</v>
      </c>
      <c r="I184">
        <v>575</v>
      </c>
      <c r="J184">
        <v>592</v>
      </c>
      <c r="K184">
        <v>505</v>
      </c>
      <c r="L184">
        <v>366</v>
      </c>
      <c r="M184">
        <v>244</v>
      </c>
      <c r="N184">
        <v>122</v>
      </c>
      <c r="O184">
        <v>87</v>
      </c>
      <c r="P184">
        <v>104</v>
      </c>
      <c r="Q184">
        <v>126</v>
      </c>
      <c r="R184">
        <v>146</v>
      </c>
    </row>
    <row r="185" spans="1:18">
      <c r="A185" t="s">
        <v>1493</v>
      </c>
      <c r="B185" t="s">
        <v>197</v>
      </c>
      <c r="C185" t="s">
        <v>171</v>
      </c>
      <c r="D185">
        <v>610</v>
      </c>
      <c r="E185">
        <v>678</v>
      </c>
      <c r="F185">
        <v>725</v>
      </c>
      <c r="G185">
        <v>766</v>
      </c>
      <c r="H185">
        <v>797</v>
      </c>
      <c r="I185">
        <v>821</v>
      </c>
      <c r="J185">
        <v>831</v>
      </c>
      <c r="K185">
        <v>819</v>
      </c>
      <c r="L185">
        <v>849</v>
      </c>
      <c r="M185">
        <v>877</v>
      </c>
      <c r="N185">
        <v>899</v>
      </c>
      <c r="O185">
        <v>848</v>
      </c>
      <c r="P185">
        <v>742</v>
      </c>
      <c r="Q185">
        <v>664</v>
      </c>
      <c r="R185">
        <v>587</v>
      </c>
    </row>
    <row r="186" spans="1:18">
      <c r="A186" t="s">
        <v>1494</v>
      </c>
      <c r="B186" t="s">
        <v>197</v>
      </c>
      <c r="C186" t="s">
        <v>148</v>
      </c>
      <c r="D186">
        <v>0</v>
      </c>
      <c r="E186">
        <v>0</v>
      </c>
      <c r="F186">
        <v>0</v>
      </c>
      <c r="G186">
        <v>0</v>
      </c>
      <c r="H186">
        <v>0</v>
      </c>
      <c r="I186">
        <v>0</v>
      </c>
      <c r="J186">
        <v>0</v>
      </c>
      <c r="K186">
        <v>0</v>
      </c>
      <c r="L186">
        <v>0</v>
      </c>
      <c r="M186">
        <v>0</v>
      </c>
      <c r="N186">
        <v>0</v>
      </c>
      <c r="O186">
        <v>0</v>
      </c>
      <c r="P186">
        <v>0</v>
      </c>
      <c r="Q186">
        <v>0</v>
      </c>
      <c r="R186">
        <v>0</v>
      </c>
    </row>
    <row r="187" spans="1:18">
      <c r="A187" t="s">
        <v>1495</v>
      </c>
      <c r="B187" t="s">
        <v>197</v>
      </c>
      <c r="C187" t="s">
        <v>184</v>
      </c>
      <c r="D187">
        <v>0</v>
      </c>
      <c r="E187">
        <v>0</v>
      </c>
      <c r="F187">
        <v>0</v>
      </c>
      <c r="G187">
        <v>0</v>
      </c>
      <c r="H187">
        <v>0</v>
      </c>
      <c r="I187">
        <v>0</v>
      </c>
      <c r="J187">
        <v>0</v>
      </c>
      <c r="K187">
        <v>0</v>
      </c>
      <c r="L187">
        <v>0</v>
      </c>
      <c r="M187">
        <v>0</v>
      </c>
      <c r="N187">
        <v>0</v>
      </c>
      <c r="O187">
        <v>0</v>
      </c>
      <c r="P187">
        <v>0</v>
      </c>
      <c r="Q187">
        <v>0</v>
      </c>
      <c r="R187">
        <v>0</v>
      </c>
    </row>
    <row r="188" spans="1:18">
      <c r="A188" t="s">
        <v>1496</v>
      </c>
      <c r="B188" t="s">
        <v>197</v>
      </c>
      <c r="C188" s="4" t="s">
        <v>188</v>
      </c>
      <c r="D188">
        <v>1961</v>
      </c>
      <c r="E188">
        <v>2093</v>
      </c>
      <c r="F188">
        <v>2323</v>
      </c>
      <c r="G188">
        <v>2455</v>
      </c>
      <c r="H188">
        <v>2214</v>
      </c>
      <c r="I188">
        <v>1875</v>
      </c>
      <c r="J188">
        <v>1653</v>
      </c>
      <c r="K188">
        <v>1457</v>
      </c>
      <c r="L188">
        <v>1414</v>
      </c>
      <c r="M188">
        <v>1378</v>
      </c>
      <c r="N188">
        <v>1338</v>
      </c>
      <c r="O188">
        <v>1331</v>
      </c>
      <c r="P188">
        <v>1296</v>
      </c>
      <c r="Q188">
        <v>1199</v>
      </c>
      <c r="R188">
        <v>1094</v>
      </c>
    </row>
    <row r="189" spans="1:18">
      <c r="A189" t="s">
        <v>1497</v>
      </c>
      <c r="B189" t="s">
        <v>197</v>
      </c>
      <c r="C189" s="35" t="s">
        <v>189</v>
      </c>
      <c r="D189">
        <v>1088</v>
      </c>
      <c r="E189">
        <v>1205</v>
      </c>
      <c r="F189">
        <v>1267</v>
      </c>
      <c r="G189">
        <v>1395</v>
      </c>
      <c r="H189">
        <v>1413</v>
      </c>
      <c r="I189">
        <v>1396</v>
      </c>
      <c r="J189">
        <v>1423</v>
      </c>
      <c r="K189">
        <v>1324</v>
      </c>
      <c r="L189">
        <v>1215</v>
      </c>
      <c r="M189">
        <v>1121</v>
      </c>
      <c r="N189">
        <v>1021</v>
      </c>
      <c r="O189">
        <v>935</v>
      </c>
      <c r="P189">
        <v>846</v>
      </c>
      <c r="Q189">
        <v>790</v>
      </c>
      <c r="R189">
        <v>733</v>
      </c>
    </row>
    <row r="190" spans="1:18">
      <c r="A190" t="s">
        <v>1498</v>
      </c>
      <c r="B190" t="s">
        <v>197</v>
      </c>
      <c r="C190" t="s">
        <v>172</v>
      </c>
      <c r="D190">
        <v>0</v>
      </c>
      <c r="E190">
        <v>0</v>
      </c>
      <c r="F190">
        <v>0</v>
      </c>
      <c r="G190">
        <v>0</v>
      </c>
      <c r="H190">
        <v>0</v>
      </c>
      <c r="I190">
        <v>0</v>
      </c>
      <c r="J190">
        <v>0</v>
      </c>
      <c r="K190">
        <v>0</v>
      </c>
      <c r="L190">
        <v>0</v>
      </c>
      <c r="M190">
        <v>0</v>
      </c>
      <c r="N190">
        <v>0</v>
      </c>
      <c r="O190">
        <v>0</v>
      </c>
      <c r="P190">
        <v>0</v>
      </c>
      <c r="Q190">
        <v>0</v>
      </c>
      <c r="R190">
        <v>0</v>
      </c>
    </row>
    <row r="191" spans="1:18">
      <c r="A191" t="s">
        <v>1499</v>
      </c>
      <c r="B191" t="s">
        <v>197</v>
      </c>
      <c r="C191" t="s">
        <v>30</v>
      </c>
      <c r="D191">
        <v>0</v>
      </c>
      <c r="E191">
        <v>0</v>
      </c>
      <c r="F191">
        <v>0</v>
      </c>
      <c r="G191">
        <v>0</v>
      </c>
      <c r="H191">
        <v>0</v>
      </c>
      <c r="I191">
        <v>0</v>
      </c>
      <c r="J191">
        <v>0</v>
      </c>
      <c r="K191">
        <v>0</v>
      </c>
      <c r="L191">
        <v>0</v>
      </c>
      <c r="M191">
        <v>0</v>
      </c>
      <c r="N191">
        <v>0</v>
      </c>
      <c r="O191">
        <v>0</v>
      </c>
      <c r="P191">
        <v>0</v>
      </c>
      <c r="Q191">
        <v>0</v>
      </c>
      <c r="R191">
        <v>0</v>
      </c>
    </row>
    <row r="192" spans="1:18">
      <c r="A192" t="s">
        <v>1500</v>
      </c>
      <c r="B192" t="s">
        <v>197</v>
      </c>
      <c r="C192" t="s">
        <v>177</v>
      </c>
      <c r="D192">
        <v>0</v>
      </c>
      <c r="E192">
        <v>0</v>
      </c>
      <c r="F192">
        <v>0</v>
      </c>
      <c r="G192">
        <v>0</v>
      </c>
      <c r="H192">
        <v>0</v>
      </c>
      <c r="I192">
        <v>0</v>
      </c>
      <c r="J192">
        <v>0</v>
      </c>
      <c r="K192">
        <v>0</v>
      </c>
      <c r="L192">
        <v>0</v>
      </c>
      <c r="M192">
        <v>0</v>
      </c>
      <c r="N192">
        <v>0</v>
      </c>
      <c r="O192">
        <v>0</v>
      </c>
      <c r="P192">
        <v>0</v>
      </c>
      <c r="Q192">
        <v>0</v>
      </c>
      <c r="R192">
        <v>0</v>
      </c>
    </row>
    <row r="193" spans="1:18">
      <c r="A193" t="s">
        <v>1501</v>
      </c>
      <c r="B193" t="s">
        <v>197</v>
      </c>
      <c r="C193" t="s">
        <v>178</v>
      </c>
      <c r="D193">
        <v>0</v>
      </c>
      <c r="E193">
        <v>0</v>
      </c>
      <c r="F193">
        <v>0</v>
      </c>
      <c r="G193">
        <v>0</v>
      </c>
      <c r="H193">
        <v>0</v>
      </c>
      <c r="I193">
        <v>0</v>
      </c>
      <c r="J193">
        <v>0</v>
      </c>
      <c r="K193">
        <v>0</v>
      </c>
      <c r="L193">
        <v>0</v>
      </c>
      <c r="M193">
        <v>0</v>
      </c>
      <c r="N193">
        <v>0</v>
      </c>
      <c r="O193">
        <v>0</v>
      </c>
      <c r="P193">
        <v>0</v>
      </c>
      <c r="Q193">
        <v>0</v>
      </c>
      <c r="R193">
        <v>0</v>
      </c>
    </row>
    <row r="194" spans="1:18">
      <c r="A194" t="s">
        <v>1502</v>
      </c>
      <c r="B194" t="s">
        <v>194</v>
      </c>
      <c r="C194" t="s">
        <v>193</v>
      </c>
      <c r="D194">
        <v>2516</v>
      </c>
      <c r="E194">
        <v>2489</v>
      </c>
      <c r="F194">
        <v>2661</v>
      </c>
      <c r="G194">
        <v>2671</v>
      </c>
      <c r="H194">
        <v>2690</v>
      </c>
      <c r="I194">
        <v>2692</v>
      </c>
      <c r="J194">
        <v>2713</v>
      </c>
      <c r="K194">
        <v>2557</v>
      </c>
      <c r="L194">
        <v>2485</v>
      </c>
      <c r="M194">
        <v>2055</v>
      </c>
      <c r="N194">
        <v>2110</v>
      </c>
      <c r="O194">
        <v>2161</v>
      </c>
      <c r="P194">
        <v>2101</v>
      </c>
      <c r="Q194">
        <v>2138</v>
      </c>
      <c r="R194">
        <v>2103</v>
      </c>
    </row>
    <row r="195" spans="1:18">
      <c r="A195" t="s">
        <v>1503</v>
      </c>
      <c r="B195" t="s">
        <v>194</v>
      </c>
      <c r="C195" s="4" t="s">
        <v>34</v>
      </c>
      <c r="D195">
        <v>935</v>
      </c>
      <c r="E195">
        <v>820</v>
      </c>
      <c r="F195">
        <v>771</v>
      </c>
      <c r="G195">
        <v>713</v>
      </c>
      <c r="H195">
        <v>808</v>
      </c>
      <c r="I195">
        <v>938</v>
      </c>
      <c r="J195">
        <v>1085</v>
      </c>
      <c r="K195">
        <v>1008</v>
      </c>
      <c r="L195">
        <v>1018</v>
      </c>
      <c r="M195">
        <v>766</v>
      </c>
      <c r="N195">
        <v>857</v>
      </c>
      <c r="O195">
        <v>918</v>
      </c>
      <c r="P195">
        <v>858</v>
      </c>
      <c r="Q195">
        <v>898</v>
      </c>
      <c r="R195">
        <v>921</v>
      </c>
    </row>
    <row r="196" spans="1:18">
      <c r="A196" t="s">
        <v>1504</v>
      </c>
      <c r="B196" t="s">
        <v>194</v>
      </c>
      <c r="C196" t="s">
        <v>169</v>
      </c>
      <c r="D196">
        <v>1581</v>
      </c>
      <c r="E196">
        <v>1669</v>
      </c>
      <c r="F196">
        <v>1890</v>
      </c>
      <c r="G196">
        <v>1958</v>
      </c>
      <c r="H196">
        <v>1882</v>
      </c>
      <c r="I196">
        <v>1754</v>
      </c>
      <c r="J196">
        <v>1628</v>
      </c>
      <c r="K196">
        <v>1549</v>
      </c>
      <c r="L196">
        <v>1467</v>
      </c>
      <c r="M196">
        <v>1289</v>
      </c>
      <c r="N196">
        <v>1253</v>
      </c>
      <c r="O196">
        <v>1243</v>
      </c>
      <c r="P196">
        <v>1243</v>
      </c>
      <c r="Q196">
        <v>1240</v>
      </c>
      <c r="R196">
        <v>1182</v>
      </c>
    </row>
    <row r="197" spans="1:18">
      <c r="A197" t="s">
        <v>1505</v>
      </c>
      <c r="B197" t="s">
        <v>194</v>
      </c>
      <c r="C197" t="s">
        <v>170</v>
      </c>
      <c r="D197">
        <v>0</v>
      </c>
      <c r="E197">
        <v>0</v>
      </c>
      <c r="F197">
        <v>0</v>
      </c>
      <c r="G197">
        <v>0</v>
      </c>
      <c r="H197">
        <v>0</v>
      </c>
      <c r="I197">
        <v>0</v>
      </c>
      <c r="J197">
        <v>0</v>
      </c>
      <c r="K197">
        <v>0</v>
      </c>
      <c r="L197">
        <v>0</v>
      </c>
      <c r="M197">
        <v>0</v>
      </c>
      <c r="N197">
        <v>0</v>
      </c>
      <c r="O197">
        <v>0</v>
      </c>
      <c r="P197">
        <v>0</v>
      </c>
      <c r="Q197">
        <v>0</v>
      </c>
      <c r="R197">
        <v>0</v>
      </c>
    </row>
    <row r="198" spans="1:18">
      <c r="A198" t="s">
        <v>1506</v>
      </c>
      <c r="B198" t="s">
        <v>194</v>
      </c>
      <c r="C198" t="s">
        <v>171</v>
      </c>
      <c r="D198">
        <v>0</v>
      </c>
      <c r="E198">
        <v>0</v>
      </c>
      <c r="F198">
        <v>0</v>
      </c>
      <c r="G198">
        <v>0</v>
      </c>
      <c r="H198">
        <v>0</v>
      </c>
      <c r="I198">
        <v>0</v>
      </c>
      <c r="J198">
        <v>0</v>
      </c>
      <c r="K198">
        <v>0</v>
      </c>
      <c r="L198">
        <v>0</v>
      </c>
      <c r="M198">
        <v>0</v>
      </c>
      <c r="N198">
        <v>0</v>
      </c>
      <c r="O198">
        <v>0</v>
      </c>
      <c r="P198">
        <v>0</v>
      </c>
      <c r="Q198">
        <v>0</v>
      </c>
      <c r="R198">
        <v>0</v>
      </c>
    </row>
    <row r="199" spans="1:18">
      <c r="A199" t="s">
        <v>1507</v>
      </c>
      <c r="B199" t="s">
        <v>194</v>
      </c>
      <c r="C199" t="s">
        <v>148</v>
      </c>
      <c r="D199">
        <v>0</v>
      </c>
      <c r="E199">
        <v>0</v>
      </c>
      <c r="F199">
        <v>0</v>
      </c>
      <c r="G199">
        <v>0</v>
      </c>
      <c r="H199">
        <v>0</v>
      </c>
      <c r="I199">
        <v>0</v>
      </c>
      <c r="J199">
        <v>0</v>
      </c>
      <c r="K199">
        <v>0</v>
      </c>
      <c r="L199">
        <v>0</v>
      </c>
      <c r="M199">
        <v>0</v>
      </c>
      <c r="N199">
        <v>0</v>
      </c>
      <c r="O199">
        <v>0</v>
      </c>
      <c r="P199">
        <v>0</v>
      </c>
      <c r="Q199">
        <v>0</v>
      </c>
      <c r="R199">
        <v>0</v>
      </c>
    </row>
    <row r="200" spans="1:18">
      <c r="A200" t="s">
        <v>1508</v>
      </c>
      <c r="B200" t="s">
        <v>194</v>
      </c>
      <c r="C200" t="s">
        <v>184</v>
      </c>
      <c r="D200">
        <v>0</v>
      </c>
      <c r="E200">
        <v>0</v>
      </c>
      <c r="F200">
        <v>0</v>
      </c>
      <c r="G200">
        <v>0</v>
      </c>
      <c r="H200">
        <v>0</v>
      </c>
      <c r="I200">
        <v>0</v>
      </c>
      <c r="J200">
        <v>0</v>
      </c>
      <c r="K200">
        <v>0</v>
      </c>
      <c r="L200">
        <v>0</v>
      </c>
      <c r="M200">
        <v>0</v>
      </c>
      <c r="N200">
        <v>0</v>
      </c>
      <c r="O200">
        <v>0</v>
      </c>
      <c r="P200">
        <v>0</v>
      </c>
      <c r="Q200">
        <v>0</v>
      </c>
      <c r="R200">
        <v>0</v>
      </c>
    </row>
    <row r="201" spans="1:18">
      <c r="A201" t="s">
        <v>1509</v>
      </c>
      <c r="B201" t="s">
        <v>194</v>
      </c>
      <c r="C201" s="4" t="s">
        <v>188</v>
      </c>
      <c r="D201">
        <v>684</v>
      </c>
      <c r="E201">
        <v>682</v>
      </c>
      <c r="F201">
        <v>790</v>
      </c>
      <c r="G201">
        <v>794</v>
      </c>
      <c r="H201">
        <v>607</v>
      </c>
      <c r="I201">
        <v>424</v>
      </c>
      <c r="J201">
        <v>318</v>
      </c>
      <c r="K201">
        <v>237</v>
      </c>
      <c r="L201">
        <v>305</v>
      </c>
      <c r="M201">
        <v>357</v>
      </c>
      <c r="N201">
        <v>390</v>
      </c>
      <c r="O201">
        <v>405</v>
      </c>
      <c r="P201">
        <v>419</v>
      </c>
      <c r="Q201">
        <v>402</v>
      </c>
      <c r="R201">
        <v>367</v>
      </c>
    </row>
    <row r="202" spans="1:18">
      <c r="A202" t="s">
        <v>1510</v>
      </c>
      <c r="B202" t="s">
        <v>194</v>
      </c>
      <c r="C202" s="35" t="s">
        <v>189</v>
      </c>
      <c r="D202">
        <v>897</v>
      </c>
      <c r="E202">
        <v>987</v>
      </c>
      <c r="F202">
        <v>1100</v>
      </c>
      <c r="G202">
        <v>1164</v>
      </c>
      <c r="H202">
        <v>1275</v>
      </c>
      <c r="I202">
        <v>1330</v>
      </c>
      <c r="J202">
        <v>1310</v>
      </c>
      <c r="K202">
        <v>1312</v>
      </c>
      <c r="L202">
        <v>1162</v>
      </c>
      <c r="M202">
        <v>932</v>
      </c>
      <c r="N202">
        <v>863</v>
      </c>
      <c r="O202">
        <v>838</v>
      </c>
      <c r="P202">
        <v>824</v>
      </c>
      <c r="Q202">
        <v>838</v>
      </c>
      <c r="R202">
        <v>815</v>
      </c>
    </row>
    <row r="203" spans="1:18">
      <c r="A203" t="s">
        <v>1511</v>
      </c>
      <c r="B203" t="s">
        <v>194</v>
      </c>
      <c r="C203" t="s">
        <v>172</v>
      </c>
      <c r="D203">
        <v>475</v>
      </c>
      <c r="E203">
        <v>488</v>
      </c>
      <c r="F203">
        <v>526</v>
      </c>
      <c r="G203">
        <v>580</v>
      </c>
      <c r="H203">
        <v>606</v>
      </c>
      <c r="I203">
        <v>622</v>
      </c>
      <c r="J203">
        <v>605</v>
      </c>
      <c r="K203">
        <v>573</v>
      </c>
      <c r="L203">
        <v>420</v>
      </c>
      <c r="M203">
        <v>270</v>
      </c>
      <c r="N203">
        <v>195</v>
      </c>
      <c r="O203">
        <v>168</v>
      </c>
      <c r="P203">
        <v>203</v>
      </c>
      <c r="Q203">
        <v>245</v>
      </c>
      <c r="R203">
        <v>268</v>
      </c>
    </row>
    <row r="204" spans="1:18">
      <c r="A204" t="s">
        <v>1512</v>
      </c>
      <c r="B204" t="s">
        <v>194</v>
      </c>
      <c r="C204" t="s">
        <v>30</v>
      </c>
      <c r="D204">
        <v>422</v>
      </c>
      <c r="E204">
        <v>499</v>
      </c>
      <c r="F204">
        <v>574</v>
      </c>
      <c r="G204">
        <v>584</v>
      </c>
      <c r="H204">
        <v>669</v>
      </c>
      <c r="I204">
        <v>708</v>
      </c>
      <c r="J204">
        <v>705</v>
      </c>
      <c r="K204">
        <v>739</v>
      </c>
      <c r="L204">
        <v>742</v>
      </c>
      <c r="M204">
        <v>662</v>
      </c>
      <c r="N204">
        <v>668</v>
      </c>
      <c r="O204">
        <v>670</v>
      </c>
      <c r="P204">
        <v>621</v>
      </c>
      <c r="Q204">
        <v>593</v>
      </c>
      <c r="R204">
        <v>547</v>
      </c>
    </row>
    <row r="205" spans="1:18">
      <c r="A205" t="s">
        <v>1513</v>
      </c>
      <c r="B205" t="s">
        <v>195</v>
      </c>
      <c r="C205" t="s">
        <v>193</v>
      </c>
      <c r="D205">
        <v>119</v>
      </c>
      <c r="E205">
        <v>121</v>
      </c>
      <c r="F205">
        <v>125</v>
      </c>
      <c r="G205">
        <v>110</v>
      </c>
      <c r="H205">
        <v>124</v>
      </c>
      <c r="I205">
        <v>114</v>
      </c>
      <c r="J205">
        <v>118</v>
      </c>
      <c r="K205">
        <v>99</v>
      </c>
      <c r="L205">
        <v>98</v>
      </c>
      <c r="M205">
        <v>93</v>
      </c>
      <c r="N205">
        <v>86</v>
      </c>
      <c r="O205">
        <v>97</v>
      </c>
      <c r="P205">
        <v>95</v>
      </c>
      <c r="Q205">
        <v>95</v>
      </c>
      <c r="R205">
        <v>94</v>
      </c>
    </row>
    <row r="206" spans="1:18">
      <c r="A206" t="s">
        <v>1514</v>
      </c>
      <c r="B206" t="s">
        <v>195</v>
      </c>
      <c r="C206" s="4" t="s">
        <v>34</v>
      </c>
      <c r="D206">
        <v>72</v>
      </c>
      <c r="E206">
        <v>66</v>
      </c>
      <c r="F206">
        <v>50</v>
      </c>
      <c r="G206">
        <v>24</v>
      </c>
      <c r="H206">
        <v>38</v>
      </c>
      <c r="I206">
        <v>32</v>
      </c>
      <c r="J206">
        <v>40</v>
      </c>
      <c r="K206">
        <v>40</v>
      </c>
      <c r="L206">
        <v>38</v>
      </c>
      <c r="M206">
        <v>49</v>
      </c>
      <c r="N206">
        <v>51</v>
      </c>
      <c r="O206">
        <v>60</v>
      </c>
      <c r="P206">
        <v>52</v>
      </c>
      <c r="Q206">
        <v>49</v>
      </c>
      <c r="R206">
        <v>63</v>
      </c>
    </row>
    <row r="207" spans="1:18">
      <c r="A207" t="s">
        <v>1515</v>
      </c>
      <c r="B207" t="s">
        <v>195</v>
      </c>
      <c r="C207" t="s">
        <v>169</v>
      </c>
      <c r="D207">
        <v>47</v>
      </c>
      <c r="E207">
        <v>55</v>
      </c>
      <c r="F207">
        <v>75</v>
      </c>
      <c r="G207">
        <v>86</v>
      </c>
      <c r="H207">
        <v>86</v>
      </c>
      <c r="I207">
        <v>82</v>
      </c>
      <c r="J207">
        <v>78</v>
      </c>
      <c r="K207">
        <v>59</v>
      </c>
      <c r="L207">
        <v>60</v>
      </c>
      <c r="M207">
        <v>44</v>
      </c>
      <c r="N207">
        <v>35</v>
      </c>
      <c r="O207">
        <v>37</v>
      </c>
      <c r="P207">
        <v>43</v>
      </c>
      <c r="Q207">
        <v>46</v>
      </c>
      <c r="R207">
        <v>31</v>
      </c>
    </row>
    <row r="208" spans="1:18">
      <c r="A208" t="s">
        <v>1516</v>
      </c>
      <c r="B208" t="s">
        <v>195</v>
      </c>
      <c r="C208" t="s">
        <v>170</v>
      </c>
      <c r="D208">
        <v>0</v>
      </c>
      <c r="E208">
        <v>0</v>
      </c>
      <c r="F208">
        <v>0</v>
      </c>
      <c r="G208">
        <v>0</v>
      </c>
      <c r="H208">
        <v>0</v>
      </c>
      <c r="I208">
        <v>0</v>
      </c>
      <c r="J208">
        <v>0</v>
      </c>
      <c r="K208">
        <v>0</v>
      </c>
      <c r="L208">
        <v>0</v>
      </c>
      <c r="M208">
        <v>0</v>
      </c>
      <c r="N208">
        <v>0</v>
      </c>
      <c r="O208">
        <v>0</v>
      </c>
      <c r="P208">
        <v>0</v>
      </c>
      <c r="Q208">
        <v>0</v>
      </c>
      <c r="R208">
        <v>0</v>
      </c>
    </row>
    <row r="209" spans="1:18">
      <c r="A209" t="s">
        <v>1517</v>
      </c>
      <c r="B209" t="s">
        <v>195</v>
      </c>
      <c r="C209" t="s">
        <v>171</v>
      </c>
      <c r="D209">
        <v>0</v>
      </c>
      <c r="E209">
        <v>0</v>
      </c>
      <c r="F209">
        <v>0</v>
      </c>
      <c r="G209">
        <v>0</v>
      </c>
      <c r="H209">
        <v>0</v>
      </c>
      <c r="I209">
        <v>0</v>
      </c>
      <c r="J209">
        <v>0</v>
      </c>
      <c r="K209">
        <v>0</v>
      </c>
      <c r="L209">
        <v>0</v>
      </c>
      <c r="M209">
        <v>0</v>
      </c>
      <c r="N209">
        <v>0</v>
      </c>
      <c r="O209">
        <v>0</v>
      </c>
      <c r="P209">
        <v>0</v>
      </c>
      <c r="Q209">
        <v>0</v>
      </c>
      <c r="R209">
        <v>0</v>
      </c>
    </row>
    <row r="210" spans="1:18">
      <c r="A210" t="s">
        <v>1518</v>
      </c>
      <c r="B210" t="s">
        <v>195</v>
      </c>
      <c r="C210" t="s">
        <v>148</v>
      </c>
      <c r="D210">
        <v>0</v>
      </c>
      <c r="E210">
        <v>0</v>
      </c>
      <c r="F210">
        <v>0</v>
      </c>
      <c r="G210">
        <v>0</v>
      </c>
      <c r="H210">
        <v>0</v>
      </c>
      <c r="I210">
        <v>0</v>
      </c>
      <c r="J210">
        <v>0</v>
      </c>
      <c r="K210">
        <v>0</v>
      </c>
      <c r="L210">
        <v>0</v>
      </c>
      <c r="M210">
        <v>0</v>
      </c>
      <c r="N210">
        <v>0</v>
      </c>
      <c r="O210">
        <v>0</v>
      </c>
      <c r="P210">
        <v>0</v>
      </c>
      <c r="Q210">
        <v>0</v>
      </c>
      <c r="R210">
        <v>0</v>
      </c>
    </row>
    <row r="211" spans="1:18">
      <c r="A211" t="s">
        <v>1519</v>
      </c>
      <c r="B211" t="s">
        <v>195</v>
      </c>
      <c r="C211" t="s">
        <v>184</v>
      </c>
      <c r="D211">
        <v>0</v>
      </c>
      <c r="E211">
        <v>0</v>
      </c>
      <c r="F211">
        <v>0</v>
      </c>
      <c r="G211">
        <v>0</v>
      </c>
      <c r="H211">
        <v>0</v>
      </c>
      <c r="I211">
        <v>0</v>
      </c>
      <c r="J211">
        <v>0</v>
      </c>
      <c r="K211">
        <v>0</v>
      </c>
      <c r="L211">
        <v>0</v>
      </c>
      <c r="M211">
        <v>0</v>
      </c>
      <c r="N211">
        <v>0</v>
      </c>
      <c r="O211">
        <v>0</v>
      </c>
      <c r="P211">
        <v>0</v>
      </c>
      <c r="Q211">
        <v>0</v>
      </c>
      <c r="R211">
        <v>0</v>
      </c>
    </row>
    <row r="212" spans="1:18">
      <c r="A212" t="s">
        <v>1520</v>
      </c>
      <c r="B212" t="s">
        <v>195</v>
      </c>
      <c r="C212" s="4" t="s">
        <v>188</v>
      </c>
      <c r="D212">
        <v>27</v>
      </c>
      <c r="E212">
        <v>31</v>
      </c>
      <c r="F212">
        <v>45</v>
      </c>
      <c r="G212">
        <v>57</v>
      </c>
      <c r="H212">
        <v>51</v>
      </c>
      <c r="I212">
        <v>43</v>
      </c>
      <c r="J212">
        <v>30</v>
      </c>
      <c r="K212">
        <v>10</v>
      </c>
      <c r="L212">
        <v>13</v>
      </c>
      <c r="M212">
        <v>15</v>
      </c>
      <c r="N212">
        <v>13</v>
      </c>
      <c r="O212">
        <v>17</v>
      </c>
      <c r="P212">
        <v>24</v>
      </c>
      <c r="Q212">
        <v>27</v>
      </c>
      <c r="R212">
        <v>16</v>
      </c>
    </row>
    <row r="213" spans="1:18">
      <c r="A213" t="s">
        <v>1521</v>
      </c>
      <c r="B213" t="s">
        <v>195</v>
      </c>
      <c r="C213" s="35" t="s">
        <v>189</v>
      </c>
      <c r="D213">
        <v>20</v>
      </c>
      <c r="E213">
        <v>24</v>
      </c>
      <c r="F213">
        <v>30</v>
      </c>
      <c r="G213">
        <v>29</v>
      </c>
      <c r="H213">
        <v>35</v>
      </c>
      <c r="I213">
        <v>39</v>
      </c>
      <c r="J213">
        <v>48</v>
      </c>
      <c r="K213">
        <v>49</v>
      </c>
      <c r="L213">
        <v>47</v>
      </c>
      <c r="M213">
        <v>29</v>
      </c>
      <c r="N213">
        <v>22</v>
      </c>
      <c r="O213">
        <v>20</v>
      </c>
      <c r="P213">
        <v>19</v>
      </c>
      <c r="Q213">
        <v>19</v>
      </c>
      <c r="R213">
        <v>15</v>
      </c>
    </row>
    <row r="214" spans="1:18">
      <c r="A214" t="s">
        <v>1522</v>
      </c>
      <c r="B214" t="s">
        <v>195</v>
      </c>
      <c r="C214" t="s">
        <v>172</v>
      </c>
      <c r="D214">
        <v>9</v>
      </c>
      <c r="E214">
        <v>12</v>
      </c>
      <c r="F214">
        <v>17</v>
      </c>
      <c r="G214">
        <v>17</v>
      </c>
      <c r="H214">
        <v>19</v>
      </c>
      <c r="I214">
        <v>20</v>
      </c>
      <c r="J214">
        <v>28</v>
      </c>
      <c r="K214">
        <v>31</v>
      </c>
      <c r="L214">
        <v>29</v>
      </c>
      <c r="M214">
        <v>14</v>
      </c>
      <c r="N214">
        <v>9</v>
      </c>
      <c r="O214">
        <v>6</v>
      </c>
      <c r="P214">
        <v>4</v>
      </c>
      <c r="Q214">
        <v>6</v>
      </c>
      <c r="R214">
        <v>6</v>
      </c>
    </row>
    <row r="215" spans="1:18">
      <c r="A215" t="s">
        <v>1523</v>
      </c>
      <c r="B215" t="s">
        <v>195</v>
      </c>
      <c r="C215" t="s">
        <v>30</v>
      </c>
      <c r="D215">
        <v>11</v>
      </c>
      <c r="E215">
        <v>12</v>
      </c>
      <c r="F215">
        <v>13</v>
      </c>
      <c r="G215">
        <v>12</v>
      </c>
      <c r="H215">
        <v>16</v>
      </c>
      <c r="I215">
        <v>19</v>
      </c>
      <c r="J215">
        <v>20</v>
      </c>
      <c r="K215">
        <v>18</v>
      </c>
      <c r="L215">
        <v>18</v>
      </c>
      <c r="M215">
        <v>15</v>
      </c>
      <c r="N215">
        <v>13</v>
      </c>
      <c r="O215">
        <v>14</v>
      </c>
      <c r="P215">
        <v>15</v>
      </c>
      <c r="Q215">
        <v>13</v>
      </c>
      <c r="R215">
        <v>9</v>
      </c>
    </row>
    <row r="216" spans="1:18">
      <c r="A216" t="s">
        <v>1524</v>
      </c>
      <c r="B216" t="s">
        <v>196</v>
      </c>
      <c r="C216" t="s">
        <v>193</v>
      </c>
      <c r="D216">
        <v>2516</v>
      </c>
      <c r="E216">
        <v>2489</v>
      </c>
      <c r="F216">
        <v>2661</v>
      </c>
      <c r="G216">
        <v>2671</v>
      </c>
      <c r="H216">
        <v>2690</v>
      </c>
      <c r="I216">
        <v>2692</v>
      </c>
      <c r="J216">
        <v>2713</v>
      </c>
      <c r="K216">
        <v>2557</v>
      </c>
      <c r="L216">
        <v>2485</v>
      </c>
      <c r="M216">
        <v>2055</v>
      </c>
      <c r="N216">
        <v>2110</v>
      </c>
      <c r="O216">
        <v>2161</v>
      </c>
      <c r="P216">
        <v>2101</v>
      </c>
      <c r="Q216">
        <v>2138</v>
      </c>
      <c r="R216">
        <v>2103</v>
      </c>
    </row>
    <row r="217" spans="1:18">
      <c r="A217" t="s">
        <v>1525</v>
      </c>
      <c r="B217" t="s">
        <v>196</v>
      </c>
      <c r="C217" s="4" t="s">
        <v>34</v>
      </c>
      <c r="D217">
        <v>927</v>
      </c>
      <c r="E217">
        <v>810</v>
      </c>
      <c r="F217">
        <v>769</v>
      </c>
      <c r="G217">
        <v>707</v>
      </c>
      <c r="H217">
        <v>803</v>
      </c>
      <c r="I217">
        <v>936</v>
      </c>
      <c r="J217">
        <v>1083</v>
      </c>
      <c r="K217">
        <v>1007</v>
      </c>
      <c r="L217">
        <v>1018</v>
      </c>
      <c r="M217">
        <v>765</v>
      </c>
      <c r="N217">
        <v>855</v>
      </c>
      <c r="O217">
        <v>916</v>
      </c>
      <c r="P217">
        <v>855</v>
      </c>
      <c r="Q217">
        <v>896</v>
      </c>
      <c r="R217">
        <v>921</v>
      </c>
    </row>
    <row r="218" spans="1:18">
      <c r="A218" t="s">
        <v>1526</v>
      </c>
      <c r="B218" t="s">
        <v>196</v>
      </c>
      <c r="C218" t="s">
        <v>169</v>
      </c>
      <c r="D218">
        <v>1589</v>
      </c>
      <c r="E218">
        <v>1679</v>
      </c>
      <c r="F218">
        <v>1892</v>
      </c>
      <c r="G218">
        <v>1964</v>
      </c>
      <c r="H218">
        <v>1887</v>
      </c>
      <c r="I218">
        <v>1756</v>
      </c>
      <c r="J218">
        <v>1630</v>
      </c>
      <c r="K218">
        <v>1550</v>
      </c>
      <c r="L218">
        <v>1467</v>
      </c>
      <c r="M218">
        <v>1290</v>
      </c>
      <c r="N218">
        <v>1255</v>
      </c>
      <c r="O218">
        <v>1245</v>
      </c>
      <c r="P218">
        <v>1246</v>
      </c>
      <c r="Q218">
        <v>1242</v>
      </c>
      <c r="R218">
        <v>1182</v>
      </c>
    </row>
    <row r="219" spans="1:18">
      <c r="A219" t="s">
        <v>1527</v>
      </c>
      <c r="B219" t="s">
        <v>196</v>
      </c>
      <c r="C219" t="s">
        <v>170</v>
      </c>
      <c r="D219">
        <v>0</v>
      </c>
      <c r="E219">
        <v>0</v>
      </c>
      <c r="F219">
        <v>0</v>
      </c>
      <c r="G219">
        <v>0</v>
      </c>
      <c r="H219">
        <v>0</v>
      </c>
      <c r="I219">
        <v>0</v>
      </c>
      <c r="J219">
        <v>0</v>
      </c>
      <c r="K219">
        <v>0</v>
      </c>
      <c r="L219">
        <v>0</v>
      </c>
      <c r="M219">
        <v>0</v>
      </c>
      <c r="N219">
        <v>0</v>
      </c>
      <c r="O219">
        <v>0</v>
      </c>
      <c r="P219">
        <v>0</v>
      </c>
      <c r="Q219">
        <v>0</v>
      </c>
      <c r="R219">
        <v>0</v>
      </c>
    </row>
    <row r="220" spans="1:18">
      <c r="A220" t="s">
        <v>1528</v>
      </c>
      <c r="B220" t="s">
        <v>196</v>
      </c>
      <c r="C220" t="s">
        <v>171</v>
      </c>
      <c r="D220">
        <v>0</v>
      </c>
      <c r="E220">
        <v>0</v>
      </c>
      <c r="F220">
        <v>0</v>
      </c>
      <c r="G220">
        <v>0</v>
      </c>
      <c r="H220">
        <v>0</v>
      </c>
      <c r="I220">
        <v>0</v>
      </c>
      <c r="J220">
        <v>0</v>
      </c>
      <c r="K220">
        <v>0</v>
      </c>
      <c r="L220">
        <v>0</v>
      </c>
      <c r="M220">
        <v>0</v>
      </c>
      <c r="N220">
        <v>0</v>
      </c>
      <c r="O220">
        <v>0</v>
      </c>
      <c r="P220">
        <v>0</v>
      </c>
      <c r="Q220">
        <v>0</v>
      </c>
      <c r="R220">
        <v>0</v>
      </c>
    </row>
    <row r="221" spans="1:18">
      <c r="A221" t="s">
        <v>1529</v>
      </c>
      <c r="B221" t="s">
        <v>196</v>
      </c>
      <c r="C221" t="s">
        <v>148</v>
      </c>
      <c r="D221">
        <v>0</v>
      </c>
      <c r="E221">
        <v>0</v>
      </c>
      <c r="F221">
        <v>0</v>
      </c>
      <c r="G221">
        <v>0</v>
      </c>
      <c r="H221">
        <v>0</v>
      </c>
      <c r="I221">
        <v>0</v>
      </c>
      <c r="J221">
        <v>0</v>
      </c>
      <c r="K221">
        <v>0</v>
      </c>
      <c r="L221">
        <v>0</v>
      </c>
      <c r="M221">
        <v>0</v>
      </c>
      <c r="N221">
        <v>0</v>
      </c>
      <c r="O221">
        <v>0</v>
      </c>
      <c r="P221">
        <v>0</v>
      </c>
      <c r="Q221">
        <v>0</v>
      </c>
      <c r="R221">
        <v>0</v>
      </c>
    </row>
    <row r="222" spans="1:18">
      <c r="A222" t="s">
        <v>1530</v>
      </c>
      <c r="B222" t="s">
        <v>196</v>
      </c>
      <c r="C222" t="s">
        <v>184</v>
      </c>
      <c r="D222">
        <v>0</v>
      </c>
      <c r="E222">
        <v>0</v>
      </c>
      <c r="F222">
        <v>0</v>
      </c>
      <c r="G222">
        <v>0</v>
      </c>
      <c r="H222">
        <v>0</v>
      </c>
      <c r="I222">
        <v>0</v>
      </c>
      <c r="J222">
        <v>0</v>
      </c>
      <c r="K222">
        <v>0</v>
      </c>
      <c r="L222">
        <v>0</v>
      </c>
      <c r="M222">
        <v>0</v>
      </c>
      <c r="N222">
        <v>0</v>
      </c>
      <c r="O222">
        <v>0</v>
      </c>
      <c r="P222">
        <v>0</v>
      </c>
      <c r="Q222">
        <v>0</v>
      </c>
      <c r="R222">
        <v>0</v>
      </c>
    </row>
    <row r="223" spans="1:18">
      <c r="A223" t="s">
        <v>1531</v>
      </c>
      <c r="B223" t="s">
        <v>196</v>
      </c>
      <c r="C223" s="4" t="s">
        <v>188</v>
      </c>
      <c r="D223">
        <v>687</v>
      </c>
      <c r="E223">
        <v>687</v>
      </c>
      <c r="F223">
        <v>790</v>
      </c>
      <c r="G223">
        <v>795</v>
      </c>
      <c r="H223">
        <v>603</v>
      </c>
      <c r="I223">
        <v>419</v>
      </c>
      <c r="J223">
        <v>318</v>
      </c>
      <c r="K223">
        <v>230</v>
      </c>
      <c r="L223">
        <v>301</v>
      </c>
      <c r="M223">
        <v>356</v>
      </c>
      <c r="N223">
        <v>390</v>
      </c>
      <c r="O223">
        <v>406</v>
      </c>
      <c r="P223">
        <v>422</v>
      </c>
      <c r="Q223">
        <v>404</v>
      </c>
      <c r="R223">
        <v>365</v>
      </c>
    </row>
    <row r="224" spans="1:18">
      <c r="A224" t="s">
        <v>1532</v>
      </c>
      <c r="B224" t="s">
        <v>196</v>
      </c>
      <c r="C224" s="35" t="s">
        <v>189</v>
      </c>
      <c r="D224">
        <v>902</v>
      </c>
      <c r="E224">
        <v>992</v>
      </c>
      <c r="F224">
        <v>1102</v>
      </c>
      <c r="G224">
        <v>1169</v>
      </c>
      <c r="H224">
        <v>1284</v>
      </c>
      <c r="I224">
        <v>1337</v>
      </c>
      <c r="J224">
        <v>1312</v>
      </c>
      <c r="K224">
        <v>1320</v>
      </c>
      <c r="L224">
        <v>1166</v>
      </c>
      <c r="M224">
        <v>934</v>
      </c>
      <c r="N224">
        <v>865</v>
      </c>
      <c r="O224">
        <v>839</v>
      </c>
      <c r="P224">
        <v>824</v>
      </c>
      <c r="Q224">
        <v>838</v>
      </c>
      <c r="R224">
        <v>817</v>
      </c>
    </row>
    <row r="225" spans="1:18">
      <c r="A225" t="s">
        <v>1533</v>
      </c>
      <c r="B225" t="s">
        <v>196</v>
      </c>
      <c r="C225" t="s">
        <v>172</v>
      </c>
      <c r="D225">
        <v>475</v>
      </c>
      <c r="E225">
        <v>487</v>
      </c>
      <c r="F225">
        <v>523</v>
      </c>
      <c r="G225">
        <v>582</v>
      </c>
      <c r="H225">
        <v>611</v>
      </c>
      <c r="I225">
        <v>625</v>
      </c>
      <c r="J225">
        <v>605</v>
      </c>
      <c r="K225">
        <v>574</v>
      </c>
      <c r="L225">
        <v>417</v>
      </c>
      <c r="M225">
        <v>267</v>
      </c>
      <c r="N225">
        <v>195</v>
      </c>
      <c r="O225">
        <v>162</v>
      </c>
      <c r="P225">
        <v>200</v>
      </c>
      <c r="Q225">
        <v>243</v>
      </c>
      <c r="R225">
        <v>268</v>
      </c>
    </row>
    <row r="226" spans="1:18">
      <c r="A226" t="s">
        <v>1534</v>
      </c>
      <c r="B226" t="s">
        <v>196</v>
      </c>
      <c r="C226" t="s">
        <v>30</v>
      </c>
      <c r="D226">
        <v>427</v>
      </c>
      <c r="E226">
        <v>505</v>
      </c>
      <c r="F226">
        <v>579</v>
      </c>
      <c r="G226">
        <v>587</v>
      </c>
      <c r="H226">
        <v>673</v>
      </c>
      <c r="I226">
        <v>712</v>
      </c>
      <c r="J226">
        <v>707</v>
      </c>
      <c r="K226">
        <v>746</v>
      </c>
      <c r="L226">
        <v>749</v>
      </c>
      <c r="M226">
        <v>667</v>
      </c>
      <c r="N226">
        <v>670</v>
      </c>
      <c r="O226">
        <v>677</v>
      </c>
      <c r="P226">
        <v>624</v>
      </c>
      <c r="Q226">
        <v>595</v>
      </c>
      <c r="R226">
        <v>549</v>
      </c>
    </row>
    <row r="227" spans="1:18">
      <c r="A227" t="s">
        <v>1535</v>
      </c>
      <c r="B227" t="s">
        <v>196</v>
      </c>
      <c r="C227" t="s">
        <v>177</v>
      </c>
      <c r="D227">
        <v>0</v>
      </c>
      <c r="E227">
        <v>0</v>
      </c>
      <c r="F227">
        <v>0</v>
      </c>
      <c r="G227">
        <v>0</v>
      </c>
      <c r="H227">
        <v>0</v>
      </c>
      <c r="I227">
        <v>0</v>
      </c>
      <c r="J227">
        <v>0</v>
      </c>
      <c r="K227">
        <v>0</v>
      </c>
      <c r="L227">
        <v>0</v>
      </c>
      <c r="M227">
        <v>0</v>
      </c>
      <c r="N227">
        <v>0</v>
      </c>
      <c r="O227">
        <v>0</v>
      </c>
      <c r="P227">
        <v>0</v>
      </c>
      <c r="Q227">
        <v>0</v>
      </c>
      <c r="R227">
        <v>0</v>
      </c>
    </row>
    <row r="228" spans="1:18">
      <c r="A228" t="s">
        <v>1536</v>
      </c>
      <c r="B228" t="s">
        <v>196</v>
      </c>
      <c r="C228" t="s">
        <v>178</v>
      </c>
      <c r="D228">
        <v>0</v>
      </c>
      <c r="E228">
        <v>0</v>
      </c>
      <c r="F228">
        <v>0</v>
      </c>
      <c r="G228">
        <v>0</v>
      </c>
      <c r="H228">
        <v>0</v>
      </c>
      <c r="I228">
        <v>0</v>
      </c>
      <c r="J228">
        <v>0</v>
      </c>
      <c r="K228">
        <v>0</v>
      </c>
      <c r="L228">
        <v>0</v>
      </c>
      <c r="M228">
        <v>0</v>
      </c>
      <c r="N228">
        <v>0</v>
      </c>
      <c r="O228">
        <v>0</v>
      </c>
      <c r="P228">
        <v>0</v>
      </c>
      <c r="Q228">
        <v>0</v>
      </c>
      <c r="R228">
        <v>0</v>
      </c>
    </row>
    <row r="229" spans="1:18">
      <c r="A229" t="s">
        <v>1537</v>
      </c>
      <c r="B229" t="s">
        <v>197</v>
      </c>
      <c r="C229" t="s">
        <v>193</v>
      </c>
      <c r="D229">
        <v>2516</v>
      </c>
      <c r="E229">
        <v>2489</v>
      </c>
      <c r="F229">
        <v>2661</v>
      </c>
      <c r="G229">
        <v>2671</v>
      </c>
      <c r="H229">
        <v>2690</v>
      </c>
      <c r="I229">
        <v>2692</v>
      </c>
      <c r="J229">
        <v>2713</v>
      </c>
      <c r="K229">
        <v>2557</v>
      </c>
      <c r="L229">
        <v>2485</v>
      </c>
      <c r="M229">
        <v>2055</v>
      </c>
      <c r="N229">
        <v>2110</v>
      </c>
      <c r="O229">
        <v>2161</v>
      </c>
      <c r="P229">
        <v>2101</v>
      </c>
      <c r="Q229">
        <v>2138</v>
      </c>
      <c r="R229">
        <v>2103</v>
      </c>
    </row>
    <row r="230" spans="1:18">
      <c r="A230" t="s">
        <v>1538</v>
      </c>
      <c r="B230" t="s">
        <v>197</v>
      </c>
      <c r="C230" s="4" t="s">
        <v>34</v>
      </c>
      <c r="D230">
        <v>927</v>
      </c>
      <c r="E230">
        <v>810</v>
      </c>
      <c r="F230">
        <v>769</v>
      </c>
      <c r="G230">
        <v>707</v>
      </c>
      <c r="H230">
        <v>803</v>
      </c>
      <c r="I230">
        <v>936</v>
      </c>
      <c r="J230">
        <v>1083</v>
      </c>
      <c r="K230">
        <v>1007</v>
      </c>
      <c r="L230">
        <v>1018</v>
      </c>
      <c r="M230">
        <v>765</v>
      </c>
      <c r="N230">
        <v>855</v>
      </c>
      <c r="O230">
        <v>916</v>
      </c>
      <c r="P230">
        <v>855</v>
      </c>
      <c r="Q230">
        <v>896</v>
      </c>
      <c r="R230">
        <v>921</v>
      </c>
    </row>
    <row r="231" spans="1:18">
      <c r="A231" t="s">
        <v>1539</v>
      </c>
      <c r="B231" t="s">
        <v>197</v>
      </c>
      <c r="C231" t="s">
        <v>169</v>
      </c>
      <c r="D231">
        <v>687</v>
      </c>
      <c r="E231">
        <v>687</v>
      </c>
      <c r="F231">
        <v>790</v>
      </c>
      <c r="G231">
        <v>795</v>
      </c>
      <c r="H231">
        <v>603</v>
      </c>
      <c r="I231">
        <v>419</v>
      </c>
      <c r="J231">
        <v>318</v>
      </c>
      <c r="K231">
        <v>230</v>
      </c>
      <c r="L231">
        <v>301</v>
      </c>
      <c r="M231">
        <v>356</v>
      </c>
      <c r="N231">
        <v>390</v>
      </c>
      <c r="O231">
        <v>406</v>
      </c>
      <c r="P231">
        <v>422</v>
      </c>
      <c r="Q231">
        <v>404</v>
      </c>
      <c r="R231">
        <v>365</v>
      </c>
    </row>
    <row r="232" spans="1:18">
      <c r="A232" t="s">
        <v>1540</v>
      </c>
      <c r="B232" t="s">
        <v>197</v>
      </c>
      <c r="C232" t="s">
        <v>170</v>
      </c>
      <c r="D232">
        <v>475</v>
      </c>
      <c r="E232">
        <v>487</v>
      </c>
      <c r="F232">
        <v>523</v>
      </c>
      <c r="G232">
        <v>582</v>
      </c>
      <c r="H232">
        <v>611</v>
      </c>
      <c r="I232">
        <v>625</v>
      </c>
      <c r="J232">
        <v>605</v>
      </c>
      <c r="K232">
        <v>574</v>
      </c>
      <c r="L232">
        <v>417</v>
      </c>
      <c r="M232">
        <v>267</v>
      </c>
      <c r="N232">
        <v>195</v>
      </c>
      <c r="O232">
        <v>162</v>
      </c>
      <c r="P232">
        <v>200</v>
      </c>
      <c r="Q232">
        <v>243</v>
      </c>
      <c r="R232">
        <v>268</v>
      </c>
    </row>
    <row r="233" spans="1:18">
      <c r="A233" t="s">
        <v>1541</v>
      </c>
      <c r="B233" t="s">
        <v>197</v>
      </c>
      <c r="C233" t="s">
        <v>171</v>
      </c>
      <c r="D233">
        <v>427</v>
      </c>
      <c r="E233">
        <v>505</v>
      </c>
      <c r="F233">
        <v>579</v>
      </c>
      <c r="G233">
        <v>587</v>
      </c>
      <c r="H233">
        <v>673</v>
      </c>
      <c r="I233">
        <v>712</v>
      </c>
      <c r="J233">
        <v>707</v>
      </c>
      <c r="K233">
        <v>746</v>
      </c>
      <c r="L233">
        <v>749</v>
      </c>
      <c r="M233">
        <v>667</v>
      </c>
      <c r="N233">
        <v>670</v>
      </c>
      <c r="O233">
        <v>677</v>
      </c>
      <c r="P233">
        <v>624</v>
      </c>
      <c r="Q233">
        <v>595</v>
      </c>
      <c r="R233">
        <v>549</v>
      </c>
    </row>
    <row r="234" spans="1:18">
      <c r="A234" t="s">
        <v>1542</v>
      </c>
      <c r="B234" t="s">
        <v>197</v>
      </c>
      <c r="C234" t="s">
        <v>148</v>
      </c>
      <c r="D234">
        <v>0</v>
      </c>
      <c r="E234">
        <v>0</v>
      </c>
      <c r="F234">
        <v>0</v>
      </c>
      <c r="G234">
        <v>0</v>
      </c>
      <c r="H234">
        <v>0</v>
      </c>
      <c r="I234">
        <v>0</v>
      </c>
      <c r="J234">
        <v>0</v>
      </c>
      <c r="K234">
        <v>0</v>
      </c>
      <c r="L234">
        <v>0</v>
      </c>
      <c r="M234">
        <v>0</v>
      </c>
      <c r="N234">
        <v>0</v>
      </c>
      <c r="O234">
        <v>0</v>
      </c>
      <c r="P234">
        <v>0</v>
      </c>
      <c r="Q234">
        <v>0</v>
      </c>
      <c r="R234">
        <v>0</v>
      </c>
    </row>
    <row r="235" spans="1:18">
      <c r="A235" t="s">
        <v>1543</v>
      </c>
      <c r="B235" t="s">
        <v>197</v>
      </c>
      <c r="C235" t="s">
        <v>184</v>
      </c>
      <c r="D235">
        <v>0</v>
      </c>
      <c r="E235">
        <v>0</v>
      </c>
      <c r="F235">
        <v>0</v>
      </c>
      <c r="G235">
        <v>0</v>
      </c>
      <c r="H235">
        <v>0</v>
      </c>
      <c r="I235">
        <v>0</v>
      </c>
      <c r="J235">
        <v>0</v>
      </c>
      <c r="K235">
        <v>0</v>
      </c>
      <c r="L235">
        <v>0</v>
      </c>
      <c r="M235">
        <v>0</v>
      </c>
      <c r="N235">
        <v>0</v>
      </c>
      <c r="O235">
        <v>0</v>
      </c>
      <c r="P235">
        <v>0</v>
      </c>
      <c r="Q235">
        <v>0</v>
      </c>
      <c r="R235">
        <v>0</v>
      </c>
    </row>
    <row r="236" spans="1:18">
      <c r="A236" t="s">
        <v>1544</v>
      </c>
      <c r="B236" t="s">
        <v>197</v>
      </c>
      <c r="C236" s="4" t="s">
        <v>188</v>
      </c>
      <c r="D236">
        <v>1589</v>
      </c>
      <c r="E236">
        <v>1679</v>
      </c>
      <c r="F236">
        <v>1892</v>
      </c>
      <c r="G236">
        <v>1964</v>
      </c>
      <c r="H236">
        <v>1887</v>
      </c>
      <c r="I236">
        <v>1756</v>
      </c>
      <c r="J236">
        <v>1630</v>
      </c>
      <c r="K236">
        <v>1550</v>
      </c>
      <c r="L236">
        <v>1467</v>
      </c>
      <c r="M236">
        <v>1290</v>
      </c>
      <c r="N236">
        <v>1255</v>
      </c>
      <c r="O236">
        <v>1245</v>
      </c>
      <c r="P236">
        <v>1246</v>
      </c>
      <c r="Q236">
        <v>1242</v>
      </c>
      <c r="R236">
        <v>1182</v>
      </c>
    </row>
    <row r="237" spans="1:18">
      <c r="A237" t="s">
        <v>1545</v>
      </c>
      <c r="B237" t="s">
        <v>197</v>
      </c>
      <c r="C237" s="35" t="s">
        <v>189</v>
      </c>
      <c r="D237">
        <v>902</v>
      </c>
      <c r="E237">
        <v>992</v>
      </c>
      <c r="F237">
        <v>1102</v>
      </c>
      <c r="G237">
        <v>1169</v>
      </c>
      <c r="H237">
        <v>1284</v>
      </c>
      <c r="I237">
        <v>1337</v>
      </c>
      <c r="J237">
        <v>1312</v>
      </c>
      <c r="K237">
        <v>1320</v>
      </c>
      <c r="L237">
        <v>1166</v>
      </c>
      <c r="M237">
        <v>934</v>
      </c>
      <c r="N237">
        <v>865</v>
      </c>
      <c r="O237">
        <v>839</v>
      </c>
      <c r="P237">
        <v>824</v>
      </c>
      <c r="Q237">
        <v>838</v>
      </c>
      <c r="R237">
        <v>817</v>
      </c>
    </row>
    <row r="238" spans="1:18">
      <c r="A238" t="s">
        <v>1546</v>
      </c>
      <c r="B238" t="s">
        <v>197</v>
      </c>
      <c r="C238" t="s">
        <v>172</v>
      </c>
      <c r="D238">
        <v>0</v>
      </c>
      <c r="E238">
        <v>0</v>
      </c>
      <c r="F238">
        <v>0</v>
      </c>
      <c r="G238">
        <v>0</v>
      </c>
      <c r="H238">
        <v>0</v>
      </c>
      <c r="I238">
        <v>0</v>
      </c>
      <c r="J238">
        <v>0</v>
      </c>
      <c r="K238">
        <v>0</v>
      </c>
      <c r="L238">
        <v>0</v>
      </c>
      <c r="M238">
        <v>0</v>
      </c>
      <c r="N238">
        <v>0</v>
      </c>
      <c r="O238">
        <v>0</v>
      </c>
      <c r="P238">
        <v>0</v>
      </c>
      <c r="Q238">
        <v>0</v>
      </c>
      <c r="R238">
        <v>0</v>
      </c>
    </row>
    <row r="239" spans="1:18">
      <c r="A239" t="s">
        <v>1547</v>
      </c>
      <c r="B239" t="s">
        <v>197</v>
      </c>
      <c r="C239" t="s">
        <v>30</v>
      </c>
      <c r="D239">
        <v>0</v>
      </c>
      <c r="E239">
        <v>0</v>
      </c>
      <c r="F239">
        <v>0</v>
      </c>
      <c r="G239">
        <v>0</v>
      </c>
      <c r="H239">
        <v>0</v>
      </c>
      <c r="I239">
        <v>0</v>
      </c>
      <c r="J239">
        <v>0</v>
      </c>
      <c r="K239">
        <v>0</v>
      </c>
      <c r="L239">
        <v>0</v>
      </c>
      <c r="M239">
        <v>0</v>
      </c>
      <c r="N239">
        <v>0</v>
      </c>
      <c r="O239">
        <v>0</v>
      </c>
      <c r="P239">
        <v>0</v>
      </c>
      <c r="Q239">
        <v>0</v>
      </c>
      <c r="R239">
        <v>0</v>
      </c>
    </row>
    <row r="240" spans="1:18">
      <c r="A240" t="s">
        <v>1548</v>
      </c>
      <c r="B240" t="s">
        <v>197</v>
      </c>
      <c r="C240" t="s">
        <v>177</v>
      </c>
      <c r="D240">
        <v>0</v>
      </c>
      <c r="E240">
        <v>0</v>
      </c>
      <c r="F240">
        <v>0</v>
      </c>
      <c r="G240">
        <v>0</v>
      </c>
      <c r="H240">
        <v>0</v>
      </c>
      <c r="I240">
        <v>0</v>
      </c>
      <c r="J240">
        <v>0</v>
      </c>
      <c r="K240">
        <v>0</v>
      </c>
      <c r="L240">
        <v>0</v>
      </c>
      <c r="M240">
        <v>0</v>
      </c>
      <c r="N240">
        <v>0</v>
      </c>
      <c r="O240">
        <v>0</v>
      </c>
      <c r="P240">
        <v>0</v>
      </c>
      <c r="Q240">
        <v>0</v>
      </c>
      <c r="R240">
        <v>0</v>
      </c>
    </row>
    <row r="241" spans="1:18">
      <c r="A241" t="s">
        <v>1549</v>
      </c>
      <c r="B241" t="s">
        <v>197</v>
      </c>
      <c r="C241" t="s">
        <v>178</v>
      </c>
      <c r="D241">
        <v>0</v>
      </c>
      <c r="E241">
        <v>0</v>
      </c>
      <c r="F241">
        <v>0</v>
      </c>
      <c r="G241">
        <v>0</v>
      </c>
      <c r="H241">
        <v>0</v>
      </c>
      <c r="I241">
        <v>0</v>
      </c>
      <c r="J241">
        <v>0</v>
      </c>
      <c r="K241">
        <v>0</v>
      </c>
      <c r="L241">
        <v>0</v>
      </c>
      <c r="M241">
        <v>0</v>
      </c>
      <c r="N241">
        <v>0</v>
      </c>
      <c r="O241">
        <v>0</v>
      </c>
      <c r="P241">
        <v>0</v>
      </c>
      <c r="Q241">
        <v>0</v>
      </c>
      <c r="R241">
        <v>0</v>
      </c>
    </row>
    <row r="242" spans="1:18">
      <c r="A242" t="s">
        <v>1550</v>
      </c>
      <c r="B242" t="s">
        <v>194</v>
      </c>
      <c r="C242" t="s">
        <v>193</v>
      </c>
      <c r="D242">
        <v>1967</v>
      </c>
      <c r="E242">
        <v>1743</v>
      </c>
      <c r="F242">
        <v>1759</v>
      </c>
      <c r="G242">
        <v>1701</v>
      </c>
      <c r="H242">
        <v>1703</v>
      </c>
      <c r="I242">
        <v>1796</v>
      </c>
      <c r="J242">
        <v>1798</v>
      </c>
      <c r="K242">
        <v>2112</v>
      </c>
      <c r="L242">
        <v>2071</v>
      </c>
      <c r="M242">
        <v>2079</v>
      </c>
      <c r="N242">
        <v>1906</v>
      </c>
      <c r="O242">
        <v>1973</v>
      </c>
      <c r="P242">
        <v>1950</v>
      </c>
      <c r="Q242">
        <v>1970</v>
      </c>
      <c r="R242">
        <v>2183</v>
      </c>
    </row>
    <row r="243" spans="1:18">
      <c r="A243" t="s">
        <v>1551</v>
      </c>
      <c r="B243" t="s">
        <v>194</v>
      </c>
      <c r="C243" s="4" t="s">
        <v>34</v>
      </c>
      <c r="D243">
        <v>1115</v>
      </c>
      <c r="E243">
        <v>908</v>
      </c>
      <c r="F243">
        <v>734</v>
      </c>
      <c r="G243">
        <v>552</v>
      </c>
      <c r="H243">
        <v>605</v>
      </c>
      <c r="I243">
        <v>743</v>
      </c>
      <c r="J243">
        <v>790</v>
      </c>
      <c r="K243">
        <v>1105</v>
      </c>
      <c r="L243">
        <v>1105</v>
      </c>
      <c r="M243">
        <v>1126</v>
      </c>
      <c r="N243">
        <v>1108</v>
      </c>
      <c r="O243">
        <v>1291</v>
      </c>
      <c r="P243">
        <v>1321</v>
      </c>
      <c r="Q243">
        <v>1489</v>
      </c>
      <c r="R243">
        <v>1632</v>
      </c>
    </row>
    <row r="244" spans="1:18">
      <c r="A244" t="s">
        <v>1552</v>
      </c>
      <c r="B244" t="s">
        <v>194</v>
      </c>
      <c r="C244" t="s">
        <v>169</v>
      </c>
      <c r="D244">
        <v>852</v>
      </c>
      <c r="E244">
        <v>835</v>
      </c>
      <c r="F244">
        <v>1025</v>
      </c>
      <c r="G244">
        <v>1149</v>
      </c>
      <c r="H244">
        <v>1098</v>
      </c>
      <c r="I244">
        <v>1053</v>
      </c>
      <c r="J244">
        <v>1008</v>
      </c>
      <c r="K244">
        <v>1007</v>
      </c>
      <c r="L244">
        <v>966</v>
      </c>
      <c r="M244">
        <v>953</v>
      </c>
      <c r="N244">
        <v>798</v>
      </c>
      <c r="O244">
        <v>682</v>
      </c>
      <c r="P244">
        <v>629</v>
      </c>
      <c r="Q244">
        <v>481</v>
      </c>
      <c r="R244">
        <v>551</v>
      </c>
    </row>
    <row r="245" spans="1:18">
      <c r="A245" t="s">
        <v>1553</v>
      </c>
      <c r="B245" t="s">
        <v>194</v>
      </c>
      <c r="C245" t="s">
        <v>170</v>
      </c>
      <c r="D245">
        <v>0</v>
      </c>
      <c r="E245">
        <v>0</v>
      </c>
      <c r="F245">
        <v>0</v>
      </c>
      <c r="G245">
        <v>0</v>
      </c>
      <c r="H245">
        <v>0</v>
      </c>
      <c r="I245">
        <v>0</v>
      </c>
      <c r="J245">
        <v>0</v>
      </c>
      <c r="K245">
        <v>0</v>
      </c>
      <c r="L245">
        <v>0</v>
      </c>
      <c r="M245">
        <v>0</v>
      </c>
      <c r="N245">
        <v>0</v>
      </c>
      <c r="O245">
        <v>0</v>
      </c>
      <c r="P245">
        <v>0</v>
      </c>
      <c r="Q245">
        <v>0</v>
      </c>
      <c r="R245">
        <v>0</v>
      </c>
    </row>
    <row r="246" spans="1:18">
      <c r="A246" t="s">
        <v>1554</v>
      </c>
      <c r="B246" t="s">
        <v>194</v>
      </c>
      <c r="C246" t="s">
        <v>171</v>
      </c>
      <c r="D246">
        <v>0</v>
      </c>
      <c r="E246">
        <v>0</v>
      </c>
      <c r="F246">
        <v>0</v>
      </c>
      <c r="G246">
        <v>0</v>
      </c>
      <c r="H246">
        <v>0</v>
      </c>
      <c r="I246">
        <v>0</v>
      </c>
      <c r="J246">
        <v>0</v>
      </c>
      <c r="K246">
        <v>0</v>
      </c>
      <c r="L246">
        <v>0</v>
      </c>
      <c r="M246">
        <v>0</v>
      </c>
      <c r="N246">
        <v>0</v>
      </c>
      <c r="O246">
        <v>0</v>
      </c>
      <c r="P246">
        <v>0</v>
      </c>
      <c r="Q246">
        <v>0</v>
      </c>
      <c r="R246">
        <v>0</v>
      </c>
    </row>
    <row r="247" spans="1:18">
      <c r="A247" t="s">
        <v>1555</v>
      </c>
      <c r="B247" t="s">
        <v>194</v>
      </c>
      <c r="C247" t="s">
        <v>148</v>
      </c>
      <c r="D247">
        <v>0</v>
      </c>
      <c r="E247">
        <v>0</v>
      </c>
      <c r="F247">
        <v>0</v>
      </c>
      <c r="G247">
        <v>0</v>
      </c>
      <c r="H247">
        <v>0</v>
      </c>
      <c r="I247">
        <v>0</v>
      </c>
      <c r="J247">
        <v>0</v>
      </c>
      <c r="K247">
        <v>0</v>
      </c>
      <c r="L247">
        <v>0</v>
      </c>
      <c r="M247">
        <v>0</v>
      </c>
      <c r="N247">
        <v>0</v>
      </c>
      <c r="O247">
        <v>0</v>
      </c>
      <c r="P247">
        <v>0</v>
      </c>
      <c r="Q247">
        <v>0</v>
      </c>
      <c r="R247">
        <v>0</v>
      </c>
    </row>
    <row r="248" spans="1:18">
      <c r="A248" t="s">
        <v>1556</v>
      </c>
      <c r="B248" t="s">
        <v>194</v>
      </c>
      <c r="C248" t="s">
        <v>184</v>
      </c>
      <c r="D248">
        <v>0</v>
      </c>
      <c r="E248">
        <v>0</v>
      </c>
      <c r="F248">
        <v>0</v>
      </c>
      <c r="G248">
        <v>0</v>
      </c>
      <c r="H248">
        <v>0</v>
      </c>
      <c r="I248">
        <v>0</v>
      </c>
      <c r="J248">
        <v>0</v>
      </c>
      <c r="K248">
        <v>0</v>
      </c>
      <c r="L248">
        <v>0</v>
      </c>
      <c r="M248">
        <v>0</v>
      </c>
      <c r="N248">
        <v>0</v>
      </c>
      <c r="O248">
        <v>0</v>
      </c>
      <c r="P248">
        <v>0</v>
      </c>
      <c r="Q248">
        <v>0</v>
      </c>
      <c r="R248">
        <v>0</v>
      </c>
    </row>
    <row r="249" spans="1:18">
      <c r="A249" t="s">
        <v>1557</v>
      </c>
      <c r="B249" t="s">
        <v>194</v>
      </c>
      <c r="C249" s="4" t="s">
        <v>188</v>
      </c>
      <c r="D249">
        <v>511</v>
      </c>
      <c r="E249">
        <v>515</v>
      </c>
      <c r="F249">
        <v>661</v>
      </c>
      <c r="G249">
        <v>739</v>
      </c>
      <c r="H249">
        <v>622</v>
      </c>
      <c r="I249">
        <v>513</v>
      </c>
      <c r="J249">
        <v>345</v>
      </c>
      <c r="K249">
        <v>292</v>
      </c>
      <c r="L249">
        <v>346</v>
      </c>
      <c r="M249">
        <v>398</v>
      </c>
      <c r="N249">
        <v>410</v>
      </c>
      <c r="O249">
        <v>381</v>
      </c>
      <c r="P249">
        <v>341</v>
      </c>
      <c r="Q249">
        <v>216</v>
      </c>
      <c r="R249">
        <v>279</v>
      </c>
    </row>
    <row r="250" spans="1:18">
      <c r="A250" t="s">
        <v>1558</v>
      </c>
      <c r="B250" t="s">
        <v>194</v>
      </c>
      <c r="C250" s="35" t="s">
        <v>189</v>
      </c>
      <c r="D250">
        <v>341</v>
      </c>
      <c r="E250">
        <v>320</v>
      </c>
      <c r="F250">
        <v>364</v>
      </c>
      <c r="G250">
        <v>410</v>
      </c>
      <c r="H250">
        <v>476</v>
      </c>
      <c r="I250">
        <v>540</v>
      </c>
      <c r="J250">
        <v>663</v>
      </c>
      <c r="K250">
        <v>715</v>
      </c>
      <c r="L250">
        <v>620</v>
      </c>
      <c r="M250">
        <v>555</v>
      </c>
      <c r="N250">
        <v>388</v>
      </c>
      <c r="O250">
        <v>301</v>
      </c>
      <c r="P250">
        <v>288</v>
      </c>
      <c r="Q250">
        <v>265</v>
      </c>
      <c r="R250">
        <v>272</v>
      </c>
    </row>
    <row r="251" spans="1:18">
      <c r="A251" t="s">
        <v>1559</v>
      </c>
      <c r="B251" t="s">
        <v>194</v>
      </c>
      <c r="C251" t="s">
        <v>172</v>
      </c>
      <c r="D251">
        <v>227</v>
      </c>
      <c r="E251">
        <v>215</v>
      </c>
      <c r="F251">
        <v>239</v>
      </c>
      <c r="G251">
        <v>249</v>
      </c>
      <c r="H251">
        <v>308</v>
      </c>
      <c r="I251">
        <v>343</v>
      </c>
      <c r="J251">
        <v>475</v>
      </c>
      <c r="K251">
        <v>535</v>
      </c>
      <c r="L251">
        <v>468</v>
      </c>
      <c r="M251">
        <v>384</v>
      </c>
      <c r="N251">
        <v>201</v>
      </c>
      <c r="O251">
        <v>125</v>
      </c>
      <c r="P251">
        <v>122</v>
      </c>
      <c r="Q251">
        <v>123</v>
      </c>
      <c r="R251">
        <v>150</v>
      </c>
    </row>
    <row r="252" spans="1:18">
      <c r="A252" t="s">
        <v>1560</v>
      </c>
      <c r="B252" t="s">
        <v>194</v>
      </c>
      <c r="C252" t="s">
        <v>30</v>
      </c>
      <c r="D252">
        <v>114</v>
      </c>
      <c r="E252">
        <v>105</v>
      </c>
      <c r="F252">
        <v>125</v>
      </c>
      <c r="G252">
        <v>161</v>
      </c>
      <c r="H252">
        <v>168</v>
      </c>
      <c r="I252">
        <v>197</v>
      </c>
      <c r="J252">
        <v>188</v>
      </c>
      <c r="K252">
        <v>180</v>
      </c>
      <c r="L252">
        <v>152</v>
      </c>
      <c r="M252">
        <v>171</v>
      </c>
      <c r="N252">
        <v>187</v>
      </c>
      <c r="O252">
        <v>176</v>
      </c>
      <c r="P252">
        <v>166</v>
      </c>
      <c r="Q252">
        <v>142</v>
      </c>
      <c r="R252">
        <v>122</v>
      </c>
    </row>
    <row r="253" spans="1:18">
      <c r="A253" t="s">
        <v>1561</v>
      </c>
      <c r="B253" t="s">
        <v>195</v>
      </c>
      <c r="C253" t="s">
        <v>193</v>
      </c>
      <c r="D253">
        <v>63</v>
      </c>
      <c r="E253">
        <v>71</v>
      </c>
      <c r="F253">
        <v>67</v>
      </c>
      <c r="G253">
        <v>65</v>
      </c>
      <c r="H253">
        <v>55</v>
      </c>
      <c r="I253">
        <v>57</v>
      </c>
      <c r="J253">
        <v>58</v>
      </c>
      <c r="K253">
        <v>57</v>
      </c>
      <c r="L253">
        <v>53</v>
      </c>
      <c r="M253">
        <v>96</v>
      </c>
      <c r="N253">
        <v>101</v>
      </c>
      <c r="O253">
        <v>91</v>
      </c>
      <c r="P253">
        <v>78</v>
      </c>
      <c r="Q253">
        <v>98</v>
      </c>
      <c r="R253">
        <v>128</v>
      </c>
    </row>
    <row r="254" spans="1:18">
      <c r="A254" t="s">
        <v>1562</v>
      </c>
      <c r="B254" t="s">
        <v>195</v>
      </c>
      <c r="C254" s="4" t="s">
        <v>34</v>
      </c>
      <c r="D254">
        <v>39</v>
      </c>
      <c r="E254">
        <v>33</v>
      </c>
      <c r="F254">
        <v>25</v>
      </c>
      <c r="G254">
        <v>21</v>
      </c>
      <c r="H254">
        <v>16</v>
      </c>
      <c r="I254">
        <v>18</v>
      </c>
      <c r="J254">
        <v>17</v>
      </c>
      <c r="K254">
        <v>21</v>
      </c>
      <c r="L254">
        <v>18</v>
      </c>
      <c r="M254">
        <v>58</v>
      </c>
      <c r="N254">
        <v>65</v>
      </c>
      <c r="O254">
        <v>56</v>
      </c>
      <c r="P254">
        <v>49</v>
      </c>
      <c r="Q254">
        <v>63</v>
      </c>
      <c r="R254">
        <v>90</v>
      </c>
    </row>
    <row r="255" spans="1:18">
      <c r="A255" t="s">
        <v>1563</v>
      </c>
      <c r="B255" t="s">
        <v>195</v>
      </c>
      <c r="C255" t="s">
        <v>169</v>
      </c>
      <c r="D255">
        <v>24</v>
      </c>
      <c r="E255">
        <v>38</v>
      </c>
      <c r="F255">
        <v>42</v>
      </c>
      <c r="G255">
        <v>44</v>
      </c>
      <c r="H255">
        <v>39</v>
      </c>
      <c r="I255">
        <v>39</v>
      </c>
      <c r="J255">
        <v>41</v>
      </c>
      <c r="K255">
        <v>36</v>
      </c>
      <c r="L255">
        <v>35</v>
      </c>
      <c r="M255">
        <v>38</v>
      </c>
      <c r="N255">
        <v>36</v>
      </c>
      <c r="O255">
        <v>35</v>
      </c>
      <c r="P255">
        <v>29</v>
      </c>
      <c r="Q255">
        <v>35</v>
      </c>
      <c r="R255">
        <v>38</v>
      </c>
    </row>
    <row r="256" spans="1:18">
      <c r="A256" t="s">
        <v>1564</v>
      </c>
      <c r="B256" t="s">
        <v>195</v>
      </c>
      <c r="C256" t="s">
        <v>170</v>
      </c>
      <c r="D256">
        <v>0</v>
      </c>
      <c r="E256">
        <v>0</v>
      </c>
      <c r="F256">
        <v>0</v>
      </c>
      <c r="G256">
        <v>0</v>
      </c>
      <c r="H256">
        <v>0</v>
      </c>
      <c r="I256">
        <v>0</v>
      </c>
      <c r="J256">
        <v>0</v>
      </c>
      <c r="K256">
        <v>0</v>
      </c>
      <c r="L256">
        <v>0</v>
      </c>
      <c r="M256">
        <v>0</v>
      </c>
      <c r="N256">
        <v>0</v>
      </c>
      <c r="O256">
        <v>0</v>
      </c>
      <c r="P256">
        <v>0</v>
      </c>
      <c r="Q256">
        <v>0</v>
      </c>
      <c r="R256">
        <v>0</v>
      </c>
    </row>
    <row r="257" spans="1:18">
      <c r="A257" t="s">
        <v>1565</v>
      </c>
      <c r="B257" t="s">
        <v>195</v>
      </c>
      <c r="C257" t="s">
        <v>171</v>
      </c>
      <c r="D257">
        <v>0</v>
      </c>
      <c r="E257">
        <v>0</v>
      </c>
      <c r="F257">
        <v>0</v>
      </c>
      <c r="G257">
        <v>0</v>
      </c>
      <c r="H257">
        <v>0</v>
      </c>
      <c r="I257">
        <v>0</v>
      </c>
      <c r="J257">
        <v>0</v>
      </c>
      <c r="K257">
        <v>0</v>
      </c>
      <c r="L257">
        <v>0</v>
      </c>
      <c r="M257">
        <v>0</v>
      </c>
      <c r="N257">
        <v>0</v>
      </c>
      <c r="O257">
        <v>0</v>
      </c>
      <c r="P257">
        <v>0</v>
      </c>
      <c r="Q257">
        <v>0</v>
      </c>
      <c r="R257">
        <v>0</v>
      </c>
    </row>
    <row r="258" spans="1:18">
      <c r="A258" t="s">
        <v>1566</v>
      </c>
      <c r="B258" t="s">
        <v>195</v>
      </c>
      <c r="C258" t="s">
        <v>148</v>
      </c>
      <c r="D258">
        <v>0</v>
      </c>
      <c r="E258">
        <v>0</v>
      </c>
      <c r="F258">
        <v>0</v>
      </c>
      <c r="G258">
        <v>0</v>
      </c>
      <c r="H258">
        <v>0</v>
      </c>
      <c r="I258">
        <v>0</v>
      </c>
      <c r="J258">
        <v>0</v>
      </c>
      <c r="K258">
        <v>0</v>
      </c>
      <c r="L258">
        <v>0</v>
      </c>
      <c r="M258">
        <v>0</v>
      </c>
      <c r="N258">
        <v>0</v>
      </c>
      <c r="O258">
        <v>0</v>
      </c>
      <c r="P258">
        <v>0</v>
      </c>
      <c r="Q258">
        <v>0</v>
      </c>
      <c r="R258">
        <v>0</v>
      </c>
    </row>
    <row r="259" spans="1:18">
      <c r="A259" t="s">
        <v>1567</v>
      </c>
      <c r="B259" t="s">
        <v>195</v>
      </c>
      <c r="C259" t="s">
        <v>184</v>
      </c>
      <c r="D259">
        <v>0</v>
      </c>
      <c r="E259">
        <v>0</v>
      </c>
      <c r="F259">
        <v>0</v>
      </c>
      <c r="G259">
        <v>0</v>
      </c>
      <c r="H259">
        <v>0</v>
      </c>
      <c r="I259">
        <v>0</v>
      </c>
      <c r="J259">
        <v>0</v>
      </c>
      <c r="K259">
        <v>0</v>
      </c>
      <c r="L259">
        <v>0</v>
      </c>
      <c r="M259">
        <v>0</v>
      </c>
      <c r="N259">
        <v>0</v>
      </c>
      <c r="O259">
        <v>0</v>
      </c>
      <c r="P259">
        <v>0</v>
      </c>
      <c r="Q259">
        <v>0</v>
      </c>
      <c r="R259">
        <v>0</v>
      </c>
    </row>
    <row r="260" spans="1:18">
      <c r="A260" t="s">
        <v>1568</v>
      </c>
      <c r="B260" t="s">
        <v>195</v>
      </c>
      <c r="C260" s="4" t="s">
        <v>188</v>
      </c>
      <c r="D260">
        <v>12</v>
      </c>
      <c r="E260">
        <v>25</v>
      </c>
      <c r="F260">
        <v>28</v>
      </c>
      <c r="G260">
        <v>27</v>
      </c>
      <c r="H260">
        <v>22</v>
      </c>
      <c r="I260">
        <v>16</v>
      </c>
      <c r="J260">
        <v>12</v>
      </c>
      <c r="K260">
        <v>10</v>
      </c>
      <c r="L260">
        <v>14</v>
      </c>
      <c r="M260">
        <v>21</v>
      </c>
      <c r="N260">
        <v>25</v>
      </c>
      <c r="O260">
        <v>23</v>
      </c>
      <c r="P260">
        <v>20</v>
      </c>
      <c r="Q260">
        <v>24</v>
      </c>
      <c r="R260">
        <v>27</v>
      </c>
    </row>
    <row r="261" spans="1:18">
      <c r="A261" t="s">
        <v>1569</v>
      </c>
      <c r="B261" t="s">
        <v>195</v>
      </c>
      <c r="C261" s="35" t="s">
        <v>189</v>
      </c>
      <c r="D261">
        <v>12</v>
      </c>
      <c r="E261">
        <v>13</v>
      </c>
      <c r="F261">
        <v>14</v>
      </c>
      <c r="G261">
        <v>17</v>
      </c>
      <c r="H261">
        <v>17</v>
      </c>
      <c r="I261">
        <v>23</v>
      </c>
      <c r="J261">
        <v>29</v>
      </c>
      <c r="K261">
        <v>26</v>
      </c>
      <c r="L261">
        <v>21</v>
      </c>
      <c r="M261">
        <v>17</v>
      </c>
      <c r="N261">
        <v>11</v>
      </c>
      <c r="O261">
        <v>12</v>
      </c>
      <c r="P261">
        <v>9</v>
      </c>
      <c r="Q261">
        <v>11</v>
      </c>
      <c r="R261">
        <v>11</v>
      </c>
    </row>
    <row r="262" spans="1:18">
      <c r="A262" t="s">
        <v>1570</v>
      </c>
      <c r="B262" t="s">
        <v>195</v>
      </c>
      <c r="C262" t="s">
        <v>172</v>
      </c>
      <c r="D262">
        <v>6</v>
      </c>
      <c r="E262">
        <v>7</v>
      </c>
      <c r="F262">
        <v>7</v>
      </c>
      <c r="G262">
        <v>7</v>
      </c>
      <c r="H262">
        <v>8</v>
      </c>
      <c r="I262">
        <v>13</v>
      </c>
      <c r="J262">
        <v>18</v>
      </c>
      <c r="K262">
        <v>13</v>
      </c>
      <c r="L262">
        <v>11</v>
      </c>
      <c r="M262">
        <v>7</v>
      </c>
      <c r="N262">
        <v>3</v>
      </c>
      <c r="O262">
        <v>3</v>
      </c>
      <c r="P262">
        <v>1</v>
      </c>
      <c r="Q262">
        <v>5</v>
      </c>
      <c r="R262">
        <v>6</v>
      </c>
    </row>
    <row r="263" spans="1:18">
      <c r="A263" t="s">
        <v>1571</v>
      </c>
      <c r="B263" t="s">
        <v>195</v>
      </c>
      <c r="C263" t="s">
        <v>30</v>
      </c>
      <c r="D263">
        <v>6</v>
      </c>
      <c r="E263">
        <v>6</v>
      </c>
      <c r="F263">
        <v>7</v>
      </c>
      <c r="G263">
        <v>10</v>
      </c>
      <c r="H263">
        <v>9</v>
      </c>
      <c r="I263">
        <v>10</v>
      </c>
      <c r="J263">
        <v>11</v>
      </c>
      <c r="K263">
        <v>13</v>
      </c>
      <c r="L263">
        <v>10</v>
      </c>
      <c r="M263">
        <v>10</v>
      </c>
      <c r="N263">
        <v>8</v>
      </c>
      <c r="O263">
        <v>9</v>
      </c>
      <c r="P263">
        <v>8</v>
      </c>
      <c r="Q263">
        <v>6</v>
      </c>
      <c r="R263">
        <v>5</v>
      </c>
    </row>
    <row r="264" spans="1:18">
      <c r="A264" t="s">
        <v>1572</v>
      </c>
      <c r="B264" t="s">
        <v>196</v>
      </c>
      <c r="C264" t="s">
        <v>193</v>
      </c>
      <c r="D264">
        <v>1967</v>
      </c>
      <c r="E264">
        <v>1743</v>
      </c>
      <c r="F264">
        <v>1759</v>
      </c>
      <c r="G264">
        <v>1701</v>
      </c>
      <c r="H264">
        <v>1703</v>
      </c>
      <c r="I264">
        <v>1796</v>
      </c>
      <c r="J264">
        <v>1798</v>
      </c>
      <c r="K264">
        <v>2112</v>
      </c>
      <c r="L264">
        <v>2071</v>
      </c>
      <c r="M264">
        <v>2079</v>
      </c>
      <c r="N264">
        <v>1906</v>
      </c>
      <c r="O264">
        <v>1973</v>
      </c>
      <c r="P264">
        <v>1950</v>
      </c>
      <c r="Q264">
        <v>1970</v>
      </c>
      <c r="R264">
        <v>2183</v>
      </c>
    </row>
    <row r="265" spans="1:18">
      <c r="A265" t="s">
        <v>1573</v>
      </c>
      <c r="B265" t="s">
        <v>196</v>
      </c>
      <c r="C265" s="4" t="s">
        <v>34</v>
      </c>
      <c r="D265">
        <v>1115</v>
      </c>
      <c r="E265">
        <v>908</v>
      </c>
      <c r="F265">
        <v>734</v>
      </c>
      <c r="G265">
        <v>552</v>
      </c>
      <c r="H265">
        <v>605</v>
      </c>
      <c r="I265">
        <v>743</v>
      </c>
      <c r="J265">
        <v>790</v>
      </c>
      <c r="K265">
        <v>1105</v>
      </c>
      <c r="L265">
        <v>1105</v>
      </c>
      <c r="M265">
        <v>1126</v>
      </c>
      <c r="N265">
        <v>1108</v>
      </c>
      <c r="O265">
        <v>1291</v>
      </c>
      <c r="P265">
        <v>1321</v>
      </c>
      <c r="Q265">
        <v>1489</v>
      </c>
      <c r="R265">
        <v>1632</v>
      </c>
    </row>
    <row r="266" spans="1:18">
      <c r="A266" t="s">
        <v>1574</v>
      </c>
      <c r="B266" t="s">
        <v>196</v>
      </c>
      <c r="C266" t="s">
        <v>169</v>
      </c>
      <c r="D266">
        <v>852</v>
      </c>
      <c r="E266">
        <v>835</v>
      </c>
      <c r="F266">
        <v>1025</v>
      </c>
      <c r="G266">
        <v>1149</v>
      </c>
      <c r="H266">
        <v>1098</v>
      </c>
      <c r="I266">
        <v>1053</v>
      </c>
      <c r="J266">
        <v>1008</v>
      </c>
      <c r="K266">
        <v>1007</v>
      </c>
      <c r="L266">
        <v>966</v>
      </c>
      <c r="M266">
        <v>953</v>
      </c>
      <c r="N266">
        <v>798</v>
      </c>
      <c r="O266">
        <v>682</v>
      </c>
      <c r="P266">
        <v>629</v>
      </c>
      <c r="Q266">
        <v>481</v>
      </c>
      <c r="R266">
        <v>551</v>
      </c>
    </row>
    <row r="267" spans="1:18">
      <c r="A267" t="s">
        <v>1575</v>
      </c>
      <c r="B267" t="s">
        <v>196</v>
      </c>
      <c r="C267" t="s">
        <v>170</v>
      </c>
      <c r="D267">
        <v>0</v>
      </c>
      <c r="E267">
        <v>0</v>
      </c>
      <c r="F267">
        <v>0</v>
      </c>
      <c r="G267">
        <v>0</v>
      </c>
      <c r="H267">
        <v>0</v>
      </c>
      <c r="I267">
        <v>0</v>
      </c>
      <c r="J267">
        <v>0</v>
      </c>
      <c r="K267">
        <v>0</v>
      </c>
      <c r="L267">
        <v>0</v>
      </c>
      <c r="M267">
        <v>0</v>
      </c>
      <c r="N267">
        <v>0</v>
      </c>
      <c r="O267">
        <v>0</v>
      </c>
      <c r="P267">
        <v>0</v>
      </c>
      <c r="Q267">
        <v>0</v>
      </c>
      <c r="R267">
        <v>0</v>
      </c>
    </row>
    <row r="268" spans="1:18">
      <c r="A268" t="s">
        <v>1576</v>
      </c>
      <c r="B268" t="s">
        <v>196</v>
      </c>
      <c r="C268" t="s">
        <v>171</v>
      </c>
      <c r="D268">
        <v>0</v>
      </c>
      <c r="E268">
        <v>0</v>
      </c>
      <c r="F268">
        <v>0</v>
      </c>
      <c r="G268">
        <v>0</v>
      </c>
      <c r="H268">
        <v>0</v>
      </c>
      <c r="I268">
        <v>0</v>
      </c>
      <c r="J268">
        <v>0</v>
      </c>
      <c r="K268">
        <v>0</v>
      </c>
      <c r="L268">
        <v>0</v>
      </c>
      <c r="M268">
        <v>0</v>
      </c>
      <c r="N268">
        <v>0</v>
      </c>
      <c r="O268">
        <v>0</v>
      </c>
      <c r="P268">
        <v>0</v>
      </c>
      <c r="Q268">
        <v>0</v>
      </c>
      <c r="R268">
        <v>0</v>
      </c>
    </row>
    <row r="269" spans="1:18">
      <c r="A269" t="s">
        <v>1577</v>
      </c>
      <c r="B269" t="s">
        <v>196</v>
      </c>
      <c r="C269" t="s">
        <v>148</v>
      </c>
      <c r="D269">
        <v>0</v>
      </c>
      <c r="E269">
        <v>0</v>
      </c>
      <c r="F269">
        <v>0</v>
      </c>
      <c r="G269">
        <v>0</v>
      </c>
      <c r="H269">
        <v>0</v>
      </c>
      <c r="I269">
        <v>0</v>
      </c>
      <c r="J269">
        <v>0</v>
      </c>
      <c r="K269">
        <v>0</v>
      </c>
      <c r="L269">
        <v>0</v>
      </c>
      <c r="M269">
        <v>0</v>
      </c>
      <c r="N269">
        <v>0</v>
      </c>
      <c r="O269">
        <v>0</v>
      </c>
      <c r="P269">
        <v>0</v>
      </c>
      <c r="Q269">
        <v>0</v>
      </c>
      <c r="R269">
        <v>0</v>
      </c>
    </row>
    <row r="270" spans="1:18">
      <c r="A270" t="s">
        <v>1578</v>
      </c>
      <c r="B270" t="s">
        <v>196</v>
      </c>
      <c r="C270" t="s">
        <v>184</v>
      </c>
      <c r="D270">
        <v>0</v>
      </c>
      <c r="E270">
        <v>0</v>
      </c>
      <c r="F270">
        <v>0</v>
      </c>
      <c r="G270">
        <v>0</v>
      </c>
      <c r="H270">
        <v>0</v>
      </c>
      <c r="I270">
        <v>0</v>
      </c>
      <c r="J270">
        <v>0</v>
      </c>
      <c r="K270">
        <v>0</v>
      </c>
      <c r="L270">
        <v>0</v>
      </c>
      <c r="M270">
        <v>0</v>
      </c>
      <c r="N270">
        <v>0</v>
      </c>
      <c r="O270">
        <v>0</v>
      </c>
      <c r="P270">
        <v>0</v>
      </c>
      <c r="Q270">
        <v>0</v>
      </c>
      <c r="R270">
        <v>0</v>
      </c>
    </row>
    <row r="271" spans="1:18">
      <c r="A271" t="s">
        <v>1579</v>
      </c>
      <c r="B271" t="s">
        <v>196</v>
      </c>
      <c r="C271" s="4" t="s">
        <v>188</v>
      </c>
      <c r="D271">
        <v>511</v>
      </c>
      <c r="E271">
        <v>515</v>
      </c>
      <c r="F271">
        <v>661</v>
      </c>
      <c r="G271">
        <v>739</v>
      </c>
      <c r="H271">
        <v>622</v>
      </c>
      <c r="I271">
        <v>513</v>
      </c>
      <c r="J271">
        <v>345</v>
      </c>
      <c r="K271">
        <v>292</v>
      </c>
      <c r="L271">
        <v>346</v>
      </c>
      <c r="M271">
        <v>398</v>
      </c>
      <c r="N271">
        <v>410</v>
      </c>
      <c r="O271">
        <v>381</v>
      </c>
      <c r="P271">
        <v>341</v>
      </c>
      <c r="Q271">
        <v>216</v>
      </c>
      <c r="R271">
        <v>279</v>
      </c>
    </row>
    <row r="272" spans="1:18">
      <c r="A272" t="s">
        <v>1580</v>
      </c>
      <c r="B272" t="s">
        <v>196</v>
      </c>
      <c r="C272" s="35" t="s">
        <v>189</v>
      </c>
      <c r="D272">
        <v>341</v>
      </c>
      <c r="E272">
        <v>320</v>
      </c>
      <c r="F272">
        <v>364</v>
      </c>
      <c r="G272">
        <v>410</v>
      </c>
      <c r="H272">
        <v>476</v>
      </c>
      <c r="I272">
        <v>540</v>
      </c>
      <c r="J272">
        <v>663</v>
      </c>
      <c r="K272">
        <v>715</v>
      </c>
      <c r="L272">
        <v>620</v>
      </c>
      <c r="M272">
        <v>555</v>
      </c>
      <c r="N272">
        <v>388</v>
      </c>
      <c r="O272">
        <v>301</v>
      </c>
      <c r="P272">
        <v>288</v>
      </c>
      <c r="Q272">
        <v>265</v>
      </c>
      <c r="R272">
        <v>272</v>
      </c>
    </row>
    <row r="273" spans="1:18">
      <c r="A273" t="s">
        <v>1581</v>
      </c>
      <c r="B273" t="s">
        <v>196</v>
      </c>
      <c r="C273" t="s">
        <v>172</v>
      </c>
      <c r="D273">
        <v>227</v>
      </c>
      <c r="E273">
        <v>215</v>
      </c>
      <c r="F273">
        <v>239</v>
      </c>
      <c r="G273">
        <v>249</v>
      </c>
      <c r="H273">
        <v>308</v>
      </c>
      <c r="I273">
        <v>343</v>
      </c>
      <c r="J273">
        <v>475</v>
      </c>
      <c r="K273">
        <v>535</v>
      </c>
      <c r="L273">
        <v>468</v>
      </c>
      <c r="M273">
        <v>384</v>
      </c>
      <c r="N273">
        <v>201</v>
      </c>
      <c r="O273">
        <v>125</v>
      </c>
      <c r="P273">
        <v>122</v>
      </c>
      <c r="Q273">
        <v>123</v>
      </c>
      <c r="R273">
        <v>150</v>
      </c>
    </row>
    <row r="274" spans="1:18">
      <c r="A274" t="s">
        <v>1582</v>
      </c>
      <c r="B274" t="s">
        <v>196</v>
      </c>
      <c r="C274" t="s">
        <v>30</v>
      </c>
      <c r="D274">
        <v>114</v>
      </c>
      <c r="E274">
        <v>105</v>
      </c>
      <c r="F274">
        <v>125</v>
      </c>
      <c r="G274">
        <v>161</v>
      </c>
      <c r="H274">
        <v>168</v>
      </c>
      <c r="I274">
        <v>197</v>
      </c>
      <c r="J274">
        <v>188</v>
      </c>
      <c r="K274">
        <v>180</v>
      </c>
      <c r="L274">
        <v>152</v>
      </c>
      <c r="M274">
        <v>171</v>
      </c>
      <c r="N274">
        <v>187</v>
      </c>
      <c r="O274">
        <v>176</v>
      </c>
      <c r="P274">
        <v>166</v>
      </c>
      <c r="Q274">
        <v>142</v>
      </c>
      <c r="R274">
        <v>122</v>
      </c>
    </row>
    <row r="275" spans="1:18">
      <c r="A275" t="s">
        <v>1583</v>
      </c>
      <c r="B275" t="s">
        <v>196</v>
      </c>
      <c r="C275" t="s">
        <v>177</v>
      </c>
      <c r="D275">
        <v>0</v>
      </c>
      <c r="E275">
        <v>0</v>
      </c>
      <c r="F275">
        <v>0</v>
      </c>
      <c r="G275">
        <v>0</v>
      </c>
      <c r="H275">
        <v>0</v>
      </c>
      <c r="I275">
        <v>0</v>
      </c>
      <c r="J275">
        <v>0</v>
      </c>
      <c r="K275">
        <v>0</v>
      </c>
      <c r="L275">
        <v>0</v>
      </c>
      <c r="M275">
        <v>0</v>
      </c>
      <c r="N275">
        <v>0</v>
      </c>
      <c r="O275">
        <v>0</v>
      </c>
      <c r="P275">
        <v>0</v>
      </c>
      <c r="Q275">
        <v>0</v>
      </c>
      <c r="R275">
        <v>0</v>
      </c>
    </row>
    <row r="276" spans="1:18">
      <c r="A276" t="s">
        <v>1584</v>
      </c>
      <c r="B276" t="s">
        <v>196</v>
      </c>
      <c r="C276" t="s">
        <v>178</v>
      </c>
      <c r="D276">
        <v>0</v>
      </c>
      <c r="E276">
        <v>0</v>
      </c>
      <c r="F276">
        <v>0</v>
      </c>
      <c r="G276">
        <v>0</v>
      </c>
      <c r="H276">
        <v>0</v>
      </c>
      <c r="I276">
        <v>0</v>
      </c>
      <c r="J276">
        <v>0</v>
      </c>
      <c r="K276">
        <v>0</v>
      </c>
      <c r="L276">
        <v>0</v>
      </c>
      <c r="M276">
        <v>0</v>
      </c>
      <c r="N276">
        <v>0</v>
      </c>
      <c r="O276">
        <v>0</v>
      </c>
      <c r="P276">
        <v>0</v>
      </c>
      <c r="Q276">
        <v>0</v>
      </c>
      <c r="R276">
        <v>0</v>
      </c>
    </row>
    <row r="277" spans="1:18">
      <c r="A277" t="s">
        <v>1585</v>
      </c>
      <c r="B277" t="s">
        <v>197</v>
      </c>
      <c r="C277" t="s">
        <v>193</v>
      </c>
      <c r="D277">
        <v>1967</v>
      </c>
      <c r="E277">
        <v>1743</v>
      </c>
      <c r="F277">
        <v>1759</v>
      </c>
      <c r="G277">
        <v>1701</v>
      </c>
      <c r="H277">
        <v>1703</v>
      </c>
      <c r="I277">
        <v>1796</v>
      </c>
      <c r="J277">
        <v>1798</v>
      </c>
      <c r="K277">
        <v>2112</v>
      </c>
      <c r="L277">
        <v>2071</v>
      </c>
      <c r="M277">
        <v>2079</v>
      </c>
      <c r="N277">
        <v>1906</v>
      </c>
      <c r="O277">
        <v>1973</v>
      </c>
      <c r="P277">
        <v>1950</v>
      </c>
      <c r="Q277">
        <v>1970</v>
      </c>
      <c r="R277">
        <v>2183</v>
      </c>
    </row>
    <row r="278" spans="1:18">
      <c r="A278" t="s">
        <v>1586</v>
      </c>
      <c r="B278" t="s">
        <v>197</v>
      </c>
      <c r="C278" s="4" t="s">
        <v>34</v>
      </c>
      <c r="D278">
        <v>1115</v>
      </c>
      <c r="E278">
        <v>908</v>
      </c>
      <c r="F278">
        <v>734</v>
      </c>
      <c r="G278">
        <v>552</v>
      </c>
      <c r="H278">
        <v>605</v>
      </c>
      <c r="I278">
        <v>743</v>
      </c>
      <c r="J278">
        <v>790</v>
      </c>
      <c r="K278">
        <v>1105</v>
      </c>
      <c r="L278">
        <v>1105</v>
      </c>
      <c r="M278">
        <v>1126</v>
      </c>
      <c r="N278">
        <v>1108</v>
      </c>
      <c r="O278">
        <v>1291</v>
      </c>
      <c r="P278">
        <v>1321</v>
      </c>
      <c r="Q278">
        <v>1489</v>
      </c>
      <c r="R278">
        <v>1632</v>
      </c>
    </row>
    <row r="279" spans="1:18">
      <c r="A279" t="s">
        <v>1587</v>
      </c>
      <c r="B279" t="s">
        <v>197</v>
      </c>
      <c r="C279" t="s">
        <v>169</v>
      </c>
      <c r="D279">
        <v>511</v>
      </c>
      <c r="E279">
        <v>515</v>
      </c>
      <c r="F279">
        <v>661</v>
      </c>
      <c r="G279">
        <v>739</v>
      </c>
      <c r="H279">
        <v>622</v>
      </c>
      <c r="I279">
        <v>513</v>
      </c>
      <c r="J279">
        <v>345</v>
      </c>
      <c r="K279">
        <v>292</v>
      </c>
      <c r="L279">
        <v>346</v>
      </c>
      <c r="M279">
        <v>398</v>
      </c>
      <c r="N279">
        <v>410</v>
      </c>
      <c r="O279">
        <v>381</v>
      </c>
      <c r="P279">
        <v>341</v>
      </c>
      <c r="Q279">
        <v>216</v>
      </c>
      <c r="R279">
        <v>279</v>
      </c>
    </row>
    <row r="280" spans="1:18">
      <c r="A280" t="s">
        <v>1588</v>
      </c>
      <c r="B280" t="s">
        <v>197</v>
      </c>
      <c r="C280" t="s">
        <v>170</v>
      </c>
      <c r="D280">
        <v>227</v>
      </c>
      <c r="E280">
        <v>215</v>
      </c>
      <c r="F280">
        <v>239</v>
      </c>
      <c r="G280">
        <v>249</v>
      </c>
      <c r="H280">
        <v>308</v>
      </c>
      <c r="I280">
        <v>343</v>
      </c>
      <c r="J280">
        <v>475</v>
      </c>
      <c r="K280">
        <v>535</v>
      </c>
      <c r="L280">
        <v>468</v>
      </c>
      <c r="M280">
        <v>384</v>
      </c>
      <c r="N280">
        <v>201</v>
      </c>
      <c r="O280">
        <v>125</v>
      </c>
      <c r="P280">
        <v>122</v>
      </c>
      <c r="Q280">
        <v>123</v>
      </c>
      <c r="R280">
        <v>150</v>
      </c>
    </row>
    <row r="281" spans="1:18">
      <c r="A281" t="s">
        <v>1589</v>
      </c>
      <c r="B281" t="s">
        <v>197</v>
      </c>
      <c r="C281" t="s">
        <v>171</v>
      </c>
      <c r="D281">
        <v>114</v>
      </c>
      <c r="E281">
        <v>105</v>
      </c>
      <c r="F281">
        <v>125</v>
      </c>
      <c r="G281">
        <v>161</v>
      </c>
      <c r="H281">
        <v>168</v>
      </c>
      <c r="I281">
        <v>197</v>
      </c>
      <c r="J281">
        <v>188</v>
      </c>
      <c r="K281">
        <v>180</v>
      </c>
      <c r="L281">
        <v>152</v>
      </c>
      <c r="M281">
        <v>171</v>
      </c>
      <c r="N281">
        <v>187</v>
      </c>
      <c r="O281">
        <v>176</v>
      </c>
      <c r="P281">
        <v>166</v>
      </c>
      <c r="Q281">
        <v>142</v>
      </c>
      <c r="R281">
        <v>122</v>
      </c>
    </row>
    <row r="282" spans="1:18">
      <c r="A282" t="s">
        <v>1590</v>
      </c>
      <c r="B282" t="s">
        <v>197</v>
      </c>
      <c r="C282" t="s">
        <v>148</v>
      </c>
      <c r="D282">
        <v>0</v>
      </c>
      <c r="E282">
        <v>0</v>
      </c>
      <c r="F282">
        <v>0</v>
      </c>
      <c r="G282">
        <v>0</v>
      </c>
      <c r="H282">
        <v>0</v>
      </c>
      <c r="I282">
        <v>0</v>
      </c>
      <c r="J282">
        <v>0</v>
      </c>
      <c r="K282">
        <v>0</v>
      </c>
      <c r="L282">
        <v>0</v>
      </c>
      <c r="M282">
        <v>0</v>
      </c>
      <c r="N282">
        <v>0</v>
      </c>
      <c r="O282">
        <v>0</v>
      </c>
      <c r="P282">
        <v>0</v>
      </c>
      <c r="Q282">
        <v>0</v>
      </c>
      <c r="R282">
        <v>0</v>
      </c>
    </row>
    <row r="283" spans="1:18">
      <c r="A283" t="s">
        <v>1591</v>
      </c>
      <c r="B283" t="s">
        <v>197</v>
      </c>
      <c r="C283" t="s">
        <v>184</v>
      </c>
      <c r="D283">
        <v>0</v>
      </c>
      <c r="E283">
        <v>0</v>
      </c>
      <c r="F283">
        <v>0</v>
      </c>
      <c r="G283">
        <v>0</v>
      </c>
      <c r="H283">
        <v>0</v>
      </c>
      <c r="I283">
        <v>0</v>
      </c>
      <c r="J283">
        <v>0</v>
      </c>
      <c r="K283">
        <v>0</v>
      </c>
      <c r="L283">
        <v>0</v>
      </c>
      <c r="M283">
        <v>0</v>
      </c>
      <c r="N283">
        <v>0</v>
      </c>
      <c r="O283">
        <v>0</v>
      </c>
      <c r="P283">
        <v>0</v>
      </c>
      <c r="Q283">
        <v>0</v>
      </c>
      <c r="R283">
        <v>0</v>
      </c>
    </row>
    <row r="284" spans="1:18">
      <c r="A284" t="s">
        <v>1592</v>
      </c>
      <c r="B284" t="s">
        <v>197</v>
      </c>
      <c r="C284" s="4" t="s">
        <v>188</v>
      </c>
      <c r="D284">
        <v>852</v>
      </c>
      <c r="E284">
        <v>835</v>
      </c>
      <c r="F284">
        <v>1025</v>
      </c>
      <c r="G284">
        <v>1149</v>
      </c>
      <c r="H284">
        <v>1098</v>
      </c>
      <c r="I284">
        <v>1053</v>
      </c>
      <c r="J284">
        <v>1008</v>
      </c>
      <c r="K284">
        <v>1007</v>
      </c>
      <c r="L284">
        <v>966</v>
      </c>
      <c r="M284">
        <v>953</v>
      </c>
      <c r="N284">
        <v>798</v>
      </c>
      <c r="O284">
        <v>682</v>
      </c>
      <c r="P284">
        <v>629</v>
      </c>
      <c r="Q284">
        <v>481</v>
      </c>
      <c r="R284">
        <v>551</v>
      </c>
    </row>
    <row r="285" spans="1:18">
      <c r="A285" t="s">
        <v>1593</v>
      </c>
      <c r="B285" t="s">
        <v>197</v>
      </c>
      <c r="C285" s="35" t="s">
        <v>189</v>
      </c>
      <c r="D285">
        <v>341</v>
      </c>
      <c r="E285">
        <v>320</v>
      </c>
      <c r="F285">
        <v>364</v>
      </c>
      <c r="G285">
        <v>410</v>
      </c>
      <c r="H285">
        <v>476</v>
      </c>
      <c r="I285">
        <v>540</v>
      </c>
      <c r="J285">
        <v>663</v>
      </c>
      <c r="K285">
        <v>715</v>
      </c>
      <c r="L285">
        <v>620</v>
      </c>
      <c r="M285">
        <v>555</v>
      </c>
      <c r="N285">
        <v>388</v>
      </c>
      <c r="O285">
        <v>301</v>
      </c>
      <c r="P285">
        <v>288</v>
      </c>
      <c r="Q285">
        <v>265</v>
      </c>
      <c r="R285">
        <v>272</v>
      </c>
    </row>
    <row r="286" spans="1:18">
      <c r="A286" t="s">
        <v>1594</v>
      </c>
      <c r="B286" t="s">
        <v>197</v>
      </c>
      <c r="C286" t="s">
        <v>172</v>
      </c>
      <c r="D286">
        <v>0</v>
      </c>
      <c r="E286">
        <v>0</v>
      </c>
      <c r="F286">
        <v>0</v>
      </c>
      <c r="G286">
        <v>0</v>
      </c>
      <c r="H286">
        <v>0</v>
      </c>
      <c r="I286">
        <v>0</v>
      </c>
      <c r="J286">
        <v>0</v>
      </c>
      <c r="K286">
        <v>0</v>
      </c>
      <c r="L286">
        <v>0</v>
      </c>
      <c r="M286">
        <v>0</v>
      </c>
      <c r="N286">
        <v>0</v>
      </c>
      <c r="O286">
        <v>0</v>
      </c>
      <c r="P286">
        <v>0</v>
      </c>
      <c r="Q286">
        <v>0</v>
      </c>
      <c r="R286">
        <v>0</v>
      </c>
    </row>
    <row r="287" spans="1:18">
      <c r="A287" t="s">
        <v>1595</v>
      </c>
      <c r="B287" t="s">
        <v>197</v>
      </c>
      <c r="C287" t="s">
        <v>30</v>
      </c>
      <c r="D287">
        <v>0</v>
      </c>
      <c r="E287">
        <v>0</v>
      </c>
      <c r="F287">
        <v>0</v>
      </c>
      <c r="G287">
        <v>0</v>
      </c>
      <c r="H287">
        <v>0</v>
      </c>
      <c r="I287">
        <v>0</v>
      </c>
      <c r="J287">
        <v>0</v>
      </c>
      <c r="K287">
        <v>0</v>
      </c>
      <c r="L287">
        <v>0</v>
      </c>
      <c r="M287">
        <v>0</v>
      </c>
      <c r="N287">
        <v>0</v>
      </c>
      <c r="O287">
        <v>0</v>
      </c>
      <c r="P287">
        <v>0</v>
      </c>
      <c r="Q287">
        <v>0</v>
      </c>
      <c r="R287">
        <v>0</v>
      </c>
    </row>
    <row r="288" spans="1:18">
      <c r="A288" t="s">
        <v>1596</v>
      </c>
      <c r="B288" t="s">
        <v>197</v>
      </c>
      <c r="C288" t="s">
        <v>177</v>
      </c>
      <c r="D288">
        <v>0</v>
      </c>
      <c r="E288">
        <v>0</v>
      </c>
      <c r="F288">
        <v>0</v>
      </c>
      <c r="G288">
        <v>0</v>
      </c>
      <c r="H288">
        <v>0</v>
      </c>
      <c r="I288">
        <v>0</v>
      </c>
      <c r="J288">
        <v>0</v>
      </c>
      <c r="K288">
        <v>0</v>
      </c>
      <c r="L288">
        <v>0</v>
      </c>
      <c r="M288">
        <v>0</v>
      </c>
      <c r="N288">
        <v>0</v>
      </c>
      <c r="O288">
        <v>0</v>
      </c>
      <c r="P288">
        <v>0</v>
      </c>
      <c r="Q288">
        <v>0</v>
      </c>
      <c r="R288">
        <v>0</v>
      </c>
    </row>
    <row r="289" spans="1:18">
      <c r="A289" t="s">
        <v>1597</v>
      </c>
      <c r="B289" t="s">
        <v>197</v>
      </c>
      <c r="C289" t="s">
        <v>178</v>
      </c>
      <c r="D289">
        <v>0</v>
      </c>
      <c r="E289">
        <v>0</v>
      </c>
      <c r="F289">
        <v>0</v>
      </c>
      <c r="G289">
        <v>0</v>
      </c>
      <c r="H289">
        <v>0</v>
      </c>
      <c r="I289">
        <v>0</v>
      </c>
      <c r="J289">
        <v>0</v>
      </c>
      <c r="K289">
        <v>0</v>
      </c>
      <c r="L289">
        <v>0</v>
      </c>
      <c r="M289">
        <v>0</v>
      </c>
      <c r="N289">
        <v>0</v>
      </c>
      <c r="O289">
        <v>0</v>
      </c>
      <c r="P289">
        <v>0</v>
      </c>
      <c r="Q289">
        <v>0</v>
      </c>
      <c r="R289">
        <v>0</v>
      </c>
    </row>
    <row r="290" spans="1:18">
      <c r="A290" t="s">
        <v>1598</v>
      </c>
      <c r="B290" t="s">
        <v>194</v>
      </c>
      <c r="C290" t="s">
        <v>193</v>
      </c>
      <c r="D290">
        <v>2376</v>
      </c>
      <c r="E290">
        <v>2275</v>
      </c>
      <c r="F290">
        <v>2021</v>
      </c>
      <c r="G290">
        <v>1933</v>
      </c>
      <c r="H290">
        <v>1956</v>
      </c>
      <c r="I290">
        <v>2011</v>
      </c>
      <c r="J290">
        <v>2164</v>
      </c>
      <c r="K290">
        <v>1974</v>
      </c>
      <c r="L290">
        <v>2006</v>
      </c>
      <c r="M290">
        <v>1889</v>
      </c>
      <c r="N290">
        <v>1855</v>
      </c>
      <c r="O290">
        <v>1856</v>
      </c>
      <c r="P290">
        <v>1886</v>
      </c>
      <c r="Q290">
        <v>1999</v>
      </c>
      <c r="R290">
        <v>2130</v>
      </c>
    </row>
    <row r="291" spans="1:18">
      <c r="A291" t="s">
        <v>1599</v>
      </c>
      <c r="B291" t="s">
        <v>194</v>
      </c>
      <c r="C291" s="4" t="s">
        <v>34</v>
      </c>
      <c r="D291">
        <v>1519</v>
      </c>
      <c r="E291">
        <v>1240</v>
      </c>
      <c r="F291">
        <v>918</v>
      </c>
      <c r="G291">
        <v>870</v>
      </c>
      <c r="H291">
        <v>1153</v>
      </c>
      <c r="I291">
        <v>1312</v>
      </c>
      <c r="J291">
        <v>1520</v>
      </c>
      <c r="K291">
        <v>1435</v>
      </c>
      <c r="L291">
        <v>1486</v>
      </c>
      <c r="M291">
        <v>1383</v>
      </c>
      <c r="N291">
        <v>1374</v>
      </c>
      <c r="O291">
        <v>1413</v>
      </c>
      <c r="P291">
        <v>1431</v>
      </c>
      <c r="Q291">
        <v>1591</v>
      </c>
      <c r="R291">
        <v>1732</v>
      </c>
    </row>
    <row r="292" spans="1:18">
      <c r="A292" t="s">
        <v>1600</v>
      </c>
      <c r="B292" t="s">
        <v>194</v>
      </c>
      <c r="C292" t="s">
        <v>169</v>
      </c>
      <c r="D292">
        <v>857</v>
      </c>
      <c r="E292">
        <v>1035</v>
      </c>
      <c r="F292">
        <v>1103</v>
      </c>
      <c r="G292">
        <v>1063</v>
      </c>
      <c r="H292">
        <v>803</v>
      </c>
      <c r="I292">
        <v>699</v>
      </c>
      <c r="J292">
        <v>644</v>
      </c>
      <c r="K292">
        <v>539</v>
      </c>
      <c r="L292">
        <v>520</v>
      </c>
      <c r="M292">
        <v>506</v>
      </c>
      <c r="N292">
        <v>481</v>
      </c>
      <c r="O292">
        <v>443</v>
      </c>
      <c r="P292">
        <v>455</v>
      </c>
      <c r="Q292">
        <v>408</v>
      </c>
      <c r="R292">
        <v>398</v>
      </c>
    </row>
    <row r="293" spans="1:18">
      <c r="A293" t="s">
        <v>1601</v>
      </c>
      <c r="B293" t="s">
        <v>194</v>
      </c>
      <c r="C293" t="s">
        <v>170</v>
      </c>
      <c r="D293">
        <v>0</v>
      </c>
      <c r="E293">
        <v>0</v>
      </c>
      <c r="F293">
        <v>0</v>
      </c>
      <c r="G293">
        <v>0</v>
      </c>
      <c r="H293">
        <v>0</v>
      </c>
      <c r="I293">
        <v>0</v>
      </c>
      <c r="J293">
        <v>0</v>
      </c>
      <c r="K293">
        <v>0</v>
      </c>
      <c r="L293">
        <v>0</v>
      </c>
      <c r="M293">
        <v>0</v>
      </c>
      <c r="N293">
        <v>0</v>
      </c>
      <c r="O293">
        <v>0</v>
      </c>
      <c r="P293">
        <v>0</v>
      </c>
      <c r="Q293">
        <v>0</v>
      </c>
      <c r="R293">
        <v>0</v>
      </c>
    </row>
    <row r="294" spans="1:18">
      <c r="A294" t="s">
        <v>1602</v>
      </c>
      <c r="B294" t="s">
        <v>194</v>
      </c>
      <c r="C294" t="s">
        <v>171</v>
      </c>
      <c r="D294">
        <v>0</v>
      </c>
      <c r="E294">
        <v>0</v>
      </c>
      <c r="F294">
        <v>0</v>
      </c>
      <c r="G294">
        <v>0</v>
      </c>
      <c r="H294">
        <v>0</v>
      </c>
      <c r="I294">
        <v>0</v>
      </c>
      <c r="J294">
        <v>0</v>
      </c>
      <c r="K294">
        <v>0</v>
      </c>
      <c r="L294">
        <v>0</v>
      </c>
      <c r="M294">
        <v>0</v>
      </c>
      <c r="N294">
        <v>0</v>
      </c>
      <c r="O294">
        <v>0</v>
      </c>
      <c r="P294">
        <v>0</v>
      </c>
      <c r="Q294">
        <v>0</v>
      </c>
      <c r="R294">
        <v>0</v>
      </c>
    </row>
    <row r="295" spans="1:18">
      <c r="A295" t="s">
        <v>1603</v>
      </c>
      <c r="B295" t="s">
        <v>194</v>
      </c>
      <c r="C295" t="s">
        <v>148</v>
      </c>
      <c r="D295">
        <v>0</v>
      </c>
      <c r="E295">
        <v>0</v>
      </c>
      <c r="F295">
        <v>0</v>
      </c>
      <c r="G295">
        <v>0</v>
      </c>
      <c r="H295">
        <v>0</v>
      </c>
      <c r="I295">
        <v>0</v>
      </c>
      <c r="J295">
        <v>0</v>
      </c>
      <c r="K295">
        <v>0</v>
      </c>
      <c r="L295">
        <v>0</v>
      </c>
      <c r="M295">
        <v>0</v>
      </c>
      <c r="N295">
        <v>0</v>
      </c>
      <c r="O295">
        <v>0</v>
      </c>
      <c r="P295">
        <v>0</v>
      </c>
      <c r="Q295">
        <v>0</v>
      </c>
      <c r="R295">
        <v>0</v>
      </c>
    </row>
    <row r="296" spans="1:18">
      <c r="A296" t="s">
        <v>1604</v>
      </c>
      <c r="B296" t="s">
        <v>194</v>
      </c>
      <c r="C296" t="s">
        <v>184</v>
      </c>
      <c r="D296">
        <v>0</v>
      </c>
      <c r="E296">
        <v>0</v>
      </c>
      <c r="F296">
        <v>0</v>
      </c>
      <c r="G296">
        <v>0</v>
      </c>
      <c r="H296">
        <v>0</v>
      </c>
      <c r="I296">
        <v>0</v>
      </c>
      <c r="J296">
        <v>0</v>
      </c>
      <c r="K296">
        <v>0</v>
      </c>
      <c r="L296">
        <v>0</v>
      </c>
      <c r="M296">
        <v>0</v>
      </c>
      <c r="N296">
        <v>0</v>
      </c>
      <c r="O296">
        <v>0</v>
      </c>
      <c r="P296">
        <v>0</v>
      </c>
      <c r="Q296">
        <v>0</v>
      </c>
      <c r="R296">
        <v>0</v>
      </c>
    </row>
    <row r="297" spans="1:18">
      <c r="A297" t="s">
        <v>1605</v>
      </c>
      <c r="B297" t="s">
        <v>194</v>
      </c>
      <c r="C297" s="4" t="s">
        <v>188</v>
      </c>
      <c r="D297">
        <v>685</v>
      </c>
      <c r="E297">
        <v>807</v>
      </c>
      <c r="F297">
        <v>841</v>
      </c>
      <c r="G297">
        <v>755</v>
      </c>
      <c r="H297">
        <v>541</v>
      </c>
      <c r="I297">
        <v>408</v>
      </c>
      <c r="J297">
        <v>316</v>
      </c>
      <c r="K297">
        <v>250</v>
      </c>
      <c r="L297">
        <v>305</v>
      </c>
      <c r="M297">
        <v>348</v>
      </c>
      <c r="N297">
        <v>338</v>
      </c>
      <c r="O297">
        <v>289</v>
      </c>
      <c r="P297">
        <v>277</v>
      </c>
      <c r="Q297">
        <v>238</v>
      </c>
      <c r="R297">
        <v>241</v>
      </c>
    </row>
    <row r="298" spans="1:18">
      <c r="A298" t="s">
        <v>1606</v>
      </c>
      <c r="B298" t="s">
        <v>194</v>
      </c>
      <c r="C298" s="35" t="s">
        <v>189</v>
      </c>
      <c r="D298">
        <v>172</v>
      </c>
      <c r="E298">
        <v>228</v>
      </c>
      <c r="F298">
        <v>262</v>
      </c>
      <c r="G298">
        <v>308</v>
      </c>
      <c r="H298">
        <v>262</v>
      </c>
      <c r="I298">
        <v>291</v>
      </c>
      <c r="J298">
        <v>328</v>
      </c>
      <c r="K298">
        <v>289</v>
      </c>
      <c r="L298">
        <v>215</v>
      </c>
      <c r="M298">
        <v>158</v>
      </c>
      <c r="N298">
        <v>143</v>
      </c>
      <c r="O298">
        <v>154</v>
      </c>
      <c r="P298">
        <v>178</v>
      </c>
      <c r="Q298">
        <v>170</v>
      </c>
      <c r="R298">
        <v>157</v>
      </c>
    </row>
    <row r="299" spans="1:18">
      <c r="A299" t="s">
        <v>1607</v>
      </c>
      <c r="B299" t="s">
        <v>194</v>
      </c>
      <c r="C299" t="s">
        <v>172</v>
      </c>
      <c r="D299">
        <v>139</v>
      </c>
      <c r="E299">
        <v>184</v>
      </c>
      <c r="F299">
        <v>222</v>
      </c>
      <c r="G299">
        <v>255</v>
      </c>
      <c r="H299">
        <v>200</v>
      </c>
      <c r="I299">
        <v>229</v>
      </c>
      <c r="J299">
        <v>267</v>
      </c>
      <c r="K299">
        <v>250</v>
      </c>
      <c r="L299">
        <v>179</v>
      </c>
      <c r="M299">
        <v>111</v>
      </c>
      <c r="N299">
        <v>87</v>
      </c>
      <c r="O299">
        <v>107</v>
      </c>
      <c r="P299">
        <v>123</v>
      </c>
      <c r="Q299">
        <v>129</v>
      </c>
      <c r="R299">
        <v>133</v>
      </c>
    </row>
    <row r="300" spans="1:18">
      <c r="A300" t="s">
        <v>1608</v>
      </c>
      <c r="B300" t="s">
        <v>194</v>
      </c>
      <c r="C300" t="s">
        <v>30</v>
      </c>
      <c r="D300">
        <v>33</v>
      </c>
      <c r="E300">
        <v>44</v>
      </c>
      <c r="F300">
        <v>40</v>
      </c>
      <c r="G300">
        <v>53</v>
      </c>
      <c r="H300">
        <v>62</v>
      </c>
      <c r="I300">
        <v>62</v>
      </c>
      <c r="J300">
        <v>61</v>
      </c>
      <c r="K300">
        <v>39</v>
      </c>
      <c r="L300">
        <v>36</v>
      </c>
      <c r="M300">
        <v>47</v>
      </c>
      <c r="N300">
        <v>56</v>
      </c>
      <c r="O300">
        <v>47</v>
      </c>
      <c r="P300">
        <v>55</v>
      </c>
      <c r="Q300">
        <v>41</v>
      </c>
      <c r="R300">
        <v>24</v>
      </c>
    </row>
    <row r="301" spans="1:18">
      <c r="A301" t="s">
        <v>1609</v>
      </c>
      <c r="B301" t="s">
        <v>195</v>
      </c>
      <c r="C301" t="s">
        <v>193</v>
      </c>
      <c r="D301">
        <v>151</v>
      </c>
      <c r="E301">
        <v>156</v>
      </c>
      <c r="F301">
        <v>154</v>
      </c>
      <c r="G301">
        <v>158</v>
      </c>
      <c r="H301">
        <v>170</v>
      </c>
      <c r="I301">
        <v>175</v>
      </c>
      <c r="J301">
        <v>174</v>
      </c>
      <c r="K301">
        <v>150</v>
      </c>
      <c r="L301">
        <v>115</v>
      </c>
      <c r="M301">
        <v>93</v>
      </c>
      <c r="N301">
        <v>93</v>
      </c>
      <c r="O301">
        <v>94</v>
      </c>
      <c r="P301">
        <v>89</v>
      </c>
      <c r="Q301">
        <v>85</v>
      </c>
      <c r="R301">
        <v>100</v>
      </c>
    </row>
    <row r="302" spans="1:18">
      <c r="A302" t="s">
        <v>1610</v>
      </c>
      <c r="B302" t="s">
        <v>195</v>
      </c>
      <c r="C302" s="4" t="s">
        <v>34</v>
      </c>
      <c r="D302">
        <v>100</v>
      </c>
      <c r="E302">
        <v>99</v>
      </c>
      <c r="F302">
        <v>85</v>
      </c>
      <c r="G302">
        <v>82</v>
      </c>
      <c r="H302">
        <v>101</v>
      </c>
      <c r="I302">
        <v>100</v>
      </c>
      <c r="J302">
        <v>102</v>
      </c>
      <c r="K302">
        <v>95</v>
      </c>
      <c r="L302">
        <v>71</v>
      </c>
      <c r="M302">
        <v>50</v>
      </c>
      <c r="N302">
        <v>49</v>
      </c>
      <c r="O302">
        <v>56</v>
      </c>
      <c r="P302">
        <v>55</v>
      </c>
      <c r="Q302">
        <v>66</v>
      </c>
      <c r="R302">
        <v>72</v>
      </c>
    </row>
    <row r="303" spans="1:18">
      <c r="A303" t="s">
        <v>1611</v>
      </c>
      <c r="B303" t="s">
        <v>195</v>
      </c>
      <c r="C303" t="s">
        <v>169</v>
      </c>
      <c r="D303">
        <v>51</v>
      </c>
      <c r="E303">
        <v>57</v>
      </c>
      <c r="F303">
        <v>69</v>
      </c>
      <c r="G303">
        <v>76</v>
      </c>
      <c r="H303">
        <v>69</v>
      </c>
      <c r="I303">
        <v>75</v>
      </c>
      <c r="J303">
        <v>72</v>
      </c>
      <c r="K303">
        <v>55</v>
      </c>
      <c r="L303">
        <v>44</v>
      </c>
      <c r="M303">
        <v>43</v>
      </c>
      <c r="N303">
        <v>44</v>
      </c>
      <c r="O303">
        <v>38</v>
      </c>
      <c r="P303">
        <v>34</v>
      </c>
      <c r="Q303">
        <v>19</v>
      </c>
      <c r="R303">
        <v>28</v>
      </c>
    </row>
    <row r="304" spans="1:18">
      <c r="A304" t="s">
        <v>1612</v>
      </c>
      <c r="B304" t="s">
        <v>195</v>
      </c>
      <c r="C304" t="s">
        <v>170</v>
      </c>
      <c r="D304">
        <v>0</v>
      </c>
      <c r="E304">
        <v>0</v>
      </c>
      <c r="F304">
        <v>0</v>
      </c>
      <c r="G304">
        <v>0</v>
      </c>
      <c r="H304">
        <v>0</v>
      </c>
      <c r="I304">
        <v>0</v>
      </c>
      <c r="J304">
        <v>0</v>
      </c>
      <c r="K304">
        <v>0</v>
      </c>
      <c r="L304">
        <v>0</v>
      </c>
      <c r="M304">
        <v>0</v>
      </c>
      <c r="N304">
        <v>0</v>
      </c>
      <c r="O304">
        <v>0</v>
      </c>
      <c r="P304">
        <v>0</v>
      </c>
      <c r="Q304">
        <v>0</v>
      </c>
      <c r="R304">
        <v>0</v>
      </c>
    </row>
    <row r="305" spans="1:18">
      <c r="A305" t="s">
        <v>1613</v>
      </c>
      <c r="B305" t="s">
        <v>195</v>
      </c>
      <c r="C305" t="s">
        <v>171</v>
      </c>
      <c r="D305">
        <v>0</v>
      </c>
      <c r="E305">
        <v>0</v>
      </c>
      <c r="F305">
        <v>0</v>
      </c>
      <c r="G305">
        <v>0</v>
      </c>
      <c r="H305">
        <v>0</v>
      </c>
      <c r="I305">
        <v>0</v>
      </c>
      <c r="J305">
        <v>0</v>
      </c>
      <c r="K305">
        <v>0</v>
      </c>
      <c r="L305">
        <v>0</v>
      </c>
      <c r="M305">
        <v>0</v>
      </c>
      <c r="N305">
        <v>0</v>
      </c>
      <c r="O305">
        <v>0</v>
      </c>
      <c r="P305">
        <v>0</v>
      </c>
      <c r="Q305">
        <v>0</v>
      </c>
      <c r="R305">
        <v>0</v>
      </c>
    </row>
    <row r="306" spans="1:18">
      <c r="A306" t="s">
        <v>1614</v>
      </c>
      <c r="B306" t="s">
        <v>195</v>
      </c>
      <c r="C306" t="s">
        <v>148</v>
      </c>
      <c r="D306">
        <v>0</v>
      </c>
      <c r="E306">
        <v>0</v>
      </c>
      <c r="F306">
        <v>0</v>
      </c>
      <c r="G306">
        <v>0</v>
      </c>
      <c r="H306">
        <v>0</v>
      </c>
      <c r="I306">
        <v>0</v>
      </c>
      <c r="J306">
        <v>0</v>
      </c>
      <c r="K306">
        <v>0</v>
      </c>
      <c r="L306">
        <v>0</v>
      </c>
      <c r="M306">
        <v>0</v>
      </c>
      <c r="N306">
        <v>0</v>
      </c>
      <c r="O306">
        <v>0</v>
      </c>
      <c r="P306">
        <v>0</v>
      </c>
      <c r="Q306">
        <v>0</v>
      </c>
      <c r="R306">
        <v>0</v>
      </c>
    </row>
    <row r="307" spans="1:18">
      <c r="A307" t="s">
        <v>1615</v>
      </c>
      <c r="B307" t="s">
        <v>195</v>
      </c>
      <c r="C307" t="s">
        <v>184</v>
      </c>
      <c r="D307">
        <v>0</v>
      </c>
      <c r="E307">
        <v>0</v>
      </c>
      <c r="F307">
        <v>0</v>
      </c>
      <c r="G307">
        <v>0</v>
      </c>
      <c r="H307">
        <v>0</v>
      </c>
      <c r="I307">
        <v>0</v>
      </c>
      <c r="J307">
        <v>0</v>
      </c>
      <c r="K307">
        <v>0</v>
      </c>
      <c r="L307">
        <v>0</v>
      </c>
      <c r="M307">
        <v>0</v>
      </c>
      <c r="N307">
        <v>0</v>
      </c>
      <c r="O307">
        <v>0</v>
      </c>
      <c r="P307">
        <v>0</v>
      </c>
      <c r="Q307">
        <v>0</v>
      </c>
      <c r="R307">
        <v>0</v>
      </c>
    </row>
    <row r="308" spans="1:18">
      <c r="A308" t="s">
        <v>1616</v>
      </c>
      <c r="B308" t="s">
        <v>195</v>
      </c>
      <c r="C308" s="4" t="s">
        <v>188</v>
      </c>
      <c r="D308">
        <v>46</v>
      </c>
      <c r="E308">
        <v>50</v>
      </c>
      <c r="F308">
        <v>56</v>
      </c>
      <c r="G308">
        <v>60</v>
      </c>
      <c r="H308">
        <v>45</v>
      </c>
      <c r="I308">
        <v>45</v>
      </c>
      <c r="J308">
        <v>32</v>
      </c>
      <c r="K308">
        <v>20</v>
      </c>
      <c r="L308">
        <v>20</v>
      </c>
      <c r="M308">
        <v>23</v>
      </c>
      <c r="N308">
        <v>28</v>
      </c>
      <c r="O308">
        <v>29</v>
      </c>
      <c r="P308">
        <v>21</v>
      </c>
      <c r="Q308">
        <v>9</v>
      </c>
      <c r="R308">
        <v>19</v>
      </c>
    </row>
    <row r="309" spans="1:18">
      <c r="A309" t="s">
        <v>1617</v>
      </c>
      <c r="B309" t="s">
        <v>195</v>
      </c>
      <c r="C309" s="35" t="s">
        <v>189</v>
      </c>
      <c r="D309">
        <v>5</v>
      </c>
      <c r="E309">
        <v>7</v>
      </c>
      <c r="F309">
        <v>13</v>
      </c>
      <c r="G309">
        <v>16</v>
      </c>
      <c r="H309">
        <v>24</v>
      </c>
      <c r="I309">
        <v>30</v>
      </c>
      <c r="J309">
        <v>40</v>
      </c>
      <c r="K309">
        <v>35</v>
      </c>
      <c r="L309">
        <v>24</v>
      </c>
      <c r="M309">
        <v>20</v>
      </c>
      <c r="N309">
        <v>16</v>
      </c>
      <c r="O309">
        <v>9</v>
      </c>
      <c r="P309">
        <v>13</v>
      </c>
      <c r="Q309">
        <v>10</v>
      </c>
      <c r="R309">
        <v>9</v>
      </c>
    </row>
    <row r="310" spans="1:18">
      <c r="A310" t="s">
        <v>1618</v>
      </c>
      <c r="B310" t="s">
        <v>195</v>
      </c>
      <c r="C310" t="s">
        <v>172</v>
      </c>
      <c r="D310">
        <v>5</v>
      </c>
      <c r="E310">
        <v>6</v>
      </c>
      <c r="F310">
        <v>12</v>
      </c>
      <c r="G310">
        <v>14</v>
      </c>
      <c r="H310">
        <v>24</v>
      </c>
      <c r="I310">
        <v>28</v>
      </c>
      <c r="J310">
        <v>31</v>
      </c>
      <c r="K310">
        <v>27</v>
      </c>
      <c r="L310">
        <v>17</v>
      </c>
      <c r="M310">
        <v>14</v>
      </c>
      <c r="N310">
        <v>6</v>
      </c>
      <c r="O310">
        <v>5</v>
      </c>
      <c r="P310">
        <v>9</v>
      </c>
      <c r="Q310">
        <v>6</v>
      </c>
      <c r="R310">
        <v>7</v>
      </c>
    </row>
    <row r="311" spans="1:18">
      <c r="A311" t="s">
        <v>1619</v>
      </c>
      <c r="B311" t="s">
        <v>195</v>
      </c>
      <c r="C311" t="s">
        <v>30</v>
      </c>
      <c r="D311">
        <v>0</v>
      </c>
      <c r="E311">
        <v>1</v>
      </c>
      <c r="F311">
        <v>1</v>
      </c>
      <c r="G311">
        <v>2</v>
      </c>
      <c r="H311">
        <v>0</v>
      </c>
      <c r="I311">
        <v>2</v>
      </c>
      <c r="J311">
        <v>9</v>
      </c>
      <c r="K311">
        <v>8</v>
      </c>
      <c r="L311">
        <v>7</v>
      </c>
      <c r="M311">
        <v>6</v>
      </c>
      <c r="N311">
        <v>10</v>
      </c>
      <c r="O311">
        <v>4</v>
      </c>
      <c r="P311">
        <v>4</v>
      </c>
      <c r="Q311">
        <v>4</v>
      </c>
      <c r="R311">
        <v>2</v>
      </c>
    </row>
    <row r="312" spans="1:18">
      <c r="A312" t="s">
        <v>1620</v>
      </c>
      <c r="B312" t="s">
        <v>196</v>
      </c>
      <c r="C312" t="s">
        <v>193</v>
      </c>
      <c r="D312">
        <v>2376</v>
      </c>
      <c r="E312">
        <v>2275</v>
      </c>
      <c r="F312">
        <v>2021</v>
      </c>
      <c r="G312">
        <v>1933</v>
      </c>
      <c r="H312">
        <v>1956</v>
      </c>
      <c r="I312">
        <v>2011</v>
      </c>
      <c r="J312">
        <v>2164</v>
      </c>
      <c r="K312">
        <v>1974</v>
      </c>
      <c r="L312">
        <v>2006</v>
      </c>
      <c r="M312">
        <v>1889</v>
      </c>
      <c r="N312">
        <v>1855</v>
      </c>
      <c r="O312">
        <v>1856</v>
      </c>
      <c r="P312">
        <v>1886</v>
      </c>
      <c r="Q312">
        <v>1999</v>
      </c>
      <c r="R312">
        <v>2130</v>
      </c>
    </row>
    <row r="313" spans="1:18">
      <c r="A313" t="s">
        <v>1621</v>
      </c>
      <c r="B313" t="s">
        <v>196</v>
      </c>
      <c r="C313" s="4" t="s">
        <v>34</v>
      </c>
      <c r="D313">
        <v>1302</v>
      </c>
      <c r="E313">
        <v>1021</v>
      </c>
      <c r="F313">
        <v>697</v>
      </c>
      <c r="G313">
        <v>643</v>
      </c>
      <c r="H313">
        <v>942</v>
      </c>
      <c r="I313">
        <v>1135</v>
      </c>
      <c r="J313">
        <v>1376</v>
      </c>
      <c r="K313">
        <v>1306</v>
      </c>
      <c r="L313">
        <v>1369</v>
      </c>
      <c r="M313">
        <v>1279</v>
      </c>
      <c r="N313">
        <v>1276</v>
      </c>
      <c r="O313">
        <v>1324</v>
      </c>
      <c r="P313">
        <v>1341</v>
      </c>
      <c r="Q313">
        <v>1518</v>
      </c>
      <c r="R313">
        <v>1631</v>
      </c>
    </row>
    <row r="314" spans="1:18">
      <c r="A314" t="s">
        <v>1622</v>
      </c>
      <c r="B314" t="s">
        <v>196</v>
      </c>
      <c r="C314" t="s">
        <v>169</v>
      </c>
      <c r="D314">
        <v>1074</v>
      </c>
      <c r="E314">
        <v>1254</v>
      </c>
      <c r="F314">
        <v>1324</v>
      </c>
      <c r="G314">
        <v>1290</v>
      </c>
      <c r="H314">
        <v>1014</v>
      </c>
      <c r="I314">
        <v>876</v>
      </c>
      <c r="J314">
        <v>788</v>
      </c>
      <c r="K314">
        <v>668</v>
      </c>
      <c r="L314">
        <v>637</v>
      </c>
      <c r="M314">
        <v>610</v>
      </c>
      <c r="N314">
        <v>579</v>
      </c>
      <c r="O314">
        <v>532</v>
      </c>
      <c r="P314">
        <v>545</v>
      </c>
      <c r="Q314">
        <v>481</v>
      </c>
      <c r="R314">
        <v>499</v>
      </c>
    </row>
    <row r="315" spans="1:18">
      <c r="A315" t="s">
        <v>1623</v>
      </c>
      <c r="B315" t="s">
        <v>196</v>
      </c>
      <c r="C315" t="s">
        <v>170</v>
      </c>
      <c r="D315">
        <v>0</v>
      </c>
      <c r="E315">
        <v>0</v>
      </c>
      <c r="F315">
        <v>0</v>
      </c>
      <c r="G315">
        <v>0</v>
      </c>
      <c r="H315">
        <v>0</v>
      </c>
      <c r="I315">
        <v>0</v>
      </c>
      <c r="J315">
        <v>0</v>
      </c>
      <c r="K315">
        <v>0</v>
      </c>
      <c r="L315">
        <v>0</v>
      </c>
      <c r="M315">
        <v>0</v>
      </c>
      <c r="N315">
        <v>0</v>
      </c>
      <c r="O315">
        <v>0</v>
      </c>
      <c r="P315">
        <v>0</v>
      </c>
      <c r="Q315">
        <v>0</v>
      </c>
      <c r="R315">
        <v>0</v>
      </c>
    </row>
    <row r="316" spans="1:18">
      <c r="A316" t="s">
        <v>1624</v>
      </c>
      <c r="B316" t="s">
        <v>196</v>
      </c>
      <c r="C316" t="s">
        <v>171</v>
      </c>
      <c r="D316">
        <v>0</v>
      </c>
      <c r="E316">
        <v>0</v>
      </c>
      <c r="F316">
        <v>0</v>
      </c>
      <c r="G316">
        <v>0</v>
      </c>
      <c r="H316">
        <v>0</v>
      </c>
      <c r="I316">
        <v>0</v>
      </c>
      <c r="J316">
        <v>0</v>
      </c>
      <c r="K316">
        <v>0</v>
      </c>
      <c r="L316">
        <v>0</v>
      </c>
      <c r="M316">
        <v>0</v>
      </c>
      <c r="N316">
        <v>0</v>
      </c>
      <c r="O316">
        <v>0</v>
      </c>
      <c r="P316">
        <v>0</v>
      </c>
      <c r="Q316">
        <v>0</v>
      </c>
      <c r="R316">
        <v>0</v>
      </c>
    </row>
    <row r="317" spans="1:18">
      <c r="A317" t="s">
        <v>1625</v>
      </c>
      <c r="B317" t="s">
        <v>196</v>
      </c>
      <c r="C317" t="s">
        <v>148</v>
      </c>
      <c r="D317">
        <v>0</v>
      </c>
      <c r="E317">
        <v>0</v>
      </c>
      <c r="F317">
        <v>0</v>
      </c>
      <c r="G317">
        <v>0</v>
      </c>
      <c r="H317">
        <v>0</v>
      </c>
      <c r="I317">
        <v>0</v>
      </c>
      <c r="J317">
        <v>0</v>
      </c>
      <c r="K317">
        <v>0</v>
      </c>
      <c r="L317">
        <v>0</v>
      </c>
      <c r="M317">
        <v>0</v>
      </c>
      <c r="N317">
        <v>0</v>
      </c>
      <c r="O317">
        <v>0</v>
      </c>
      <c r="P317">
        <v>0</v>
      </c>
      <c r="Q317">
        <v>0</v>
      </c>
      <c r="R317">
        <v>0</v>
      </c>
    </row>
    <row r="318" spans="1:18">
      <c r="A318" t="s">
        <v>1626</v>
      </c>
      <c r="B318" t="s">
        <v>196</v>
      </c>
      <c r="C318" t="s">
        <v>184</v>
      </c>
      <c r="D318">
        <v>0</v>
      </c>
      <c r="E318">
        <v>0</v>
      </c>
      <c r="F318">
        <v>0</v>
      </c>
      <c r="G318">
        <v>0</v>
      </c>
      <c r="H318">
        <v>0</v>
      </c>
      <c r="I318">
        <v>0</v>
      </c>
      <c r="J318">
        <v>0</v>
      </c>
      <c r="K318">
        <v>0</v>
      </c>
      <c r="L318">
        <v>0</v>
      </c>
      <c r="M318">
        <v>0</v>
      </c>
      <c r="N318">
        <v>0</v>
      </c>
      <c r="O318">
        <v>0</v>
      </c>
      <c r="P318">
        <v>0</v>
      </c>
      <c r="Q318">
        <v>0</v>
      </c>
      <c r="R318">
        <v>0</v>
      </c>
    </row>
    <row r="319" spans="1:18">
      <c r="A319" t="s">
        <v>1627</v>
      </c>
      <c r="B319" t="s">
        <v>196</v>
      </c>
      <c r="C319" s="4" t="s">
        <v>188</v>
      </c>
      <c r="D319">
        <v>816</v>
      </c>
      <c r="E319">
        <v>910</v>
      </c>
      <c r="F319">
        <v>918</v>
      </c>
      <c r="G319">
        <v>811</v>
      </c>
      <c r="H319">
        <v>620</v>
      </c>
      <c r="I319">
        <v>438</v>
      </c>
      <c r="J319">
        <v>297</v>
      </c>
      <c r="K319">
        <v>243</v>
      </c>
      <c r="L319">
        <v>322</v>
      </c>
      <c r="M319">
        <v>374</v>
      </c>
      <c r="N319">
        <v>364</v>
      </c>
      <c r="O319">
        <v>309</v>
      </c>
      <c r="P319">
        <v>300</v>
      </c>
      <c r="Q319">
        <v>251</v>
      </c>
      <c r="R319">
        <v>266</v>
      </c>
    </row>
    <row r="320" spans="1:18">
      <c r="A320" t="s">
        <v>1628</v>
      </c>
      <c r="B320" t="s">
        <v>196</v>
      </c>
      <c r="C320" s="35" t="s">
        <v>189</v>
      </c>
      <c r="D320">
        <v>258</v>
      </c>
      <c r="E320">
        <v>344</v>
      </c>
      <c r="F320">
        <v>406</v>
      </c>
      <c r="G320">
        <v>479</v>
      </c>
      <c r="H320">
        <v>394</v>
      </c>
      <c r="I320">
        <v>438</v>
      </c>
      <c r="J320">
        <v>491</v>
      </c>
      <c r="K320">
        <v>425</v>
      </c>
      <c r="L320">
        <v>315</v>
      </c>
      <c r="M320">
        <v>236</v>
      </c>
      <c r="N320">
        <v>215</v>
      </c>
      <c r="O320">
        <v>223</v>
      </c>
      <c r="P320">
        <v>245</v>
      </c>
      <c r="Q320">
        <v>230</v>
      </c>
      <c r="R320">
        <v>233</v>
      </c>
    </row>
    <row r="321" spans="1:18">
      <c r="A321" t="s">
        <v>1629</v>
      </c>
      <c r="B321" t="s">
        <v>196</v>
      </c>
      <c r="C321" t="s">
        <v>172</v>
      </c>
      <c r="D321">
        <v>189</v>
      </c>
      <c r="E321">
        <v>258</v>
      </c>
      <c r="F321">
        <v>322</v>
      </c>
      <c r="G321">
        <v>386</v>
      </c>
      <c r="H321">
        <v>299</v>
      </c>
      <c r="I321">
        <v>329</v>
      </c>
      <c r="J321">
        <v>374</v>
      </c>
      <c r="K321">
        <v>335</v>
      </c>
      <c r="L321">
        <v>241</v>
      </c>
      <c r="M321">
        <v>139</v>
      </c>
      <c r="N321">
        <v>103</v>
      </c>
      <c r="O321">
        <v>126</v>
      </c>
      <c r="P321">
        <v>145</v>
      </c>
      <c r="Q321">
        <v>152</v>
      </c>
      <c r="R321">
        <v>168</v>
      </c>
    </row>
    <row r="322" spans="1:18">
      <c r="A322" t="s">
        <v>1630</v>
      </c>
      <c r="B322" t="s">
        <v>196</v>
      </c>
      <c r="C322" t="s">
        <v>30</v>
      </c>
      <c r="D322">
        <v>69</v>
      </c>
      <c r="E322">
        <v>86</v>
      </c>
      <c r="F322">
        <v>84</v>
      </c>
      <c r="G322">
        <v>93</v>
      </c>
      <c r="H322">
        <v>95</v>
      </c>
      <c r="I322">
        <v>109</v>
      </c>
      <c r="J322">
        <v>117</v>
      </c>
      <c r="K322">
        <v>90</v>
      </c>
      <c r="L322">
        <v>74</v>
      </c>
      <c r="M322">
        <v>97</v>
      </c>
      <c r="N322">
        <v>112</v>
      </c>
      <c r="O322">
        <v>97</v>
      </c>
      <c r="P322">
        <v>100</v>
      </c>
      <c r="Q322">
        <v>78</v>
      </c>
      <c r="R322">
        <v>65</v>
      </c>
    </row>
    <row r="323" spans="1:18">
      <c r="A323" t="s">
        <v>1631</v>
      </c>
      <c r="B323" t="s">
        <v>196</v>
      </c>
      <c r="C323" t="s">
        <v>177</v>
      </c>
      <c r="D323">
        <v>0</v>
      </c>
      <c r="E323">
        <v>0</v>
      </c>
      <c r="F323">
        <v>0</v>
      </c>
      <c r="G323">
        <v>0</v>
      </c>
      <c r="H323">
        <v>0</v>
      </c>
      <c r="I323">
        <v>0</v>
      </c>
      <c r="J323">
        <v>0</v>
      </c>
      <c r="K323">
        <v>0</v>
      </c>
      <c r="L323">
        <v>0</v>
      </c>
      <c r="M323">
        <v>0</v>
      </c>
      <c r="N323">
        <v>0</v>
      </c>
      <c r="O323">
        <v>0</v>
      </c>
      <c r="P323">
        <v>0</v>
      </c>
      <c r="Q323">
        <v>0</v>
      </c>
      <c r="R323">
        <v>0</v>
      </c>
    </row>
    <row r="324" spans="1:18">
      <c r="A324" t="s">
        <v>1632</v>
      </c>
      <c r="B324" t="s">
        <v>196</v>
      </c>
      <c r="C324" t="s">
        <v>178</v>
      </c>
      <c r="D324">
        <v>0</v>
      </c>
      <c r="E324">
        <v>0</v>
      </c>
      <c r="F324">
        <v>0</v>
      </c>
      <c r="G324">
        <v>0</v>
      </c>
      <c r="H324">
        <v>0</v>
      </c>
      <c r="I324">
        <v>0</v>
      </c>
      <c r="J324">
        <v>0</v>
      </c>
      <c r="K324">
        <v>0</v>
      </c>
      <c r="L324">
        <v>0</v>
      </c>
      <c r="M324">
        <v>0</v>
      </c>
      <c r="N324">
        <v>0</v>
      </c>
      <c r="O324">
        <v>0</v>
      </c>
      <c r="P324">
        <v>0</v>
      </c>
      <c r="Q324">
        <v>0</v>
      </c>
      <c r="R324">
        <v>0</v>
      </c>
    </row>
    <row r="325" spans="1:18">
      <c r="A325" t="s">
        <v>1633</v>
      </c>
      <c r="B325" t="s">
        <v>197</v>
      </c>
      <c r="C325" t="s">
        <v>193</v>
      </c>
      <c r="D325">
        <v>2376</v>
      </c>
      <c r="E325">
        <v>2275</v>
      </c>
      <c r="F325">
        <v>2021</v>
      </c>
      <c r="G325">
        <v>1933</v>
      </c>
      <c r="H325">
        <v>1956</v>
      </c>
      <c r="I325">
        <v>2011</v>
      </c>
      <c r="J325">
        <v>2164</v>
      </c>
      <c r="K325">
        <v>1974</v>
      </c>
      <c r="L325">
        <v>2006</v>
      </c>
      <c r="M325">
        <v>1889</v>
      </c>
      <c r="N325">
        <v>1855</v>
      </c>
      <c r="O325">
        <v>1856</v>
      </c>
      <c r="P325">
        <v>1886</v>
      </c>
      <c r="Q325">
        <v>1999</v>
      </c>
      <c r="R325">
        <v>2130</v>
      </c>
    </row>
    <row r="326" spans="1:18">
      <c r="A326" t="s">
        <v>1634</v>
      </c>
      <c r="B326" t="s">
        <v>197</v>
      </c>
      <c r="C326" s="4" t="s">
        <v>34</v>
      </c>
      <c r="D326">
        <v>1302</v>
      </c>
      <c r="E326">
        <v>1021</v>
      </c>
      <c r="F326">
        <v>697</v>
      </c>
      <c r="G326">
        <v>643</v>
      </c>
      <c r="H326">
        <v>942</v>
      </c>
      <c r="I326">
        <v>1135</v>
      </c>
      <c r="J326">
        <v>1376</v>
      </c>
      <c r="K326">
        <v>1306</v>
      </c>
      <c r="L326">
        <v>1369</v>
      </c>
      <c r="M326">
        <v>1279</v>
      </c>
      <c r="N326">
        <v>1276</v>
      </c>
      <c r="O326">
        <v>1324</v>
      </c>
      <c r="P326">
        <v>1341</v>
      </c>
      <c r="Q326">
        <v>1518</v>
      </c>
      <c r="R326">
        <v>1631</v>
      </c>
    </row>
    <row r="327" spans="1:18">
      <c r="A327" t="s">
        <v>1635</v>
      </c>
      <c r="B327" t="s">
        <v>197</v>
      </c>
      <c r="C327" t="s">
        <v>169</v>
      </c>
      <c r="D327">
        <v>816</v>
      </c>
      <c r="E327">
        <v>910</v>
      </c>
      <c r="F327">
        <v>918</v>
      </c>
      <c r="G327">
        <v>811</v>
      </c>
      <c r="H327">
        <v>620</v>
      </c>
      <c r="I327">
        <v>438</v>
      </c>
      <c r="J327">
        <v>297</v>
      </c>
      <c r="K327">
        <v>243</v>
      </c>
      <c r="L327">
        <v>322</v>
      </c>
      <c r="M327">
        <v>374</v>
      </c>
      <c r="N327">
        <v>364</v>
      </c>
      <c r="O327">
        <v>309</v>
      </c>
      <c r="P327">
        <v>300</v>
      </c>
      <c r="Q327">
        <v>251</v>
      </c>
      <c r="R327">
        <v>266</v>
      </c>
    </row>
    <row r="328" spans="1:18">
      <c r="A328" t="s">
        <v>1636</v>
      </c>
      <c r="B328" t="s">
        <v>197</v>
      </c>
      <c r="C328" t="s">
        <v>170</v>
      </c>
      <c r="D328">
        <v>189</v>
      </c>
      <c r="E328">
        <v>258</v>
      </c>
      <c r="F328">
        <v>322</v>
      </c>
      <c r="G328">
        <v>386</v>
      </c>
      <c r="H328">
        <v>299</v>
      </c>
      <c r="I328">
        <v>329</v>
      </c>
      <c r="J328">
        <v>374</v>
      </c>
      <c r="K328">
        <v>335</v>
      </c>
      <c r="L328">
        <v>241</v>
      </c>
      <c r="M328">
        <v>139</v>
      </c>
      <c r="N328">
        <v>103</v>
      </c>
      <c r="O328">
        <v>126</v>
      </c>
      <c r="P328">
        <v>145</v>
      </c>
      <c r="Q328">
        <v>152</v>
      </c>
      <c r="R328">
        <v>168</v>
      </c>
    </row>
    <row r="329" spans="1:18">
      <c r="A329" t="s">
        <v>1637</v>
      </c>
      <c r="B329" t="s">
        <v>197</v>
      </c>
      <c r="C329" t="s">
        <v>171</v>
      </c>
      <c r="D329">
        <v>69</v>
      </c>
      <c r="E329">
        <v>86</v>
      </c>
      <c r="F329">
        <v>84</v>
      </c>
      <c r="G329">
        <v>93</v>
      </c>
      <c r="H329">
        <v>95</v>
      </c>
      <c r="I329">
        <v>109</v>
      </c>
      <c r="J329">
        <v>117</v>
      </c>
      <c r="K329">
        <v>90</v>
      </c>
      <c r="L329">
        <v>74</v>
      </c>
      <c r="M329">
        <v>97</v>
      </c>
      <c r="N329">
        <v>112</v>
      </c>
      <c r="O329">
        <v>97</v>
      </c>
      <c r="P329">
        <v>100</v>
      </c>
      <c r="Q329">
        <v>78</v>
      </c>
      <c r="R329">
        <v>65</v>
      </c>
    </row>
    <row r="330" spans="1:18">
      <c r="A330" t="s">
        <v>1638</v>
      </c>
      <c r="B330" t="s">
        <v>197</v>
      </c>
      <c r="C330" t="s">
        <v>148</v>
      </c>
      <c r="D330">
        <v>0</v>
      </c>
      <c r="E330">
        <v>0</v>
      </c>
      <c r="F330">
        <v>0</v>
      </c>
      <c r="G330">
        <v>0</v>
      </c>
      <c r="H330">
        <v>0</v>
      </c>
      <c r="I330">
        <v>0</v>
      </c>
      <c r="J330">
        <v>0</v>
      </c>
      <c r="K330">
        <v>0</v>
      </c>
      <c r="L330">
        <v>0</v>
      </c>
      <c r="M330">
        <v>0</v>
      </c>
      <c r="N330">
        <v>0</v>
      </c>
      <c r="O330">
        <v>0</v>
      </c>
      <c r="P330">
        <v>0</v>
      </c>
      <c r="Q330">
        <v>0</v>
      </c>
      <c r="R330">
        <v>0</v>
      </c>
    </row>
    <row r="331" spans="1:18">
      <c r="A331" t="s">
        <v>1639</v>
      </c>
      <c r="B331" t="s">
        <v>197</v>
      </c>
      <c r="C331" t="s">
        <v>184</v>
      </c>
      <c r="D331">
        <v>0</v>
      </c>
      <c r="E331">
        <v>0</v>
      </c>
      <c r="F331">
        <v>0</v>
      </c>
      <c r="G331">
        <v>0</v>
      </c>
      <c r="H331">
        <v>0</v>
      </c>
      <c r="I331">
        <v>0</v>
      </c>
      <c r="J331">
        <v>0</v>
      </c>
      <c r="K331">
        <v>0</v>
      </c>
      <c r="L331">
        <v>0</v>
      </c>
      <c r="M331">
        <v>0</v>
      </c>
      <c r="N331">
        <v>0</v>
      </c>
      <c r="O331">
        <v>0</v>
      </c>
      <c r="P331">
        <v>0</v>
      </c>
      <c r="Q331">
        <v>0</v>
      </c>
      <c r="R331">
        <v>0</v>
      </c>
    </row>
    <row r="332" spans="1:18">
      <c r="A332" t="s">
        <v>1640</v>
      </c>
      <c r="B332" t="s">
        <v>197</v>
      </c>
      <c r="C332" s="4" t="s">
        <v>188</v>
      </c>
      <c r="D332">
        <v>1074</v>
      </c>
      <c r="E332">
        <v>1254</v>
      </c>
      <c r="F332">
        <v>1324</v>
      </c>
      <c r="G332">
        <v>1290</v>
      </c>
      <c r="H332">
        <v>1014</v>
      </c>
      <c r="I332">
        <v>876</v>
      </c>
      <c r="J332">
        <v>788</v>
      </c>
      <c r="K332">
        <v>668</v>
      </c>
      <c r="L332">
        <v>637</v>
      </c>
      <c r="M332">
        <v>610</v>
      </c>
      <c r="N332">
        <v>579</v>
      </c>
      <c r="O332">
        <v>532</v>
      </c>
      <c r="P332">
        <v>545</v>
      </c>
      <c r="Q332">
        <v>481</v>
      </c>
      <c r="R332">
        <v>499</v>
      </c>
    </row>
    <row r="333" spans="1:18">
      <c r="A333" t="s">
        <v>1641</v>
      </c>
      <c r="B333" t="s">
        <v>197</v>
      </c>
      <c r="C333" s="35" t="s">
        <v>189</v>
      </c>
      <c r="D333">
        <v>258</v>
      </c>
      <c r="E333">
        <v>344</v>
      </c>
      <c r="F333">
        <v>406</v>
      </c>
      <c r="G333">
        <v>479</v>
      </c>
      <c r="H333">
        <v>394</v>
      </c>
      <c r="I333">
        <v>438</v>
      </c>
      <c r="J333">
        <v>491</v>
      </c>
      <c r="K333">
        <v>425</v>
      </c>
      <c r="L333">
        <v>315</v>
      </c>
      <c r="M333">
        <v>236</v>
      </c>
      <c r="N333">
        <v>215</v>
      </c>
      <c r="O333">
        <v>223</v>
      </c>
      <c r="P333">
        <v>245</v>
      </c>
      <c r="Q333">
        <v>230</v>
      </c>
      <c r="R333">
        <v>233</v>
      </c>
    </row>
    <row r="334" spans="1:18">
      <c r="A334" t="s">
        <v>1642</v>
      </c>
      <c r="B334" t="s">
        <v>197</v>
      </c>
      <c r="C334" t="s">
        <v>172</v>
      </c>
      <c r="D334">
        <v>0</v>
      </c>
      <c r="E334">
        <v>0</v>
      </c>
      <c r="F334">
        <v>0</v>
      </c>
      <c r="G334">
        <v>0</v>
      </c>
      <c r="H334">
        <v>0</v>
      </c>
      <c r="I334">
        <v>0</v>
      </c>
      <c r="J334">
        <v>0</v>
      </c>
      <c r="K334">
        <v>0</v>
      </c>
      <c r="L334">
        <v>0</v>
      </c>
      <c r="M334">
        <v>0</v>
      </c>
      <c r="N334">
        <v>0</v>
      </c>
      <c r="O334">
        <v>0</v>
      </c>
      <c r="P334">
        <v>0</v>
      </c>
      <c r="Q334">
        <v>0</v>
      </c>
      <c r="R334">
        <v>0</v>
      </c>
    </row>
    <row r="335" spans="1:18">
      <c r="A335" t="s">
        <v>1643</v>
      </c>
      <c r="B335" t="s">
        <v>197</v>
      </c>
      <c r="C335" t="s">
        <v>30</v>
      </c>
      <c r="D335">
        <v>0</v>
      </c>
      <c r="E335">
        <v>0</v>
      </c>
      <c r="F335">
        <v>0</v>
      </c>
      <c r="G335">
        <v>0</v>
      </c>
      <c r="H335">
        <v>0</v>
      </c>
      <c r="I335">
        <v>0</v>
      </c>
      <c r="J335">
        <v>0</v>
      </c>
      <c r="K335">
        <v>0</v>
      </c>
      <c r="L335">
        <v>0</v>
      </c>
      <c r="M335">
        <v>0</v>
      </c>
      <c r="N335">
        <v>0</v>
      </c>
      <c r="O335">
        <v>0</v>
      </c>
      <c r="P335">
        <v>0</v>
      </c>
      <c r="Q335">
        <v>0</v>
      </c>
      <c r="R335">
        <v>0</v>
      </c>
    </row>
    <row r="336" spans="1:18">
      <c r="A336" t="s">
        <v>1644</v>
      </c>
      <c r="B336" t="s">
        <v>197</v>
      </c>
      <c r="C336" t="s">
        <v>177</v>
      </c>
      <c r="D336">
        <v>0</v>
      </c>
      <c r="E336">
        <v>0</v>
      </c>
      <c r="F336">
        <v>0</v>
      </c>
      <c r="G336">
        <v>0</v>
      </c>
      <c r="H336">
        <v>0</v>
      </c>
      <c r="I336">
        <v>0</v>
      </c>
      <c r="J336">
        <v>0</v>
      </c>
      <c r="K336">
        <v>0</v>
      </c>
      <c r="L336">
        <v>0</v>
      </c>
      <c r="M336">
        <v>0</v>
      </c>
      <c r="N336">
        <v>0</v>
      </c>
      <c r="O336">
        <v>0</v>
      </c>
      <c r="P336">
        <v>0</v>
      </c>
      <c r="Q336">
        <v>0</v>
      </c>
      <c r="R336">
        <v>0</v>
      </c>
    </row>
    <row r="337" spans="1:18">
      <c r="A337" t="s">
        <v>1645</v>
      </c>
      <c r="B337" t="s">
        <v>197</v>
      </c>
      <c r="C337" t="s">
        <v>178</v>
      </c>
      <c r="D337">
        <v>0</v>
      </c>
      <c r="E337">
        <v>0</v>
      </c>
      <c r="F337">
        <v>0</v>
      </c>
      <c r="G337">
        <v>0</v>
      </c>
      <c r="H337">
        <v>0</v>
      </c>
      <c r="I337">
        <v>0</v>
      </c>
      <c r="J337">
        <v>0</v>
      </c>
      <c r="K337">
        <v>0</v>
      </c>
      <c r="L337">
        <v>0</v>
      </c>
      <c r="M337">
        <v>0</v>
      </c>
      <c r="N337">
        <v>0</v>
      </c>
      <c r="O337">
        <v>0</v>
      </c>
      <c r="P337">
        <v>0</v>
      </c>
      <c r="Q337">
        <v>0</v>
      </c>
      <c r="R337">
        <v>0</v>
      </c>
    </row>
    <row r="338" spans="1:18">
      <c r="A338" t="s">
        <v>1646</v>
      </c>
      <c r="B338" t="s">
        <v>194</v>
      </c>
      <c r="C338" t="s">
        <v>193</v>
      </c>
      <c r="D338">
        <v>1785</v>
      </c>
      <c r="E338">
        <v>1549</v>
      </c>
      <c r="F338">
        <v>1308</v>
      </c>
      <c r="G338">
        <v>1435</v>
      </c>
      <c r="H338">
        <v>1424</v>
      </c>
      <c r="I338">
        <v>1463</v>
      </c>
      <c r="J338">
        <v>1542</v>
      </c>
      <c r="K338">
        <v>1596</v>
      </c>
      <c r="L338">
        <v>1621</v>
      </c>
      <c r="M338">
        <v>1700</v>
      </c>
      <c r="N338">
        <v>1633</v>
      </c>
      <c r="O338">
        <v>1812</v>
      </c>
      <c r="P338">
        <v>1831</v>
      </c>
      <c r="Q338">
        <v>1895</v>
      </c>
      <c r="R338">
        <v>2453</v>
      </c>
    </row>
    <row r="339" spans="1:18">
      <c r="A339" t="s">
        <v>1647</v>
      </c>
      <c r="B339" t="s">
        <v>194</v>
      </c>
      <c r="C339" s="4" t="s">
        <v>34</v>
      </c>
      <c r="D339">
        <v>805</v>
      </c>
      <c r="E339">
        <v>677</v>
      </c>
      <c r="F339">
        <v>486</v>
      </c>
      <c r="G339">
        <v>443</v>
      </c>
      <c r="H339">
        <v>455</v>
      </c>
      <c r="I339">
        <v>526</v>
      </c>
      <c r="J339">
        <v>615</v>
      </c>
      <c r="K339">
        <v>618</v>
      </c>
      <c r="L339">
        <v>576</v>
      </c>
      <c r="M339">
        <v>604</v>
      </c>
      <c r="N339">
        <v>614</v>
      </c>
      <c r="O339">
        <v>745</v>
      </c>
      <c r="P339">
        <v>769</v>
      </c>
      <c r="Q339">
        <v>866</v>
      </c>
      <c r="R339">
        <v>1000</v>
      </c>
    </row>
    <row r="340" spans="1:18">
      <c r="A340" t="s">
        <v>1648</v>
      </c>
      <c r="B340" t="s">
        <v>194</v>
      </c>
      <c r="C340" t="s">
        <v>169</v>
      </c>
      <c r="D340">
        <v>980</v>
      </c>
      <c r="E340">
        <v>872</v>
      </c>
      <c r="F340">
        <v>822</v>
      </c>
      <c r="G340">
        <v>992</v>
      </c>
      <c r="H340">
        <v>969</v>
      </c>
      <c r="I340">
        <v>937</v>
      </c>
      <c r="J340">
        <v>927</v>
      </c>
      <c r="K340">
        <v>978</v>
      </c>
      <c r="L340">
        <v>1045</v>
      </c>
      <c r="M340">
        <v>1096</v>
      </c>
      <c r="N340">
        <v>1019</v>
      </c>
      <c r="O340">
        <v>1067</v>
      </c>
      <c r="P340">
        <v>1062</v>
      </c>
      <c r="Q340">
        <v>1029</v>
      </c>
      <c r="R340">
        <v>1453</v>
      </c>
    </row>
    <row r="341" spans="1:18">
      <c r="A341" t="s">
        <v>1649</v>
      </c>
      <c r="B341" t="s">
        <v>194</v>
      </c>
      <c r="C341" t="s">
        <v>170</v>
      </c>
      <c r="D341">
        <v>0</v>
      </c>
      <c r="E341">
        <v>0</v>
      </c>
      <c r="F341">
        <v>0</v>
      </c>
      <c r="G341">
        <v>0</v>
      </c>
      <c r="H341">
        <v>0</v>
      </c>
      <c r="I341">
        <v>0</v>
      </c>
      <c r="J341">
        <v>0</v>
      </c>
      <c r="K341">
        <v>0</v>
      </c>
      <c r="L341">
        <v>0</v>
      </c>
      <c r="M341">
        <v>0</v>
      </c>
      <c r="N341">
        <v>0</v>
      </c>
      <c r="O341">
        <v>0</v>
      </c>
      <c r="P341">
        <v>0</v>
      </c>
      <c r="Q341">
        <v>0</v>
      </c>
      <c r="R341">
        <v>0</v>
      </c>
    </row>
    <row r="342" spans="1:18">
      <c r="A342" t="s">
        <v>1650</v>
      </c>
      <c r="B342" t="s">
        <v>194</v>
      </c>
      <c r="C342" t="s">
        <v>171</v>
      </c>
      <c r="D342">
        <v>0</v>
      </c>
      <c r="E342">
        <v>0</v>
      </c>
      <c r="F342">
        <v>0</v>
      </c>
      <c r="G342">
        <v>0</v>
      </c>
      <c r="H342">
        <v>0</v>
      </c>
      <c r="I342">
        <v>0</v>
      </c>
      <c r="J342">
        <v>0</v>
      </c>
      <c r="K342">
        <v>0</v>
      </c>
      <c r="L342">
        <v>0</v>
      </c>
      <c r="M342">
        <v>0</v>
      </c>
      <c r="N342">
        <v>0</v>
      </c>
      <c r="O342">
        <v>0</v>
      </c>
      <c r="P342">
        <v>0</v>
      </c>
      <c r="Q342">
        <v>0</v>
      </c>
      <c r="R342">
        <v>0</v>
      </c>
    </row>
    <row r="343" spans="1:18">
      <c r="A343" t="s">
        <v>1651</v>
      </c>
      <c r="B343" t="s">
        <v>194</v>
      </c>
      <c r="C343" t="s">
        <v>148</v>
      </c>
      <c r="D343">
        <v>0</v>
      </c>
      <c r="E343">
        <v>0</v>
      </c>
      <c r="F343">
        <v>0</v>
      </c>
      <c r="G343">
        <v>0</v>
      </c>
      <c r="H343">
        <v>0</v>
      </c>
      <c r="I343">
        <v>0</v>
      </c>
      <c r="J343">
        <v>0</v>
      </c>
      <c r="K343">
        <v>0</v>
      </c>
      <c r="L343">
        <v>0</v>
      </c>
      <c r="M343">
        <v>0</v>
      </c>
      <c r="N343">
        <v>0</v>
      </c>
      <c r="O343">
        <v>0</v>
      </c>
      <c r="P343">
        <v>0</v>
      </c>
      <c r="Q343">
        <v>0</v>
      </c>
      <c r="R343">
        <v>0</v>
      </c>
    </row>
    <row r="344" spans="1:18">
      <c r="A344" t="s">
        <v>1652</v>
      </c>
      <c r="B344" t="s">
        <v>194</v>
      </c>
      <c r="C344" t="s">
        <v>184</v>
      </c>
      <c r="D344">
        <v>0</v>
      </c>
      <c r="E344">
        <v>0</v>
      </c>
      <c r="F344">
        <v>0</v>
      </c>
      <c r="G344">
        <v>0</v>
      </c>
      <c r="H344">
        <v>0</v>
      </c>
      <c r="I344">
        <v>0</v>
      </c>
      <c r="J344">
        <v>0</v>
      </c>
      <c r="K344">
        <v>0</v>
      </c>
      <c r="L344">
        <v>0</v>
      </c>
      <c r="M344">
        <v>0</v>
      </c>
      <c r="N344">
        <v>0</v>
      </c>
      <c r="O344">
        <v>0</v>
      </c>
      <c r="P344">
        <v>0</v>
      </c>
      <c r="Q344">
        <v>0</v>
      </c>
      <c r="R344">
        <v>0</v>
      </c>
    </row>
    <row r="345" spans="1:18">
      <c r="A345" t="s">
        <v>1653</v>
      </c>
      <c r="B345" t="s">
        <v>194</v>
      </c>
      <c r="C345" s="4" t="s">
        <v>188</v>
      </c>
      <c r="D345">
        <v>433</v>
      </c>
      <c r="E345">
        <v>400</v>
      </c>
      <c r="F345">
        <v>424</v>
      </c>
      <c r="G345">
        <v>516</v>
      </c>
      <c r="H345">
        <v>425</v>
      </c>
      <c r="I345">
        <v>367</v>
      </c>
      <c r="J345">
        <v>289</v>
      </c>
      <c r="K345">
        <v>245</v>
      </c>
      <c r="L345">
        <v>275</v>
      </c>
      <c r="M345">
        <v>323</v>
      </c>
      <c r="N345">
        <v>317</v>
      </c>
      <c r="O345">
        <v>326</v>
      </c>
      <c r="P345">
        <v>322</v>
      </c>
      <c r="Q345">
        <v>272</v>
      </c>
      <c r="R345">
        <v>275</v>
      </c>
    </row>
    <row r="346" spans="1:18">
      <c r="A346" t="s">
        <v>1654</v>
      </c>
      <c r="B346" t="s">
        <v>194</v>
      </c>
      <c r="C346" s="35" t="s">
        <v>189</v>
      </c>
      <c r="D346">
        <v>547</v>
      </c>
      <c r="E346">
        <v>472</v>
      </c>
      <c r="F346">
        <v>398</v>
      </c>
      <c r="G346">
        <v>476</v>
      </c>
      <c r="H346">
        <v>544</v>
      </c>
      <c r="I346">
        <v>570</v>
      </c>
      <c r="J346">
        <v>638</v>
      </c>
      <c r="K346">
        <v>733</v>
      </c>
      <c r="L346">
        <v>770</v>
      </c>
      <c r="M346">
        <v>773</v>
      </c>
      <c r="N346">
        <v>702</v>
      </c>
      <c r="O346">
        <v>741</v>
      </c>
      <c r="P346">
        <v>740</v>
      </c>
      <c r="Q346">
        <v>757</v>
      </c>
      <c r="R346">
        <v>1178</v>
      </c>
    </row>
    <row r="347" spans="1:18">
      <c r="A347" t="s">
        <v>1655</v>
      </c>
      <c r="B347" t="s">
        <v>194</v>
      </c>
      <c r="C347" t="s">
        <v>172</v>
      </c>
      <c r="D347">
        <v>229</v>
      </c>
      <c r="E347">
        <v>194</v>
      </c>
      <c r="F347">
        <v>183</v>
      </c>
      <c r="G347">
        <v>231</v>
      </c>
      <c r="H347">
        <v>288</v>
      </c>
      <c r="I347">
        <v>283</v>
      </c>
      <c r="J347">
        <v>342</v>
      </c>
      <c r="K347">
        <v>420</v>
      </c>
      <c r="L347">
        <v>280</v>
      </c>
      <c r="M347">
        <v>271</v>
      </c>
      <c r="N347">
        <v>208</v>
      </c>
      <c r="O347">
        <v>159</v>
      </c>
      <c r="P347">
        <v>172</v>
      </c>
      <c r="Q347">
        <v>180</v>
      </c>
      <c r="R347">
        <v>194</v>
      </c>
    </row>
    <row r="348" spans="1:18">
      <c r="A348" t="s">
        <v>1656</v>
      </c>
      <c r="B348" t="s">
        <v>194</v>
      </c>
      <c r="C348" t="s">
        <v>30</v>
      </c>
      <c r="D348">
        <v>318</v>
      </c>
      <c r="E348">
        <v>278</v>
      </c>
      <c r="F348">
        <v>215</v>
      </c>
      <c r="G348">
        <v>245</v>
      </c>
      <c r="H348">
        <v>256</v>
      </c>
      <c r="I348">
        <v>287</v>
      </c>
      <c r="J348">
        <v>296</v>
      </c>
      <c r="K348">
        <v>313</v>
      </c>
      <c r="L348">
        <v>490</v>
      </c>
      <c r="M348">
        <v>502</v>
      </c>
      <c r="N348">
        <v>494</v>
      </c>
      <c r="O348">
        <v>582</v>
      </c>
      <c r="P348">
        <v>568</v>
      </c>
      <c r="Q348">
        <v>577</v>
      </c>
      <c r="R348">
        <v>984</v>
      </c>
    </row>
    <row r="349" spans="1:18">
      <c r="A349" t="s">
        <v>1657</v>
      </c>
      <c r="B349" t="s">
        <v>195</v>
      </c>
      <c r="C349" t="s">
        <v>193</v>
      </c>
      <c r="D349">
        <v>84</v>
      </c>
      <c r="E349">
        <v>64</v>
      </c>
      <c r="F349">
        <v>70</v>
      </c>
      <c r="G349">
        <v>72</v>
      </c>
      <c r="H349">
        <v>73</v>
      </c>
      <c r="I349">
        <v>82</v>
      </c>
      <c r="J349">
        <v>88</v>
      </c>
      <c r="K349">
        <v>84</v>
      </c>
      <c r="L349">
        <v>80</v>
      </c>
      <c r="M349">
        <v>79</v>
      </c>
      <c r="N349">
        <v>68</v>
      </c>
      <c r="O349">
        <v>78</v>
      </c>
      <c r="P349">
        <v>87</v>
      </c>
      <c r="Q349">
        <v>86</v>
      </c>
      <c r="R349">
        <v>105</v>
      </c>
    </row>
    <row r="350" spans="1:18">
      <c r="A350" t="s">
        <v>1658</v>
      </c>
      <c r="B350" t="s">
        <v>195</v>
      </c>
      <c r="C350" s="4" t="s">
        <v>34</v>
      </c>
      <c r="D350">
        <v>52</v>
      </c>
      <c r="E350">
        <v>38</v>
      </c>
      <c r="F350">
        <v>36</v>
      </c>
      <c r="G350">
        <v>37</v>
      </c>
      <c r="H350">
        <v>39</v>
      </c>
      <c r="I350">
        <v>50</v>
      </c>
      <c r="J350">
        <v>62</v>
      </c>
      <c r="K350">
        <v>56</v>
      </c>
      <c r="L350">
        <v>53</v>
      </c>
      <c r="M350">
        <v>56</v>
      </c>
      <c r="N350">
        <v>49</v>
      </c>
      <c r="O350">
        <v>56</v>
      </c>
      <c r="P350">
        <v>62</v>
      </c>
      <c r="Q350">
        <v>67</v>
      </c>
      <c r="R350">
        <v>72</v>
      </c>
    </row>
    <row r="351" spans="1:18">
      <c r="A351" t="s">
        <v>1659</v>
      </c>
      <c r="B351" t="s">
        <v>195</v>
      </c>
      <c r="C351" t="s">
        <v>169</v>
      </c>
      <c r="D351">
        <v>32</v>
      </c>
      <c r="E351">
        <v>26</v>
      </c>
      <c r="F351">
        <v>34</v>
      </c>
      <c r="G351">
        <v>35</v>
      </c>
      <c r="H351">
        <v>34</v>
      </c>
      <c r="I351">
        <v>32</v>
      </c>
      <c r="J351">
        <v>26</v>
      </c>
      <c r="K351">
        <v>28</v>
      </c>
      <c r="L351">
        <v>27</v>
      </c>
      <c r="M351">
        <v>23</v>
      </c>
      <c r="N351">
        <v>19</v>
      </c>
      <c r="O351">
        <v>22</v>
      </c>
      <c r="P351">
        <v>25</v>
      </c>
      <c r="Q351">
        <v>19</v>
      </c>
      <c r="R351">
        <v>33</v>
      </c>
    </row>
    <row r="352" spans="1:18">
      <c r="A352" t="s">
        <v>1660</v>
      </c>
      <c r="B352" t="s">
        <v>195</v>
      </c>
      <c r="C352" t="s">
        <v>170</v>
      </c>
      <c r="D352">
        <v>0</v>
      </c>
      <c r="E352">
        <v>0</v>
      </c>
      <c r="F352">
        <v>0</v>
      </c>
      <c r="G352">
        <v>0</v>
      </c>
      <c r="H352">
        <v>0</v>
      </c>
      <c r="I352">
        <v>0</v>
      </c>
      <c r="J352">
        <v>0</v>
      </c>
      <c r="K352">
        <v>0</v>
      </c>
      <c r="L352">
        <v>0</v>
      </c>
      <c r="M352">
        <v>0</v>
      </c>
      <c r="N352">
        <v>0</v>
      </c>
      <c r="O352">
        <v>0</v>
      </c>
      <c r="P352">
        <v>0</v>
      </c>
      <c r="Q352">
        <v>0</v>
      </c>
      <c r="R352">
        <v>0</v>
      </c>
    </row>
    <row r="353" spans="1:18">
      <c r="A353" t="s">
        <v>1661</v>
      </c>
      <c r="B353" t="s">
        <v>195</v>
      </c>
      <c r="C353" t="s">
        <v>171</v>
      </c>
      <c r="D353">
        <v>0</v>
      </c>
      <c r="E353">
        <v>0</v>
      </c>
      <c r="F353">
        <v>0</v>
      </c>
      <c r="G353">
        <v>0</v>
      </c>
      <c r="H353">
        <v>0</v>
      </c>
      <c r="I353">
        <v>0</v>
      </c>
      <c r="J353">
        <v>0</v>
      </c>
      <c r="K353">
        <v>0</v>
      </c>
      <c r="L353">
        <v>0</v>
      </c>
      <c r="M353">
        <v>0</v>
      </c>
      <c r="N353">
        <v>0</v>
      </c>
      <c r="O353">
        <v>0</v>
      </c>
      <c r="P353">
        <v>0</v>
      </c>
      <c r="Q353">
        <v>0</v>
      </c>
      <c r="R353">
        <v>0</v>
      </c>
    </row>
    <row r="354" spans="1:18">
      <c r="A354" t="s">
        <v>1662</v>
      </c>
      <c r="B354" t="s">
        <v>195</v>
      </c>
      <c r="C354" t="s">
        <v>148</v>
      </c>
      <c r="D354">
        <v>0</v>
      </c>
      <c r="E354">
        <v>0</v>
      </c>
      <c r="F354">
        <v>0</v>
      </c>
      <c r="G354">
        <v>0</v>
      </c>
      <c r="H354">
        <v>0</v>
      </c>
      <c r="I354">
        <v>0</v>
      </c>
      <c r="J354">
        <v>0</v>
      </c>
      <c r="K354">
        <v>0</v>
      </c>
      <c r="L354">
        <v>0</v>
      </c>
      <c r="M354">
        <v>0</v>
      </c>
      <c r="N354">
        <v>0</v>
      </c>
      <c r="O354">
        <v>0</v>
      </c>
      <c r="P354">
        <v>0</v>
      </c>
      <c r="Q354">
        <v>0</v>
      </c>
      <c r="R354">
        <v>0</v>
      </c>
    </row>
    <row r="355" spans="1:18">
      <c r="A355" t="s">
        <v>1663</v>
      </c>
      <c r="B355" t="s">
        <v>195</v>
      </c>
      <c r="C355" t="s">
        <v>184</v>
      </c>
      <c r="D355">
        <v>0</v>
      </c>
      <c r="E355">
        <v>0</v>
      </c>
      <c r="F355">
        <v>0</v>
      </c>
      <c r="G355">
        <v>0</v>
      </c>
      <c r="H355">
        <v>0</v>
      </c>
      <c r="I355">
        <v>0</v>
      </c>
      <c r="J355">
        <v>0</v>
      </c>
      <c r="K355">
        <v>0</v>
      </c>
      <c r="L355">
        <v>0</v>
      </c>
      <c r="M355">
        <v>0</v>
      </c>
      <c r="N355">
        <v>0</v>
      </c>
      <c r="O355">
        <v>0</v>
      </c>
      <c r="P355">
        <v>0</v>
      </c>
      <c r="Q355">
        <v>0</v>
      </c>
      <c r="R355">
        <v>0</v>
      </c>
    </row>
    <row r="356" spans="1:18">
      <c r="A356" t="s">
        <v>1664</v>
      </c>
      <c r="B356" t="s">
        <v>195</v>
      </c>
      <c r="C356" s="4" t="s">
        <v>188</v>
      </c>
      <c r="D356">
        <v>12</v>
      </c>
      <c r="E356">
        <v>14</v>
      </c>
      <c r="F356">
        <v>23</v>
      </c>
      <c r="G356">
        <v>22</v>
      </c>
      <c r="H356">
        <v>22</v>
      </c>
      <c r="I356">
        <v>14</v>
      </c>
      <c r="J356">
        <v>6</v>
      </c>
      <c r="K356">
        <v>11</v>
      </c>
      <c r="L356">
        <v>12</v>
      </c>
      <c r="M356">
        <v>9</v>
      </c>
      <c r="N356">
        <v>7</v>
      </c>
      <c r="O356">
        <v>10</v>
      </c>
      <c r="P356">
        <v>12</v>
      </c>
      <c r="Q356">
        <v>8</v>
      </c>
      <c r="R356">
        <v>9</v>
      </c>
    </row>
    <row r="357" spans="1:18">
      <c r="A357" t="s">
        <v>1665</v>
      </c>
      <c r="B357" t="s">
        <v>195</v>
      </c>
      <c r="C357" s="35" t="s">
        <v>189</v>
      </c>
      <c r="D357">
        <v>20</v>
      </c>
      <c r="E357">
        <v>12</v>
      </c>
      <c r="F357">
        <v>11</v>
      </c>
      <c r="G357">
        <v>13</v>
      </c>
      <c r="H357">
        <v>12</v>
      </c>
      <c r="I357">
        <v>18</v>
      </c>
      <c r="J357">
        <v>20</v>
      </c>
      <c r="K357">
        <v>17</v>
      </c>
      <c r="L357">
        <v>15</v>
      </c>
      <c r="M357">
        <v>14</v>
      </c>
      <c r="N357">
        <v>12</v>
      </c>
      <c r="O357">
        <v>12</v>
      </c>
      <c r="P357">
        <v>13</v>
      </c>
      <c r="Q357">
        <v>11</v>
      </c>
      <c r="R357">
        <v>24</v>
      </c>
    </row>
    <row r="358" spans="1:18">
      <c r="A358" t="s">
        <v>1666</v>
      </c>
      <c r="B358" t="s">
        <v>195</v>
      </c>
      <c r="C358" t="s">
        <v>172</v>
      </c>
      <c r="D358">
        <v>12</v>
      </c>
      <c r="E358">
        <v>8</v>
      </c>
      <c r="F358">
        <v>5</v>
      </c>
      <c r="G358">
        <v>6</v>
      </c>
      <c r="H358">
        <v>5</v>
      </c>
      <c r="I358">
        <v>10</v>
      </c>
      <c r="J358">
        <v>12</v>
      </c>
      <c r="K358">
        <v>11</v>
      </c>
      <c r="L358">
        <v>9</v>
      </c>
      <c r="M358">
        <v>6</v>
      </c>
      <c r="N358">
        <v>2</v>
      </c>
      <c r="O358">
        <v>3</v>
      </c>
      <c r="P358">
        <v>3</v>
      </c>
      <c r="Q358">
        <v>1</v>
      </c>
      <c r="R358">
        <v>2</v>
      </c>
    </row>
    <row r="359" spans="1:18">
      <c r="A359" t="s">
        <v>1667</v>
      </c>
      <c r="B359" t="s">
        <v>195</v>
      </c>
      <c r="C359" t="s">
        <v>30</v>
      </c>
      <c r="D359">
        <v>8</v>
      </c>
      <c r="E359">
        <v>4</v>
      </c>
      <c r="F359">
        <v>6</v>
      </c>
      <c r="G359">
        <v>7</v>
      </c>
      <c r="H359">
        <v>7</v>
      </c>
      <c r="I359">
        <v>8</v>
      </c>
      <c r="J359">
        <v>8</v>
      </c>
      <c r="K359">
        <v>6</v>
      </c>
      <c r="L359">
        <v>6</v>
      </c>
      <c r="M359">
        <v>8</v>
      </c>
      <c r="N359">
        <v>10</v>
      </c>
      <c r="O359">
        <v>9</v>
      </c>
      <c r="P359">
        <v>10</v>
      </c>
      <c r="Q359">
        <v>10</v>
      </c>
      <c r="R359">
        <v>22</v>
      </c>
    </row>
    <row r="360" spans="1:18">
      <c r="A360" t="s">
        <v>1668</v>
      </c>
      <c r="B360" t="s">
        <v>196</v>
      </c>
      <c r="C360" t="s">
        <v>193</v>
      </c>
      <c r="D360">
        <v>1785</v>
      </c>
      <c r="E360">
        <v>1549</v>
      </c>
      <c r="F360">
        <v>1308</v>
      </c>
      <c r="G360">
        <v>1435</v>
      </c>
      <c r="H360">
        <v>1424</v>
      </c>
      <c r="I360">
        <v>1463</v>
      </c>
      <c r="J360">
        <v>1542</v>
      </c>
      <c r="K360">
        <v>1596</v>
      </c>
      <c r="L360">
        <v>1621</v>
      </c>
      <c r="M360">
        <v>1700</v>
      </c>
      <c r="N360">
        <v>1633</v>
      </c>
      <c r="O360">
        <v>1812</v>
      </c>
      <c r="P360">
        <v>1831</v>
      </c>
      <c r="Q360">
        <v>1895</v>
      </c>
      <c r="R360">
        <v>2453</v>
      </c>
    </row>
    <row r="361" spans="1:18">
      <c r="A361" t="s">
        <v>1669</v>
      </c>
      <c r="B361" t="s">
        <v>196</v>
      </c>
      <c r="C361" s="4" t="s">
        <v>34</v>
      </c>
      <c r="D361">
        <v>780</v>
      </c>
      <c r="E361">
        <v>650</v>
      </c>
      <c r="F361">
        <v>465</v>
      </c>
      <c r="G361">
        <v>429</v>
      </c>
      <c r="H361">
        <v>448</v>
      </c>
      <c r="I361">
        <v>514</v>
      </c>
      <c r="J361">
        <v>608</v>
      </c>
      <c r="K361">
        <v>614</v>
      </c>
      <c r="L361">
        <v>570</v>
      </c>
      <c r="M361">
        <v>599</v>
      </c>
      <c r="N361">
        <v>604</v>
      </c>
      <c r="O361">
        <v>735</v>
      </c>
      <c r="P361">
        <v>762</v>
      </c>
      <c r="Q361">
        <v>862</v>
      </c>
      <c r="R361">
        <v>996</v>
      </c>
    </row>
    <row r="362" spans="1:18">
      <c r="A362" t="s">
        <v>1670</v>
      </c>
      <c r="B362" t="s">
        <v>196</v>
      </c>
      <c r="C362" t="s">
        <v>169</v>
      </c>
      <c r="D362">
        <v>1005</v>
      </c>
      <c r="E362">
        <v>899</v>
      </c>
      <c r="F362">
        <v>843</v>
      </c>
      <c r="G362">
        <v>1006</v>
      </c>
      <c r="H362">
        <v>976</v>
      </c>
      <c r="I362">
        <v>949</v>
      </c>
      <c r="J362">
        <v>934</v>
      </c>
      <c r="K362">
        <v>982</v>
      </c>
      <c r="L362">
        <v>1051</v>
      </c>
      <c r="M362">
        <v>1101</v>
      </c>
      <c r="N362">
        <v>1029</v>
      </c>
      <c r="O362">
        <v>1077</v>
      </c>
      <c r="P362">
        <v>1069</v>
      </c>
      <c r="Q362">
        <v>1033</v>
      </c>
      <c r="R362">
        <v>1457</v>
      </c>
    </row>
    <row r="363" spans="1:18">
      <c r="A363" t="s">
        <v>1671</v>
      </c>
      <c r="B363" t="s">
        <v>196</v>
      </c>
      <c r="C363" t="s">
        <v>170</v>
      </c>
      <c r="D363">
        <v>0</v>
      </c>
      <c r="E363">
        <v>0</v>
      </c>
      <c r="F363">
        <v>0</v>
      </c>
      <c r="G363">
        <v>0</v>
      </c>
      <c r="H363">
        <v>0</v>
      </c>
      <c r="I363">
        <v>0</v>
      </c>
      <c r="J363">
        <v>0</v>
      </c>
      <c r="K363">
        <v>0</v>
      </c>
      <c r="L363">
        <v>0</v>
      </c>
      <c r="M363">
        <v>0</v>
      </c>
      <c r="N363">
        <v>0</v>
      </c>
      <c r="O363">
        <v>0</v>
      </c>
      <c r="P363">
        <v>0</v>
      </c>
      <c r="Q363">
        <v>0</v>
      </c>
      <c r="R363">
        <v>0</v>
      </c>
    </row>
    <row r="364" spans="1:18">
      <c r="A364" t="s">
        <v>1672</v>
      </c>
      <c r="B364" t="s">
        <v>196</v>
      </c>
      <c r="C364" t="s">
        <v>171</v>
      </c>
      <c r="D364">
        <v>0</v>
      </c>
      <c r="E364">
        <v>0</v>
      </c>
      <c r="F364">
        <v>0</v>
      </c>
      <c r="G364">
        <v>0</v>
      </c>
      <c r="H364">
        <v>0</v>
      </c>
      <c r="I364">
        <v>0</v>
      </c>
      <c r="J364">
        <v>0</v>
      </c>
      <c r="K364">
        <v>0</v>
      </c>
      <c r="L364">
        <v>0</v>
      </c>
      <c r="M364">
        <v>0</v>
      </c>
      <c r="N364">
        <v>0</v>
      </c>
      <c r="O364">
        <v>0</v>
      </c>
      <c r="P364">
        <v>0</v>
      </c>
      <c r="Q364">
        <v>0</v>
      </c>
      <c r="R364">
        <v>0</v>
      </c>
    </row>
    <row r="365" spans="1:18">
      <c r="A365" t="s">
        <v>1673</v>
      </c>
      <c r="B365" t="s">
        <v>196</v>
      </c>
      <c r="C365" t="s">
        <v>148</v>
      </c>
      <c r="D365">
        <v>0</v>
      </c>
      <c r="E365">
        <v>0</v>
      </c>
      <c r="F365">
        <v>0</v>
      </c>
      <c r="G365">
        <v>0</v>
      </c>
      <c r="H365">
        <v>0</v>
      </c>
      <c r="I365">
        <v>0</v>
      </c>
      <c r="J365">
        <v>0</v>
      </c>
      <c r="K365">
        <v>0</v>
      </c>
      <c r="L365">
        <v>0</v>
      </c>
      <c r="M365">
        <v>0</v>
      </c>
      <c r="N365">
        <v>0</v>
      </c>
      <c r="O365">
        <v>0</v>
      </c>
      <c r="P365">
        <v>0</v>
      </c>
      <c r="Q365">
        <v>0</v>
      </c>
      <c r="R365">
        <v>0</v>
      </c>
    </row>
    <row r="366" spans="1:18">
      <c r="A366" t="s">
        <v>1674</v>
      </c>
      <c r="B366" t="s">
        <v>196</v>
      </c>
      <c r="C366" t="s">
        <v>184</v>
      </c>
      <c r="D366">
        <v>0</v>
      </c>
      <c r="E366">
        <v>0</v>
      </c>
      <c r="F366">
        <v>0</v>
      </c>
      <c r="G366">
        <v>0</v>
      </c>
      <c r="H366">
        <v>0</v>
      </c>
      <c r="I366">
        <v>0</v>
      </c>
      <c r="J366">
        <v>0</v>
      </c>
      <c r="K366">
        <v>0</v>
      </c>
      <c r="L366">
        <v>0</v>
      </c>
      <c r="M366">
        <v>0</v>
      </c>
      <c r="N366">
        <v>0</v>
      </c>
      <c r="O366">
        <v>0</v>
      </c>
      <c r="P366">
        <v>0</v>
      </c>
      <c r="Q366">
        <v>0</v>
      </c>
      <c r="R366">
        <v>0</v>
      </c>
    </row>
    <row r="367" spans="1:18">
      <c r="A367" t="s">
        <v>1675</v>
      </c>
      <c r="B367" t="s">
        <v>196</v>
      </c>
      <c r="C367" s="4" t="s">
        <v>188</v>
      </c>
      <c r="D367">
        <v>445</v>
      </c>
      <c r="E367">
        <v>414</v>
      </c>
      <c r="F367">
        <v>433</v>
      </c>
      <c r="G367">
        <v>510</v>
      </c>
      <c r="H367">
        <v>412</v>
      </c>
      <c r="I367">
        <v>351</v>
      </c>
      <c r="J367">
        <v>285</v>
      </c>
      <c r="K367">
        <v>243</v>
      </c>
      <c r="L367">
        <v>273</v>
      </c>
      <c r="M367">
        <v>321</v>
      </c>
      <c r="N367">
        <v>315</v>
      </c>
      <c r="O367">
        <v>326</v>
      </c>
      <c r="P367">
        <v>323</v>
      </c>
      <c r="Q367">
        <v>272</v>
      </c>
      <c r="R367">
        <v>274</v>
      </c>
    </row>
    <row r="368" spans="1:18">
      <c r="A368" t="s">
        <v>1676</v>
      </c>
      <c r="B368" t="s">
        <v>196</v>
      </c>
      <c r="C368" s="35" t="s">
        <v>189</v>
      </c>
      <c r="D368">
        <v>560</v>
      </c>
      <c r="E368">
        <v>485</v>
      </c>
      <c r="F368">
        <v>410</v>
      </c>
      <c r="G368">
        <v>496</v>
      </c>
      <c r="H368">
        <v>564</v>
      </c>
      <c r="I368">
        <v>598</v>
      </c>
      <c r="J368">
        <v>649</v>
      </c>
      <c r="K368">
        <v>739</v>
      </c>
      <c r="L368">
        <v>778</v>
      </c>
      <c r="M368">
        <v>780</v>
      </c>
      <c r="N368">
        <v>714</v>
      </c>
      <c r="O368">
        <v>751</v>
      </c>
      <c r="P368">
        <v>746</v>
      </c>
      <c r="Q368">
        <v>761</v>
      </c>
      <c r="R368">
        <v>1183</v>
      </c>
    </row>
    <row r="369" spans="1:18">
      <c r="A369" t="s">
        <v>1677</v>
      </c>
      <c r="B369" t="s">
        <v>196</v>
      </c>
      <c r="C369" t="s">
        <v>172</v>
      </c>
      <c r="D369">
        <v>226</v>
      </c>
      <c r="E369">
        <v>196</v>
      </c>
      <c r="F369">
        <v>184</v>
      </c>
      <c r="G369">
        <v>242</v>
      </c>
      <c r="H369">
        <v>301</v>
      </c>
      <c r="I369">
        <v>297</v>
      </c>
      <c r="J369">
        <v>346</v>
      </c>
      <c r="K369">
        <v>414</v>
      </c>
      <c r="L369">
        <v>275</v>
      </c>
      <c r="M369">
        <v>265</v>
      </c>
      <c r="N369">
        <v>207</v>
      </c>
      <c r="O369">
        <v>160</v>
      </c>
      <c r="P369">
        <v>174</v>
      </c>
      <c r="Q369">
        <v>180</v>
      </c>
      <c r="R369">
        <v>196</v>
      </c>
    </row>
    <row r="370" spans="1:18">
      <c r="A370" t="s">
        <v>1678</v>
      </c>
      <c r="B370" t="s">
        <v>196</v>
      </c>
      <c r="C370" t="s">
        <v>30</v>
      </c>
      <c r="D370">
        <v>334</v>
      </c>
      <c r="E370">
        <v>289</v>
      </c>
      <c r="F370">
        <v>226</v>
      </c>
      <c r="G370">
        <v>254</v>
      </c>
      <c r="H370">
        <v>263</v>
      </c>
      <c r="I370">
        <v>301</v>
      </c>
      <c r="J370">
        <v>303</v>
      </c>
      <c r="K370">
        <v>325</v>
      </c>
      <c r="L370">
        <v>503</v>
      </c>
      <c r="M370">
        <v>515</v>
      </c>
      <c r="N370">
        <v>507</v>
      </c>
      <c r="O370">
        <v>591</v>
      </c>
      <c r="P370">
        <v>572</v>
      </c>
      <c r="Q370">
        <v>581</v>
      </c>
      <c r="R370">
        <v>987</v>
      </c>
    </row>
    <row r="371" spans="1:18">
      <c r="A371" t="s">
        <v>1679</v>
      </c>
      <c r="B371" t="s">
        <v>196</v>
      </c>
      <c r="C371" t="s">
        <v>177</v>
      </c>
      <c r="D371">
        <v>0</v>
      </c>
      <c r="E371">
        <v>0</v>
      </c>
      <c r="F371">
        <v>0</v>
      </c>
      <c r="G371">
        <v>0</v>
      </c>
      <c r="H371">
        <v>0</v>
      </c>
      <c r="I371">
        <v>0</v>
      </c>
      <c r="J371">
        <v>0</v>
      </c>
      <c r="K371">
        <v>0</v>
      </c>
      <c r="L371">
        <v>0</v>
      </c>
      <c r="M371">
        <v>0</v>
      </c>
      <c r="N371">
        <v>0</v>
      </c>
      <c r="O371">
        <v>0</v>
      </c>
      <c r="P371">
        <v>0</v>
      </c>
      <c r="Q371">
        <v>0</v>
      </c>
      <c r="R371">
        <v>0</v>
      </c>
    </row>
    <row r="372" spans="1:18">
      <c r="A372" t="s">
        <v>1680</v>
      </c>
      <c r="B372" t="s">
        <v>196</v>
      </c>
      <c r="C372" t="s">
        <v>178</v>
      </c>
      <c r="D372">
        <v>0</v>
      </c>
      <c r="E372">
        <v>0</v>
      </c>
      <c r="F372">
        <v>0</v>
      </c>
      <c r="G372">
        <v>0</v>
      </c>
      <c r="H372">
        <v>0</v>
      </c>
      <c r="I372">
        <v>0</v>
      </c>
      <c r="J372">
        <v>0</v>
      </c>
      <c r="K372">
        <v>0</v>
      </c>
      <c r="L372">
        <v>0</v>
      </c>
      <c r="M372">
        <v>0</v>
      </c>
      <c r="N372">
        <v>0</v>
      </c>
      <c r="O372">
        <v>0</v>
      </c>
      <c r="P372">
        <v>0</v>
      </c>
      <c r="Q372">
        <v>0</v>
      </c>
      <c r="R372">
        <v>0</v>
      </c>
    </row>
    <row r="373" spans="1:18">
      <c r="A373" t="s">
        <v>1681</v>
      </c>
      <c r="B373" t="s">
        <v>197</v>
      </c>
      <c r="C373" t="s">
        <v>193</v>
      </c>
      <c r="D373">
        <v>1785</v>
      </c>
      <c r="E373">
        <v>1549</v>
      </c>
      <c r="F373">
        <v>1308</v>
      </c>
      <c r="G373">
        <v>1435</v>
      </c>
      <c r="H373">
        <v>1424</v>
      </c>
      <c r="I373">
        <v>1463</v>
      </c>
      <c r="J373">
        <v>1542</v>
      </c>
      <c r="K373">
        <v>1596</v>
      </c>
      <c r="L373">
        <v>1621</v>
      </c>
      <c r="M373">
        <v>1700</v>
      </c>
      <c r="N373">
        <v>1633</v>
      </c>
      <c r="O373">
        <v>1812</v>
      </c>
      <c r="P373">
        <v>1831</v>
      </c>
      <c r="Q373">
        <v>1895</v>
      </c>
      <c r="R373">
        <v>2453</v>
      </c>
    </row>
    <row r="374" spans="1:18">
      <c r="A374" t="s">
        <v>1682</v>
      </c>
      <c r="B374" t="s">
        <v>197</v>
      </c>
      <c r="C374" s="4" t="s">
        <v>34</v>
      </c>
      <c r="D374">
        <v>780</v>
      </c>
      <c r="E374">
        <v>650</v>
      </c>
      <c r="F374">
        <v>465</v>
      </c>
      <c r="G374">
        <v>429</v>
      </c>
      <c r="H374">
        <v>448</v>
      </c>
      <c r="I374">
        <v>514</v>
      </c>
      <c r="J374">
        <v>608</v>
      </c>
      <c r="K374">
        <v>614</v>
      </c>
      <c r="L374">
        <v>570</v>
      </c>
      <c r="M374">
        <v>599</v>
      </c>
      <c r="N374">
        <v>604</v>
      </c>
      <c r="O374">
        <v>735</v>
      </c>
      <c r="P374">
        <v>762</v>
      </c>
      <c r="Q374">
        <v>862</v>
      </c>
      <c r="R374">
        <v>996</v>
      </c>
    </row>
    <row r="375" spans="1:18">
      <c r="A375" t="s">
        <v>1683</v>
      </c>
      <c r="B375" t="s">
        <v>197</v>
      </c>
      <c r="C375" t="s">
        <v>169</v>
      </c>
      <c r="D375">
        <v>445</v>
      </c>
      <c r="E375">
        <v>414</v>
      </c>
      <c r="F375">
        <v>433</v>
      </c>
      <c r="G375">
        <v>510</v>
      </c>
      <c r="H375">
        <v>412</v>
      </c>
      <c r="I375">
        <v>351</v>
      </c>
      <c r="J375">
        <v>285</v>
      </c>
      <c r="K375">
        <v>243</v>
      </c>
      <c r="L375">
        <v>273</v>
      </c>
      <c r="M375">
        <v>321</v>
      </c>
      <c r="N375">
        <v>315</v>
      </c>
      <c r="O375">
        <v>326</v>
      </c>
      <c r="P375">
        <v>323</v>
      </c>
      <c r="Q375">
        <v>272</v>
      </c>
      <c r="R375">
        <v>274</v>
      </c>
    </row>
    <row r="376" spans="1:18">
      <c r="A376" t="s">
        <v>1684</v>
      </c>
      <c r="B376" t="s">
        <v>197</v>
      </c>
      <c r="C376" t="s">
        <v>170</v>
      </c>
      <c r="D376">
        <v>226</v>
      </c>
      <c r="E376">
        <v>196</v>
      </c>
      <c r="F376">
        <v>184</v>
      </c>
      <c r="G376">
        <v>242</v>
      </c>
      <c r="H376">
        <v>301</v>
      </c>
      <c r="I376">
        <v>297</v>
      </c>
      <c r="J376">
        <v>346</v>
      </c>
      <c r="K376">
        <v>414</v>
      </c>
      <c r="L376">
        <v>275</v>
      </c>
      <c r="M376">
        <v>265</v>
      </c>
      <c r="N376">
        <v>207</v>
      </c>
      <c r="O376">
        <v>160</v>
      </c>
      <c r="P376">
        <v>174</v>
      </c>
      <c r="Q376">
        <v>180</v>
      </c>
      <c r="R376">
        <v>196</v>
      </c>
    </row>
    <row r="377" spans="1:18">
      <c r="A377" t="s">
        <v>1685</v>
      </c>
      <c r="B377" t="s">
        <v>197</v>
      </c>
      <c r="C377" t="s">
        <v>171</v>
      </c>
      <c r="D377">
        <v>334</v>
      </c>
      <c r="E377">
        <v>289</v>
      </c>
      <c r="F377">
        <v>226</v>
      </c>
      <c r="G377">
        <v>254</v>
      </c>
      <c r="H377">
        <v>263</v>
      </c>
      <c r="I377">
        <v>301</v>
      </c>
      <c r="J377">
        <v>303</v>
      </c>
      <c r="K377">
        <v>325</v>
      </c>
      <c r="L377">
        <v>503</v>
      </c>
      <c r="M377">
        <v>515</v>
      </c>
      <c r="N377">
        <v>507</v>
      </c>
      <c r="O377">
        <v>591</v>
      </c>
      <c r="P377">
        <v>572</v>
      </c>
      <c r="Q377">
        <v>581</v>
      </c>
      <c r="R377">
        <v>987</v>
      </c>
    </row>
    <row r="378" spans="1:18">
      <c r="A378" t="s">
        <v>1686</v>
      </c>
      <c r="B378" t="s">
        <v>197</v>
      </c>
      <c r="C378" t="s">
        <v>148</v>
      </c>
      <c r="D378">
        <v>0</v>
      </c>
      <c r="E378">
        <v>0</v>
      </c>
      <c r="F378">
        <v>0</v>
      </c>
      <c r="G378">
        <v>0</v>
      </c>
      <c r="H378">
        <v>0</v>
      </c>
      <c r="I378">
        <v>0</v>
      </c>
      <c r="J378">
        <v>0</v>
      </c>
      <c r="K378">
        <v>0</v>
      </c>
      <c r="L378">
        <v>0</v>
      </c>
      <c r="M378">
        <v>0</v>
      </c>
      <c r="N378">
        <v>0</v>
      </c>
      <c r="O378">
        <v>0</v>
      </c>
      <c r="P378">
        <v>0</v>
      </c>
      <c r="Q378">
        <v>0</v>
      </c>
      <c r="R378">
        <v>0</v>
      </c>
    </row>
    <row r="379" spans="1:18">
      <c r="A379" t="s">
        <v>1687</v>
      </c>
      <c r="B379" t="s">
        <v>197</v>
      </c>
      <c r="C379" t="s">
        <v>184</v>
      </c>
      <c r="D379">
        <v>0</v>
      </c>
      <c r="E379">
        <v>0</v>
      </c>
      <c r="F379">
        <v>0</v>
      </c>
      <c r="G379">
        <v>0</v>
      </c>
      <c r="H379">
        <v>0</v>
      </c>
      <c r="I379">
        <v>0</v>
      </c>
      <c r="J379">
        <v>0</v>
      </c>
      <c r="K379">
        <v>0</v>
      </c>
      <c r="L379">
        <v>0</v>
      </c>
      <c r="M379">
        <v>0</v>
      </c>
      <c r="N379">
        <v>0</v>
      </c>
      <c r="O379">
        <v>0</v>
      </c>
      <c r="P379">
        <v>0</v>
      </c>
      <c r="Q379">
        <v>0</v>
      </c>
      <c r="R379">
        <v>0</v>
      </c>
    </row>
    <row r="380" spans="1:18">
      <c r="A380" t="s">
        <v>1688</v>
      </c>
      <c r="B380" t="s">
        <v>197</v>
      </c>
      <c r="C380" s="4" t="s">
        <v>188</v>
      </c>
      <c r="D380">
        <v>1005</v>
      </c>
      <c r="E380">
        <v>899</v>
      </c>
      <c r="F380">
        <v>843</v>
      </c>
      <c r="G380">
        <v>1006</v>
      </c>
      <c r="H380">
        <v>976</v>
      </c>
      <c r="I380">
        <v>949</v>
      </c>
      <c r="J380">
        <v>934</v>
      </c>
      <c r="K380">
        <v>982</v>
      </c>
      <c r="L380">
        <v>1051</v>
      </c>
      <c r="M380">
        <v>1101</v>
      </c>
      <c r="N380">
        <v>1029</v>
      </c>
      <c r="O380">
        <v>1077</v>
      </c>
      <c r="P380">
        <v>1069</v>
      </c>
      <c r="Q380">
        <v>1033</v>
      </c>
      <c r="R380">
        <v>1457</v>
      </c>
    </row>
    <row r="381" spans="1:18">
      <c r="A381" t="s">
        <v>1689</v>
      </c>
      <c r="B381" t="s">
        <v>197</v>
      </c>
      <c r="C381" s="35" t="s">
        <v>189</v>
      </c>
      <c r="D381">
        <v>560</v>
      </c>
      <c r="E381">
        <v>485</v>
      </c>
      <c r="F381">
        <v>410</v>
      </c>
      <c r="G381">
        <v>496</v>
      </c>
      <c r="H381">
        <v>564</v>
      </c>
      <c r="I381">
        <v>598</v>
      </c>
      <c r="J381">
        <v>649</v>
      </c>
      <c r="K381">
        <v>739</v>
      </c>
      <c r="L381">
        <v>778</v>
      </c>
      <c r="M381">
        <v>780</v>
      </c>
      <c r="N381">
        <v>714</v>
      </c>
      <c r="O381">
        <v>751</v>
      </c>
      <c r="P381">
        <v>746</v>
      </c>
      <c r="Q381">
        <v>761</v>
      </c>
      <c r="R381">
        <v>1183</v>
      </c>
    </row>
    <row r="382" spans="1:18">
      <c r="A382" t="s">
        <v>1690</v>
      </c>
      <c r="B382" t="s">
        <v>197</v>
      </c>
      <c r="C382" t="s">
        <v>172</v>
      </c>
      <c r="D382">
        <v>0</v>
      </c>
      <c r="E382">
        <v>0</v>
      </c>
      <c r="F382">
        <v>0</v>
      </c>
      <c r="G382">
        <v>0</v>
      </c>
      <c r="H382">
        <v>0</v>
      </c>
      <c r="I382">
        <v>0</v>
      </c>
      <c r="J382">
        <v>0</v>
      </c>
      <c r="K382">
        <v>0</v>
      </c>
      <c r="L382">
        <v>0</v>
      </c>
      <c r="M382">
        <v>0</v>
      </c>
      <c r="N382">
        <v>0</v>
      </c>
      <c r="O382">
        <v>0</v>
      </c>
      <c r="P382">
        <v>0</v>
      </c>
      <c r="Q382">
        <v>0</v>
      </c>
      <c r="R382">
        <v>0</v>
      </c>
    </row>
    <row r="383" spans="1:18">
      <c r="A383" t="s">
        <v>1691</v>
      </c>
      <c r="B383" t="s">
        <v>197</v>
      </c>
      <c r="C383" t="s">
        <v>30</v>
      </c>
      <c r="D383">
        <v>0</v>
      </c>
      <c r="E383">
        <v>0</v>
      </c>
      <c r="F383">
        <v>0</v>
      </c>
      <c r="G383">
        <v>0</v>
      </c>
      <c r="H383">
        <v>0</v>
      </c>
      <c r="I383">
        <v>0</v>
      </c>
      <c r="J383">
        <v>0</v>
      </c>
      <c r="K383">
        <v>0</v>
      </c>
      <c r="L383">
        <v>0</v>
      </c>
      <c r="M383">
        <v>0</v>
      </c>
      <c r="N383">
        <v>0</v>
      </c>
      <c r="O383">
        <v>0</v>
      </c>
      <c r="P383">
        <v>0</v>
      </c>
      <c r="Q383">
        <v>0</v>
      </c>
      <c r="R383">
        <v>0</v>
      </c>
    </row>
    <row r="384" spans="1:18">
      <c r="A384" t="s">
        <v>1692</v>
      </c>
      <c r="B384" t="s">
        <v>197</v>
      </c>
      <c r="C384" t="s">
        <v>177</v>
      </c>
      <c r="D384">
        <v>0</v>
      </c>
      <c r="E384">
        <v>0</v>
      </c>
      <c r="F384">
        <v>0</v>
      </c>
      <c r="G384">
        <v>0</v>
      </c>
      <c r="H384">
        <v>0</v>
      </c>
      <c r="I384">
        <v>0</v>
      </c>
      <c r="J384">
        <v>0</v>
      </c>
      <c r="K384">
        <v>0</v>
      </c>
      <c r="L384">
        <v>0</v>
      </c>
      <c r="M384">
        <v>0</v>
      </c>
      <c r="N384">
        <v>0</v>
      </c>
      <c r="O384">
        <v>0</v>
      </c>
      <c r="P384">
        <v>0</v>
      </c>
      <c r="Q384">
        <v>0</v>
      </c>
      <c r="R384">
        <v>0</v>
      </c>
    </row>
    <row r="385" spans="1:18">
      <c r="A385" t="s">
        <v>1693</v>
      </c>
      <c r="B385" t="s">
        <v>197</v>
      </c>
      <c r="C385" t="s">
        <v>178</v>
      </c>
      <c r="D385">
        <v>0</v>
      </c>
      <c r="E385">
        <v>0</v>
      </c>
      <c r="F385">
        <v>0</v>
      </c>
      <c r="G385">
        <v>0</v>
      </c>
      <c r="H385">
        <v>0</v>
      </c>
      <c r="I385">
        <v>0</v>
      </c>
      <c r="J385">
        <v>0</v>
      </c>
      <c r="K385">
        <v>0</v>
      </c>
      <c r="L385">
        <v>0</v>
      </c>
      <c r="M385">
        <v>0</v>
      </c>
      <c r="N385">
        <v>0</v>
      </c>
      <c r="O385">
        <v>0</v>
      </c>
      <c r="P385">
        <v>0</v>
      </c>
      <c r="Q385">
        <v>0</v>
      </c>
      <c r="R385">
        <v>0</v>
      </c>
    </row>
    <row r="386" spans="1:18">
      <c r="A386" t="s">
        <v>1694</v>
      </c>
      <c r="B386" t="s">
        <v>194</v>
      </c>
      <c r="C386" t="s">
        <v>193</v>
      </c>
      <c r="D386">
        <v>3348</v>
      </c>
      <c r="E386">
        <v>3318</v>
      </c>
      <c r="F386">
        <v>3201</v>
      </c>
      <c r="G386">
        <v>2940</v>
      </c>
      <c r="H386">
        <v>3053</v>
      </c>
      <c r="I386">
        <v>3164</v>
      </c>
      <c r="J386">
        <v>3120</v>
      </c>
      <c r="K386">
        <v>3259</v>
      </c>
      <c r="L386">
        <v>3340</v>
      </c>
      <c r="M386">
        <v>3335</v>
      </c>
      <c r="N386">
        <v>3373</v>
      </c>
      <c r="O386">
        <v>3373</v>
      </c>
      <c r="P386">
        <v>2091</v>
      </c>
      <c r="Q386">
        <v>2119</v>
      </c>
      <c r="R386">
        <v>2329</v>
      </c>
    </row>
    <row r="387" spans="1:18">
      <c r="A387" t="s">
        <v>1695</v>
      </c>
      <c r="B387" t="s">
        <v>194</v>
      </c>
      <c r="C387" s="4" t="s">
        <v>34</v>
      </c>
      <c r="D387">
        <v>2154</v>
      </c>
      <c r="E387">
        <v>1853</v>
      </c>
      <c r="F387">
        <v>1371</v>
      </c>
      <c r="G387">
        <v>1078</v>
      </c>
      <c r="H387">
        <v>1425</v>
      </c>
      <c r="I387">
        <v>1675</v>
      </c>
      <c r="J387">
        <v>1786</v>
      </c>
      <c r="K387">
        <v>2025</v>
      </c>
      <c r="L387">
        <v>2069</v>
      </c>
      <c r="M387">
        <v>1976</v>
      </c>
      <c r="N387">
        <v>2037</v>
      </c>
      <c r="O387">
        <v>2072</v>
      </c>
      <c r="P387">
        <v>1605</v>
      </c>
      <c r="Q387">
        <v>1695</v>
      </c>
      <c r="R387">
        <v>1890</v>
      </c>
    </row>
    <row r="388" spans="1:18">
      <c r="A388" t="s">
        <v>1696</v>
      </c>
      <c r="B388" t="s">
        <v>194</v>
      </c>
      <c r="C388" t="s">
        <v>169</v>
      </c>
      <c r="D388">
        <v>1194</v>
      </c>
      <c r="E388">
        <v>1465</v>
      </c>
      <c r="F388">
        <v>1830</v>
      </c>
      <c r="G388">
        <v>1862</v>
      </c>
      <c r="H388">
        <v>1628</v>
      </c>
      <c r="I388">
        <v>1489</v>
      </c>
      <c r="J388">
        <v>1334</v>
      </c>
      <c r="K388">
        <v>1234</v>
      </c>
      <c r="L388">
        <v>1271</v>
      </c>
      <c r="M388">
        <v>1359</v>
      </c>
      <c r="N388">
        <v>1336</v>
      </c>
      <c r="O388">
        <v>1301</v>
      </c>
      <c r="P388">
        <v>486</v>
      </c>
      <c r="Q388">
        <v>424</v>
      </c>
      <c r="R388">
        <v>439</v>
      </c>
    </row>
    <row r="389" spans="1:18">
      <c r="A389" t="s">
        <v>1697</v>
      </c>
      <c r="B389" t="s">
        <v>194</v>
      </c>
      <c r="C389" t="s">
        <v>170</v>
      </c>
      <c r="D389">
        <v>0</v>
      </c>
      <c r="E389">
        <v>0</v>
      </c>
      <c r="F389">
        <v>0</v>
      </c>
      <c r="G389">
        <v>0</v>
      </c>
      <c r="H389">
        <v>0</v>
      </c>
      <c r="I389">
        <v>0</v>
      </c>
      <c r="J389">
        <v>0</v>
      </c>
      <c r="K389">
        <v>0</v>
      </c>
      <c r="L389">
        <v>0</v>
      </c>
      <c r="M389">
        <v>0</v>
      </c>
      <c r="N389">
        <v>0</v>
      </c>
      <c r="O389">
        <v>0</v>
      </c>
      <c r="P389">
        <v>0</v>
      </c>
      <c r="Q389">
        <v>0</v>
      </c>
      <c r="R389">
        <v>0</v>
      </c>
    </row>
    <row r="390" spans="1:18">
      <c r="A390" t="s">
        <v>1698</v>
      </c>
      <c r="B390" t="s">
        <v>194</v>
      </c>
      <c r="C390" t="s">
        <v>171</v>
      </c>
      <c r="D390">
        <v>0</v>
      </c>
      <c r="E390">
        <v>0</v>
      </c>
      <c r="F390">
        <v>0</v>
      </c>
      <c r="G390">
        <v>0</v>
      </c>
      <c r="H390">
        <v>0</v>
      </c>
      <c r="I390">
        <v>0</v>
      </c>
      <c r="J390">
        <v>0</v>
      </c>
      <c r="K390">
        <v>0</v>
      </c>
      <c r="L390">
        <v>0</v>
      </c>
      <c r="M390">
        <v>0</v>
      </c>
      <c r="N390">
        <v>0</v>
      </c>
      <c r="O390">
        <v>0</v>
      </c>
      <c r="P390">
        <v>0</v>
      </c>
      <c r="Q390">
        <v>0</v>
      </c>
      <c r="R390">
        <v>0</v>
      </c>
    </row>
    <row r="391" spans="1:18">
      <c r="A391" t="s">
        <v>1699</v>
      </c>
      <c r="B391" t="s">
        <v>194</v>
      </c>
      <c r="C391" t="s">
        <v>148</v>
      </c>
      <c r="D391">
        <v>0</v>
      </c>
      <c r="E391">
        <v>0</v>
      </c>
      <c r="F391">
        <v>0</v>
      </c>
      <c r="G391">
        <v>0</v>
      </c>
      <c r="H391">
        <v>0</v>
      </c>
      <c r="I391">
        <v>0</v>
      </c>
      <c r="J391">
        <v>0</v>
      </c>
      <c r="K391">
        <v>0</v>
      </c>
      <c r="L391">
        <v>0</v>
      </c>
      <c r="M391">
        <v>0</v>
      </c>
      <c r="N391">
        <v>0</v>
      </c>
      <c r="O391">
        <v>0</v>
      </c>
      <c r="P391">
        <v>0</v>
      </c>
      <c r="Q391">
        <v>0</v>
      </c>
      <c r="R391">
        <v>0</v>
      </c>
    </row>
    <row r="392" spans="1:18">
      <c r="A392" t="s">
        <v>1700</v>
      </c>
      <c r="B392" t="s">
        <v>194</v>
      </c>
      <c r="C392" t="s">
        <v>184</v>
      </c>
      <c r="D392">
        <v>0</v>
      </c>
      <c r="E392">
        <v>0</v>
      </c>
      <c r="F392">
        <v>0</v>
      </c>
      <c r="G392">
        <v>0</v>
      </c>
      <c r="H392">
        <v>0</v>
      </c>
      <c r="I392">
        <v>0</v>
      </c>
      <c r="J392">
        <v>0</v>
      </c>
      <c r="K392">
        <v>0</v>
      </c>
      <c r="L392">
        <v>0</v>
      </c>
      <c r="M392">
        <v>0</v>
      </c>
      <c r="N392">
        <v>0</v>
      </c>
      <c r="O392">
        <v>0</v>
      </c>
      <c r="P392">
        <v>0</v>
      </c>
      <c r="Q392">
        <v>0</v>
      </c>
      <c r="R392">
        <v>0</v>
      </c>
    </row>
    <row r="393" spans="1:18">
      <c r="A393" t="s">
        <v>1701</v>
      </c>
      <c r="B393" t="s">
        <v>194</v>
      </c>
      <c r="C393" s="4" t="s">
        <v>188</v>
      </c>
      <c r="D393">
        <v>947</v>
      </c>
      <c r="E393">
        <v>1094</v>
      </c>
      <c r="F393">
        <v>1372</v>
      </c>
      <c r="G393">
        <v>1345</v>
      </c>
      <c r="H393">
        <v>1061</v>
      </c>
      <c r="I393">
        <v>789</v>
      </c>
      <c r="J393">
        <v>528</v>
      </c>
      <c r="K393">
        <v>430</v>
      </c>
      <c r="L393">
        <v>548</v>
      </c>
      <c r="M393">
        <v>702</v>
      </c>
      <c r="N393">
        <v>717</v>
      </c>
      <c r="O393">
        <v>748</v>
      </c>
      <c r="P393">
        <v>359</v>
      </c>
      <c r="Q393">
        <v>301</v>
      </c>
      <c r="R393">
        <v>336</v>
      </c>
    </row>
    <row r="394" spans="1:18">
      <c r="A394" t="s">
        <v>1702</v>
      </c>
      <c r="B394" t="s">
        <v>194</v>
      </c>
      <c r="C394" s="35" t="s">
        <v>189</v>
      </c>
      <c r="D394">
        <v>247</v>
      </c>
      <c r="E394">
        <v>371</v>
      </c>
      <c r="F394">
        <v>458</v>
      </c>
      <c r="G394">
        <v>517</v>
      </c>
      <c r="H394">
        <v>567</v>
      </c>
      <c r="I394">
        <v>700</v>
      </c>
      <c r="J394">
        <v>806</v>
      </c>
      <c r="K394">
        <v>804</v>
      </c>
      <c r="L394">
        <v>723</v>
      </c>
      <c r="M394">
        <v>657</v>
      </c>
      <c r="N394">
        <v>619</v>
      </c>
      <c r="O394">
        <v>553</v>
      </c>
      <c r="P394">
        <v>127</v>
      </c>
      <c r="Q394">
        <v>123</v>
      </c>
      <c r="R394">
        <v>103</v>
      </c>
    </row>
    <row r="395" spans="1:18">
      <c r="A395" t="s">
        <v>1703</v>
      </c>
      <c r="B395" t="s">
        <v>194</v>
      </c>
      <c r="C395" t="s">
        <v>172</v>
      </c>
      <c r="D395">
        <v>239</v>
      </c>
      <c r="E395">
        <v>356</v>
      </c>
      <c r="F395">
        <v>420</v>
      </c>
      <c r="G395">
        <v>447</v>
      </c>
      <c r="H395">
        <v>475</v>
      </c>
      <c r="I395">
        <v>575</v>
      </c>
      <c r="J395">
        <v>668</v>
      </c>
      <c r="K395">
        <v>628</v>
      </c>
      <c r="L395">
        <v>511</v>
      </c>
      <c r="M395">
        <v>386</v>
      </c>
      <c r="N395">
        <v>266</v>
      </c>
      <c r="O395">
        <v>226</v>
      </c>
      <c r="P395">
        <v>84</v>
      </c>
      <c r="Q395">
        <v>86</v>
      </c>
      <c r="R395">
        <v>82</v>
      </c>
    </row>
    <row r="396" spans="1:18">
      <c r="A396" t="s">
        <v>1704</v>
      </c>
      <c r="B396" t="s">
        <v>194</v>
      </c>
      <c r="C396" t="s">
        <v>30</v>
      </c>
      <c r="D396">
        <v>8</v>
      </c>
      <c r="E396">
        <v>15</v>
      </c>
      <c r="F396">
        <v>38</v>
      </c>
      <c r="G396">
        <v>70</v>
      </c>
      <c r="H396">
        <v>92</v>
      </c>
      <c r="I396">
        <v>125</v>
      </c>
      <c r="J396">
        <v>138</v>
      </c>
      <c r="K396">
        <v>176</v>
      </c>
      <c r="L396">
        <v>212</v>
      </c>
      <c r="M396">
        <v>271</v>
      </c>
      <c r="N396">
        <v>353</v>
      </c>
      <c r="O396">
        <v>327</v>
      </c>
      <c r="P396">
        <v>43</v>
      </c>
      <c r="Q396">
        <v>37</v>
      </c>
      <c r="R396">
        <v>21</v>
      </c>
    </row>
    <row r="397" spans="1:18">
      <c r="A397" t="s">
        <v>1705</v>
      </c>
      <c r="B397" t="s">
        <v>195</v>
      </c>
      <c r="C397" t="s">
        <v>193</v>
      </c>
      <c r="D397">
        <v>177</v>
      </c>
      <c r="E397">
        <v>184</v>
      </c>
      <c r="F397">
        <v>178</v>
      </c>
      <c r="G397">
        <v>143</v>
      </c>
      <c r="H397">
        <v>117</v>
      </c>
      <c r="I397">
        <v>127</v>
      </c>
      <c r="J397">
        <v>120</v>
      </c>
      <c r="K397">
        <v>103</v>
      </c>
      <c r="L397">
        <v>83</v>
      </c>
      <c r="M397">
        <v>66</v>
      </c>
      <c r="N397">
        <v>69</v>
      </c>
      <c r="O397">
        <v>73</v>
      </c>
      <c r="P397">
        <v>75</v>
      </c>
      <c r="Q397">
        <v>88</v>
      </c>
      <c r="R397">
        <v>116</v>
      </c>
    </row>
    <row r="398" spans="1:18">
      <c r="A398" t="s">
        <v>1706</v>
      </c>
      <c r="B398" t="s">
        <v>195</v>
      </c>
      <c r="C398" s="4" t="s">
        <v>34</v>
      </c>
      <c r="D398">
        <v>153</v>
      </c>
      <c r="E398">
        <v>121</v>
      </c>
      <c r="F398">
        <v>74</v>
      </c>
      <c r="G398">
        <v>42</v>
      </c>
      <c r="H398">
        <v>51</v>
      </c>
      <c r="I398">
        <v>78</v>
      </c>
      <c r="J398">
        <v>77</v>
      </c>
      <c r="K398">
        <v>80</v>
      </c>
      <c r="L398">
        <v>73</v>
      </c>
      <c r="M398">
        <v>66</v>
      </c>
      <c r="N398">
        <v>69</v>
      </c>
      <c r="O398">
        <v>73</v>
      </c>
      <c r="P398">
        <v>75</v>
      </c>
      <c r="Q398">
        <v>88</v>
      </c>
      <c r="R398">
        <v>116</v>
      </c>
    </row>
    <row r="399" spans="1:18">
      <c r="A399" t="s">
        <v>1707</v>
      </c>
      <c r="B399" t="s">
        <v>195</v>
      </c>
      <c r="C399" t="s">
        <v>169</v>
      </c>
      <c r="D399">
        <v>24</v>
      </c>
      <c r="E399">
        <v>63</v>
      </c>
      <c r="F399">
        <v>104</v>
      </c>
      <c r="G399">
        <v>101</v>
      </c>
      <c r="H399">
        <v>66</v>
      </c>
      <c r="I399">
        <v>49</v>
      </c>
      <c r="J399">
        <v>43</v>
      </c>
      <c r="K399">
        <v>23</v>
      </c>
      <c r="L399">
        <v>10</v>
      </c>
      <c r="M399">
        <v>0</v>
      </c>
      <c r="N399">
        <v>0</v>
      </c>
      <c r="O399">
        <v>0</v>
      </c>
      <c r="P399">
        <v>0</v>
      </c>
      <c r="Q399">
        <v>0</v>
      </c>
      <c r="R399">
        <v>0</v>
      </c>
    </row>
    <row r="400" spans="1:18">
      <c r="A400" t="s">
        <v>1708</v>
      </c>
      <c r="B400" t="s">
        <v>195</v>
      </c>
      <c r="C400" t="s">
        <v>170</v>
      </c>
      <c r="D400">
        <v>0</v>
      </c>
      <c r="E400">
        <v>0</v>
      </c>
      <c r="F400">
        <v>0</v>
      </c>
      <c r="G400">
        <v>0</v>
      </c>
      <c r="H400">
        <v>0</v>
      </c>
      <c r="I400">
        <v>0</v>
      </c>
      <c r="J400">
        <v>0</v>
      </c>
      <c r="K400">
        <v>0</v>
      </c>
      <c r="L400">
        <v>0</v>
      </c>
      <c r="M400">
        <v>0</v>
      </c>
      <c r="N400">
        <v>0</v>
      </c>
      <c r="O400">
        <v>0</v>
      </c>
      <c r="P400">
        <v>0</v>
      </c>
      <c r="Q400">
        <v>0</v>
      </c>
      <c r="R400">
        <v>0</v>
      </c>
    </row>
    <row r="401" spans="1:18">
      <c r="A401" t="s">
        <v>1709</v>
      </c>
      <c r="B401" t="s">
        <v>195</v>
      </c>
      <c r="C401" t="s">
        <v>171</v>
      </c>
      <c r="D401">
        <v>0</v>
      </c>
      <c r="E401">
        <v>0</v>
      </c>
      <c r="F401">
        <v>0</v>
      </c>
      <c r="G401">
        <v>0</v>
      </c>
      <c r="H401">
        <v>0</v>
      </c>
      <c r="I401">
        <v>0</v>
      </c>
      <c r="J401">
        <v>0</v>
      </c>
      <c r="K401">
        <v>0</v>
      </c>
      <c r="L401">
        <v>0</v>
      </c>
      <c r="M401">
        <v>0</v>
      </c>
      <c r="N401">
        <v>0</v>
      </c>
      <c r="O401">
        <v>0</v>
      </c>
      <c r="P401">
        <v>0</v>
      </c>
      <c r="Q401">
        <v>0</v>
      </c>
      <c r="R401">
        <v>0</v>
      </c>
    </row>
    <row r="402" spans="1:18">
      <c r="A402" t="s">
        <v>1710</v>
      </c>
      <c r="B402" t="s">
        <v>195</v>
      </c>
      <c r="C402" t="s">
        <v>148</v>
      </c>
      <c r="D402">
        <v>0</v>
      </c>
      <c r="E402">
        <v>0</v>
      </c>
      <c r="F402">
        <v>0</v>
      </c>
      <c r="G402">
        <v>0</v>
      </c>
      <c r="H402">
        <v>0</v>
      </c>
      <c r="I402">
        <v>0</v>
      </c>
      <c r="J402">
        <v>0</v>
      </c>
      <c r="K402">
        <v>0</v>
      </c>
      <c r="L402">
        <v>0</v>
      </c>
      <c r="M402">
        <v>0</v>
      </c>
      <c r="N402">
        <v>0</v>
      </c>
      <c r="O402">
        <v>0</v>
      </c>
      <c r="P402">
        <v>0</v>
      </c>
      <c r="Q402">
        <v>0</v>
      </c>
      <c r="R402">
        <v>0</v>
      </c>
    </row>
    <row r="403" spans="1:18">
      <c r="A403" t="s">
        <v>1711</v>
      </c>
      <c r="B403" t="s">
        <v>195</v>
      </c>
      <c r="C403" t="s">
        <v>184</v>
      </c>
      <c r="D403">
        <v>0</v>
      </c>
      <c r="E403">
        <v>0</v>
      </c>
      <c r="F403">
        <v>0</v>
      </c>
      <c r="G403">
        <v>0</v>
      </c>
      <c r="H403">
        <v>0</v>
      </c>
      <c r="I403">
        <v>0</v>
      </c>
      <c r="J403">
        <v>0</v>
      </c>
      <c r="K403">
        <v>0</v>
      </c>
      <c r="L403">
        <v>0</v>
      </c>
      <c r="M403">
        <v>0</v>
      </c>
      <c r="N403">
        <v>0</v>
      </c>
      <c r="O403">
        <v>0</v>
      </c>
      <c r="P403">
        <v>0</v>
      </c>
      <c r="Q403">
        <v>0</v>
      </c>
      <c r="R403">
        <v>0</v>
      </c>
    </row>
    <row r="404" spans="1:18">
      <c r="A404" t="s">
        <v>1712</v>
      </c>
      <c r="B404" t="s">
        <v>195</v>
      </c>
      <c r="C404" s="4" t="s">
        <v>188</v>
      </c>
      <c r="D404">
        <v>24</v>
      </c>
      <c r="E404">
        <v>63</v>
      </c>
      <c r="F404">
        <v>104</v>
      </c>
      <c r="G404">
        <v>97</v>
      </c>
      <c r="H404">
        <v>57</v>
      </c>
      <c r="I404">
        <v>26</v>
      </c>
      <c r="J404">
        <v>14</v>
      </c>
      <c r="K404">
        <v>2</v>
      </c>
      <c r="L404">
        <v>1</v>
      </c>
      <c r="M404">
        <v>0</v>
      </c>
      <c r="N404">
        <v>0</v>
      </c>
      <c r="O404">
        <v>0</v>
      </c>
      <c r="P404">
        <v>0</v>
      </c>
      <c r="Q404">
        <v>0</v>
      </c>
      <c r="R404">
        <v>0</v>
      </c>
    </row>
    <row r="405" spans="1:18">
      <c r="A405" t="s">
        <v>1713</v>
      </c>
      <c r="B405" t="s">
        <v>195</v>
      </c>
      <c r="C405" s="35" t="s">
        <v>189</v>
      </c>
      <c r="D405">
        <v>0</v>
      </c>
      <c r="E405">
        <v>0</v>
      </c>
      <c r="F405">
        <v>0</v>
      </c>
      <c r="G405">
        <v>4</v>
      </c>
      <c r="H405">
        <v>9</v>
      </c>
      <c r="I405">
        <v>23</v>
      </c>
      <c r="J405">
        <v>29</v>
      </c>
      <c r="K405">
        <v>21</v>
      </c>
      <c r="L405">
        <v>9</v>
      </c>
      <c r="M405">
        <v>0</v>
      </c>
      <c r="N405">
        <v>0</v>
      </c>
      <c r="O405">
        <v>0</v>
      </c>
      <c r="P405">
        <v>0</v>
      </c>
      <c r="Q405">
        <v>0</v>
      </c>
      <c r="R405">
        <v>0</v>
      </c>
    </row>
    <row r="406" spans="1:18">
      <c r="A406" t="s">
        <v>1714</v>
      </c>
      <c r="B406" t="s">
        <v>195</v>
      </c>
      <c r="C406" t="s">
        <v>172</v>
      </c>
      <c r="D406">
        <v>0</v>
      </c>
      <c r="E406">
        <v>0</v>
      </c>
      <c r="F406">
        <v>0</v>
      </c>
      <c r="G406">
        <v>4</v>
      </c>
      <c r="H406">
        <v>9</v>
      </c>
      <c r="I406">
        <v>23</v>
      </c>
      <c r="J406">
        <v>29</v>
      </c>
      <c r="K406">
        <v>20</v>
      </c>
      <c r="L406">
        <v>7</v>
      </c>
      <c r="M406">
        <v>0</v>
      </c>
      <c r="N406">
        <v>0</v>
      </c>
      <c r="O406">
        <v>0</v>
      </c>
      <c r="P406">
        <v>0</v>
      </c>
      <c r="Q406">
        <v>0</v>
      </c>
      <c r="R406">
        <v>0</v>
      </c>
    </row>
    <row r="407" spans="1:18">
      <c r="A407" t="s">
        <v>1715</v>
      </c>
      <c r="B407" t="s">
        <v>195</v>
      </c>
      <c r="C407" t="s">
        <v>30</v>
      </c>
      <c r="D407">
        <v>0</v>
      </c>
      <c r="E407">
        <v>0</v>
      </c>
      <c r="F407">
        <v>0</v>
      </c>
      <c r="G407">
        <v>0</v>
      </c>
      <c r="H407">
        <v>0</v>
      </c>
      <c r="I407">
        <v>0</v>
      </c>
      <c r="J407">
        <v>0</v>
      </c>
      <c r="K407">
        <v>1</v>
      </c>
      <c r="L407">
        <v>2</v>
      </c>
      <c r="M407">
        <v>0</v>
      </c>
      <c r="N407">
        <v>0</v>
      </c>
      <c r="O407">
        <v>0</v>
      </c>
      <c r="P407">
        <v>0</v>
      </c>
      <c r="Q407">
        <v>0</v>
      </c>
      <c r="R407">
        <v>0</v>
      </c>
    </row>
    <row r="408" spans="1:18">
      <c r="A408" t="s">
        <v>1716</v>
      </c>
      <c r="B408" t="s">
        <v>196</v>
      </c>
      <c r="C408" t="s">
        <v>193</v>
      </c>
      <c r="D408">
        <v>3348</v>
      </c>
      <c r="E408">
        <v>3318</v>
      </c>
      <c r="F408">
        <v>3201</v>
      </c>
      <c r="G408">
        <v>2940</v>
      </c>
      <c r="H408">
        <v>3053</v>
      </c>
      <c r="I408">
        <v>3164</v>
      </c>
      <c r="J408">
        <v>3120</v>
      </c>
      <c r="K408">
        <v>3259</v>
      </c>
      <c r="L408">
        <v>3340</v>
      </c>
      <c r="M408">
        <v>3335</v>
      </c>
      <c r="N408">
        <v>3373</v>
      </c>
      <c r="O408">
        <v>3373</v>
      </c>
      <c r="P408">
        <v>2091</v>
      </c>
      <c r="Q408">
        <v>2119</v>
      </c>
      <c r="R408">
        <v>2329</v>
      </c>
    </row>
    <row r="409" spans="1:18">
      <c r="A409" t="s">
        <v>1717</v>
      </c>
      <c r="B409" t="s">
        <v>196</v>
      </c>
      <c r="C409" s="4" t="s">
        <v>34</v>
      </c>
      <c r="D409">
        <v>2112</v>
      </c>
      <c r="E409">
        <v>1803</v>
      </c>
      <c r="F409">
        <v>1333</v>
      </c>
      <c r="G409">
        <v>1065</v>
      </c>
      <c r="H409">
        <v>1412</v>
      </c>
      <c r="I409">
        <v>1659</v>
      </c>
      <c r="J409">
        <v>1771</v>
      </c>
      <c r="K409">
        <v>2003</v>
      </c>
      <c r="L409">
        <v>2040</v>
      </c>
      <c r="M409">
        <v>1922</v>
      </c>
      <c r="N409">
        <v>1991</v>
      </c>
      <c r="O409">
        <v>2041</v>
      </c>
      <c r="P409">
        <v>1577</v>
      </c>
      <c r="Q409">
        <v>1659</v>
      </c>
      <c r="R409">
        <v>1854</v>
      </c>
    </row>
    <row r="410" spans="1:18">
      <c r="A410" t="s">
        <v>1718</v>
      </c>
      <c r="B410" t="s">
        <v>196</v>
      </c>
      <c r="C410" t="s">
        <v>169</v>
      </c>
      <c r="D410">
        <v>1236</v>
      </c>
      <c r="E410">
        <v>1515</v>
      </c>
      <c r="F410">
        <v>1868</v>
      </c>
      <c r="G410">
        <v>1875</v>
      </c>
      <c r="H410">
        <v>1641</v>
      </c>
      <c r="I410">
        <v>1505</v>
      </c>
      <c r="J410">
        <v>1349</v>
      </c>
      <c r="K410">
        <v>1256</v>
      </c>
      <c r="L410">
        <v>1300</v>
      </c>
      <c r="M410">
        <v>1413</v>
      </c>
      <c r="N410">
        <v>1382</v>
      </c>
      <c r="O410">
        <v>1332</v>
      </c>
      <c r="P410">
        <v>514</v>
      </c>
      <c r="Q410">
        <v>460</v>
      </c>
      <c r="R410">
        <v>475</v>
      </c>
    </row>
    <row r="411" spans="1:18">
      <c r="A411" t="s">
        <v>1719</v>
      </c>
      <c r="B411" t="s">
        <v>196</v>
      </c>
      <c r="C411" t="s">
        <v>170</v>
      </c>
      <c r="D411">
        <v>0</v>
      </c>
      <c r="E411">
        <v>0</v>
      </c>
      <c r="F411">
        <v>0</v>
      </c>
      <c r="G411">
        <v>0</v>
      </c>
      <c r="H411">
        <v>0</v>
      </c>
      <c r="I411">
        <v>0</v>
      </c>
      <c r="J411">
        <v>0</v>
      </c>
      <c r="K411">
        <v>0</v>
      </c>
      <c r="L411">
        <v>0</v>
      </c>
      <c r="M411">
        <v>0</v>
      </c>
      <c r="N411">
        <v>0</v>
      </c>
      <c r="O411">
        <v>0</v>
      </c>
      <c r="P411">
        <v>0</v>
      </c>
      <c r="Q411">
        <v>0</v>
      </c>
      <c r="R411">
        <v>0</v>
      </c>
    </row>
    <row r="412" spans="1:18">
      <c r="A412" t="s">
        <v>1720</v>
      </c>
      <c r="B412" t="s">
        <v>196</v>
      </c>
      <c r="C412" t="s">
        <v>171</v>
      </c>
      <c r="D412">
        <v>0</v>
      </c>
      <c r="E412">
        <v>0</v>
      </c>
      <c r="F412">
        <v>0</v>
      </c>
      <c r="G412">
        <v>0</v>
      </c>
      <c r="H412">
        <v>0</v>
      </c>
      <c r="I412">
        <v>0</v>
      </c>
      <c r="J412">
        <v>0</v>
      </c>
      <c r="K412">
        <v>0</v>
      </c>
      <c r="L412">
        <v>0</v>
      </c>
      <c r="M412">
        <v>0</v>
      </c>
      <c r="N412">
        <v>0</v>
      </c>
      <c r="O412">
        <v>0</v>
      </c>
      <c r="P412">
        <v>0</v>
      </c>
      <c r="Q412">
        <v>0</v>
      </c>
      <c r="R412">
        <v>0</v>
      </c>
    </row>
    <row r="413" spans="1:18">
      <c r="A413" t="s">
        <v>1721</v>
      </c>
      <c r="B413" t="s">
        <v>196</v>
      </c>
      <c r="C413" t="s">
        <v>148</v>
      </c>
      <c r="D413">
        <v>0</v>
      </c>
      <c r="E413">
        <v>0</v>
      </c>
      <c r="F413">
        <v>0</v>
      </c>
      <c r="G413">
        <v>0</v>
      </c>
      <c r="H413">
        <v>0</v>
      </c>
      <c r="I413">
        <v>0</v>
      </c>
      <c r="J413">
        <v>0</v>
      </c>
      <c r="K413">
        <v>0</v>
      </c>
      <c r="L413">
        <v>0</v>
      </c>
      <c r="M413">
        <v>0</v>
      </c>
      <c r="N413">
        <v>0</v>
      </c>
      <c r="O413">
        <v>0</v>
      </c>
      <c r="P413">
        <v>0</v>
      </c>
      <c r="Q413">
        <v>0</v>
      </c>
      <c r="R413">
        <v>0</v>
      </c>
    </row>
    <row r="414" spans="1:18">
      <c r="A414" t="s">
        <v>1722</v>
      </c>
      <c r="B414" t="s">
        <v>196</v>
      </c>
      <c r="C414" t="s">
        <v>184</v>
      </c>
      <c r="D414">
        <v>0</v>
      </c>
      <c r="E414">
        <v>0</v>
      </c>
      <c r="F414">
        <v>0</v>
      </c>
      <c r="G414">
        <v>0</v>
      </c>
      <c r="H414">
        <v>0</v>
      </c>
      <c r="I414">
        <v>0</v>
      </c>
      <c r="J414">
        <v>0</v>
      </c>
      <c r="K414">
        <v>0</v>
      </c>
      <c r="L414">
        <v>0</v>
      </c>
      <c r="M414">
        <v>0</v>
      </c>
      <c r="N414">
        <v>0</v>
      </c>
      <c r="O414">
        <v>0</v>
      </c>
      <c r="P414">
        <v>0</v>
      </c>
      <c r="Q414">
        <v>0</v>
      </c>
      <c r="R414">
        <v>0</v>
      </c>
    </row>
    <row r="415" spans="1:18">
      <c r="A415" t="s">
        <v>1723</v>
      </c>
      <c r="B415" t="s">
        <v>196</v>
      </c>
      <c r="C415" s="4" t="s">
        <v>188</v>
      </c>
      <c r="D415">
        <v>979</v>
      </c>
      <c r="E415">
        <v>1135</v>
      </c>
      <c r="F415">
        <v>1400</v>
      </c>
      <c r="G415">
        <v>1346</v>
      </c>
      <c r="H415">
        <v>1060</v>
      </c>
      <c r="I415">
        <v>783</v>
      </c>
      <c r="J415">
        <v>529</v>
      </c>
      <c r="K415">
        <v>444</v>
      </c>
      <c r="L415">
        <v>564</v>
      </c>
      <c r="M415">
        <v>744</v>
      </c>
      <c r="N415">
        <v>746</v>
      </c>
      <c r="O415">
        <v>761</v>
      </c>
      <c r="P415">
        <v>376</v>
      </c>
      <c r="Q415">
        <v>327</v>
      </c>
      <c r="R415">
        <v>367</v>
      </c>
    </row>
    <row r="416" spans="1:18">
      <c r="A416" t="s">
        <v>1724</v>
      </c>
      <c r="B416" t="s">
        <v>196</v>
      </c>
      <c r="C416" s="35" t="s">
        <v>189</v>
      </c>
      <c r="D416">
        <v>257</v>
      </c>
      <c r="E416">
        <v>380</v>
      </c>
      <c r="F416">
        <v>468</v>
      </c>
      <c r="G416">
        <v>529</v>
      </c>
      <c r="H416">
        <v>581</v>
      </c>
      <c r="I416">
        <v>722</v>
      </c>
      <c r="J416">
        <v>820</v>
      </c>
      <c r="K416">
        <v>812</v>
      </c>
      <c r="L416">
        <v>736</v>
      </c>
      <c r="M416">
        <v>669</v>
      </c>
      <c r="N416">
        <v>636</v>
      </c>
      <c r="O416">
        <v>571</v>
      </c>
      <c r="P416">
        <v>138</v>
      </c>
      <c r="Q416">
        <v>133</v>
      </c>
      <c r="R416">
        <v>108</v>
      </c>
    </row>
    <row r="417" spans="1:18">
      <c r="A417" t="s">
        <v>1725</v>
      </c>
      <c r="B417" t="s">
        <v>196</v>
      </c>
      <c r="C417" t="s">
        <v>172</v>
      </c>
      <c r="D417">
        <v>247</v>
      </c>
      <c r="E417">
        <v>364</v>
      </c>
      <c r="F417">
        <v>429</v>
      </c>
      <c r="G417">
        <v>458</v>
      </c>
      <c r="H417">
        <v>488</v>
      </c>
      <c r="I417">
        <v>594</v>
      </c>
      <c r="J417">
        <v>682</v>
      </c>
      <c r="K417">
        <v>634</v>
      </c>
      <c r="L417">
        <v>520</v>
      </c>
      <c r="M417">
        <v>386</v>
      </c>
      <c r="N417">
        <v>272</v>
      </c>
      <c r="O417">
        <v>235</v>
      </c>
      <c r="P417">
        <v>93</v>
      </c>
      <c r="Q417">
        <v>93</v>
      </c>
      <c r="R417">
        <v>86</v>
      </c>
    </row>
    <row r="418" spans="1:18">
      <c r="A418" t="s">
        <v>1726</v>
      </c>
      <c r="B418" t="s">
        <v>196</v>
      </c>
      <c r="C418" t="s">
        <v>30</v>
      </c>
      <c r="D418">
        <v>10</v>
      </c>
      <c r="E418">
        <v>16</v>
      </c>
      <c r="F418">
        <v>39</v>
      </c>
      <c r="G418">
        <v>71</v>
      </c>
      <c r="H418">
        <v>93</v>
      </c>
      <c r="I418">
        <v>128</v>
      </c>
      <c r="J418">
        <v>138</v>
      </c>
      <c r="K418">
        <v>178</v>
      </c>
      <c r="L418">
        <v>216</v>
      </c>
      <c r="M418">
        <v>283</v>
      </c>
      <c r="N418">
        <v>364</v>
      </c>
      <c r="O418">
        <v>336</v>
      </c>
      <c r="P418">
        <v>45</v>
      </c>
      <c r="Q418">
        <v>40</v>
      </c>
      <c r="R418">
        <v>22</v>
      </c>
    </row>
    <row r="419" spans="1:18">
      <c r="A419" t="s">
        <v>1727</v>
      </c>
      <c r="B419" t="s">
        <v>196</v>
      </c>
      <c r="C419" t="s">
        <v>177</v>
      </c>
      <c r="D419">
        <v>0</v>
      </c>
      <c r="E419">
        <v>0</v>
      </c>
      <c r="F419">
        <v>0</v>
      </c>
      <c r="G419">
        <v>0</v>
      </c>
      <c r="H419">
        <v>0</v>
      </c>
      <c r="I419">
        <v>0</v>
      </c>
      <c r="J419">
        <v>0</v>
      </c>
      <c r="K419">
        <v>0</v>
      </c>
      <c r="L419">
        <v>0</v>
      </c>
      <c r="M419">
        <v>0</v>
      </c>
      <c r="N419">
        <v>0</v>
      </c>
      <c r="O419">
        <v>0</v>
      </c>
      <c r="P419">
        <v>0</v>
      </c>
      <c r="Q419">
        <v>0</v>
      </c>
      <c r="R419">
        <v>0</v>
      </c>
    </row>
    <row r="420" spans="1:18">
      <c r="A420" t="s">
        <v>1728</v>
      </c>
      <c r="B420" t="s">
        <v>196</v>
      </c>
      <c r="C420" t="s">
        <v>178</v>
      </c>
      <c r="D420">
        <v>0</v>
      </c>
      <c r="E420">
        <v>0</v>
      </c>
      <c r="F420">
        <v>0</v>
      </c>
      <c r="G420">
        <v>0</v>
      </c>
      <c r="H420">
        <v>0</v>
      </c>
      <c r="I420">
        <v>0</v>
      </c>
      <c r="J420">
        <v>0</v>
      </c>
      <c r="K420">
        <v>0</v>
      </c>
      <c r="L420">
        <v>0</v>
      </c>
      <c r="M420">
        <v>0</v>
      </c>
      <c r="N420">
        <v>0</v>
      </c>
      <c r="O420">
        <v>0</v>
      </c>
      <c r="P420">
        <v>0</v>
      </c>
      <c r="Q420">
        <v>0</v>
      </c>
      <c r="R420">
        <v>0</v>
      </c>
    </row>
    <row r="421" spans="1:18">
      <c r="A421" t="s">
        <v>1729</v>
      </c>
      <c r="B421" t="s">
        <v>197</v>
      </c>
      <c r="C421" t="s">
        <v>193</v>
      </c>
      <c r="D421">
        <v>3348</v>
      </c>
      <c r="E421">
        <v>3318</v>
      </c>
      <c r="F421">
        <v>3201</v>
      </c>
      <c r="G421">
        <v>2940</v>
      </c>
      <c r="H421">
        <v>3053</v>
      </c>
      <c r="I421">
        <v>3164</v>
      </c>
      <c r="J421">
        <v>3120</v>
      </c>
      <c r="K421">
        <v>3259</v>
      </c>
      <c r="L421">
        <v>3340</v>
      </c>
      <c r="M421">
        <v>3335</v>
      </c>
      <c r="N421">
        <v>3373</v>
      </c>
      <c r="O421">
        <v>3373</v>
      </c>
      <c r="P421">
        <v>2091</v>
      </c>
      <c r="Q421">
        <v>2119</v>
      </c>
      <c r="R421">
        <v>2329</v>
      </c>
    </row>
    <row r="422" spans="1:18">
      <c r="A422" t="s">
        <v>1730</v>
      </c>
      <c r="B422" t="s">
        <v>197</v>
      </c>
      <c r="C422" s="4" t="s">
        <v>34</v>
      </c>
      <c r="D422">
        <v>2112</v>
      </c>
      <c r="E422">
        <v>1803</v>
      </c>
      <c r="F422">
        <v>1333</v>
      </c>
      <c r="G422">
        <v>1065</v>
      </c>
      <c r="H422">
        <v>1412</v>
      </c>
      <c r="I422">
        <v>1659</v>
      </c>
      <c r="J422">
        <v>1771</v>
      </c>
      <c r="K422">
        <v>2003</v>
      </c>
      <c r="L422">
        <v>2040</v>
      </c>
      <c r="M422">
        <v>1922</v>
      </c>
      <c r="N422">
        <v>1991</v>
      </c>
      <c r="O422">
        <v>2041</v>
      </c>
      <c r="P422">
        <v>1577</v>
      </c>
      <c r="Q422">
        <v>1659</v>
      </c>
      <c r="R422">
        <v>1854</v>
      </c>
    </row>
    <row r="423" spans="1:18">
      <c r="A423" t="s">
        <v>1731</v>
      </c>
      <c r="B423" t="s">
        <v>197</v>
      </c>
      <c r="C423" t="s">
        <v>169</v>
      </c>
      <c r="D423">
        <v>979</v>
      </c>
      <c r="E423">
        <v>1135</v>
      </c>
      <c r="F423">
        <v>1400</v>
      </c>
      <c r="G423">
        <v>1346</v>
      </c>
      <c r="H423">
        <v>1060</v>
      </c>
      <c r="I423">
        <v>783</v>
      </c>
      <c r="J423">
        <v>529</v>
      </c>
      <c r="K423">
        <v>444</v>
      </c>
      <c r="L423">
        <v>564</v>
      </c>
      <c r="M423">
        <v>744</v>
      </c>
      <c r="N423">
        <v>746</v>
      </c>
      <c r="O423">
        <v>761</v>
      </c>
      <c r="P423">
        <v>376</v>
      </c>
      <c r="Q423">
        <v>327</v>
      </c>
      <c r="R423">
        <v>367</v>
      </c>
    </row>
    <row r="424" spans="1:18">
      <c r="A424" t="s">
        <v>1732</v>
      </c>
      <c r="B424" t="s">
        <v>197</v>
      </c>
      <c r="C424" t="s">
        <v>170</v>
      </c>
      <c r="D424">
        <v>247</v>
      </c>
      <c r="E424">
        <v>364</v>
      </c>
      <c r="F424">
        <v>429</v>
      </c>
      <c r="G424">
        <v>458</v>
      </c>
      <c r="H424">
        <v>488</v>
      </c>
      <c r="I424">
        <v>594</v>
      </c>
      <c r="J424">
        <v>682</v>
      </c>
      <c r="K424">
        <v>634</v>
      </c>
      <c r="L424">
        <v>520</v>
      </c>
      <c r="M424">
        <v>386</v>
      </c>
      <c r="N424">
        <v>272</v>
      </c>
      <c r="O424">
        <v>235</v>
      </c>
      <c r="P424">
        <v>93</v>
      </c>
      <c r="Q424">
        <v>93</v>
      </c>
      <c r="R424">
        <v>86</v>
      </c>
    </row>
    <row r="425" spans="1:18">
      <c r="A425" t="s">
        <v>1733</v>
      </c>
      <c r="B425" t="s">
        <v>197</v>
      </c>
      <c r="C425" t="s">
        <v>171</v>
      </c>
      <c r="D425">
        <v>10</v>
      </c>
      <c r="E425">
        <v>16</v>
      </c>
      <c r="F425">
        <v>39</v>
      </c>
      <c r="G425">
        <v>71</v>
      </c>
      <c r="H425">
        <v>93</v>
      </c>
      <c r="I425">
        <v>128</v>
      </c>
      <c r="J425">
        <v>138</v>
      </c>
      <c r="K425">
        <v>178</v>
      </c>
      <c r="L425">
        <v>216</v>
      </c>
      <c r="M425">
        <v>283</v>
      </c>
      <c r="N425">
        <v>364</v>
      </c>
      <c r="O425">
        <v>336</v>
      </c>
      <c r="P425">
        <v>45</v>
      </c>
      <c r="Q425">
        <v>40</v>
      </c>
      <c r="R425">
        <v>22</v>
      </c>
    </row>
    <row r="426" spans="1:18">
      <c r="A426" t="s">
        <v>1734</v>
      </c>
      <c r="B426" t="s">
        <v>197</v>
      </c>
      <c r="C426" t="s">
        <v>148</v>
      </c>
      <c r="D426">
        <v>0</v>
      </c>
      <c r="E426">
        <v>0</v>
      </c>
      <c r="F426">
        <v>0</v>
      </c>
      <c r="G426">
        <v>0</v>
      </c>
      <c r="H426">
        <v>0</v>
      </c>
      <c r="I426">
        <v>0</v>
      </c>
      <c r="J426">
        <v>0</v>
      </c>
      <c r="K426">
        <v>0</v>
      </c>
      <c r="L426">
        <v>0</v>
      </c>
      <c r="M426">
        <v>0</v>
      </c>
      <c r="N426">
        <v>0</v>
      </c>
      <c r="O426">
        <v>0</v>
      </c>
      <c r="P426">
        <v>0</v>
      </c>
      <c r="Q426">
        <v>0</v>
      </c>
      <c r="R426">
        <v>0</v>
      </c>
    </row>
    <row r="427" spans="1:18">
      <c r="A427" t="s">
        <v>1735</v>
      </c>
      <c r="B427" t="s">
        <v>197</v>
      </c>
      <c r="C427" t="s">
        <v>184</v>
      </c>
      <c r="D427">
        <v>0</v>
      </c>
      <c r="E427">
        <v>0</v>
      </c>
      <c r="F427">
        <v>0</v>
      </c>
      <c r="G427">
        <v>0</v>
      </c>
      <c r="H427">
        <v>0</v>
      </c>
      <c r="I427">
        <v>0</v>
      </c>
      <c r="J427">
        <v>0</v>
      </c>
      <c r="K427">
        <v>0</v>
      </c>
      <c r="L427">
        <v>0</v>
      </c>
      <c r="M427">
        <v>0</v>
      </c>
      <c r="N427">
        <v>0</v>
      </c>
      <c r="O427">
        <v>0</v>
      </c>
      <c r="P427">
        <v>0</v>
      </c>
      <c r="Q427">
        <v>0</v>
      </c>
      <c r="R427">
        <v>0</v>
      </c>
    </row>
    <row r="428" spans="1:18">
      <c r="A428" t="s">
        <v>1736</v>
      </c>
      <c r="B428" t="s">
        <v>197</v>
      </c>
      <c r="C428" s="4" t="s">
        <v>188</v>
      </c>
      <c r="D428">
        <v>1236</v>
      </c>
      <c r="E428">
        <v>1515</v>
      </c>
      <c r="F428">
        <v>1868</v>
      </c>
      <c r="G428">
        <v>1875</v>
      </c>
      <c r="H428">
        <v>1641</v>
      </c>
      <c r="I428">
        <v>1505</v>
      </c>
      <c r="J428">
        <v>1349</v>
      </c>
      <c r="K428">
        <v>1256</v>
      </c>
      <c r="L428">
        <v>1300</v>
      </c>
      <c r="M428">
        <v>1413</v>
      </c>
      <c r="N428">
        <v>1382</v>
      </c>
      <c r="O428">
        <v>1332</v>
      </c>
      <c r="P428">
        <v>514</v>
      </c>
      <c r="Q428">
        <v>460</v>
      </c>
      <c r="R428">
        <v>475</v>
      </c>
    </row>
    <row r="429" spans="1:18">
      <c r="A429" t="s">
        <v>1737</v>
      </c>
      <c r="B429" t="s">
        <v>197</v>
      </c>
      <c r="C429" s="35" t="s">
        <v>189</v>
      </c>
      <c r="D429">
        <v>257</v>
      </c>
      <c r="E429">
        <v>380</v>
      </c>
      <c r="F429">
        <v>468</v>
      </c>
      <c r="G429">
        <v>529</v>
      </c>
      <c r="H429">
        <v>581</v>
      </c>
      <c r="I429">
        <v>722</v>
      </c>
      <c r="J429">
        <v>820</v>
      </c>
      <c r="K429">
        <v>812</v>
      </c>
      <c r="L429">
        <v>736</v>
      </c>
      <c r="M429">
        <v>669</v>
      </c>
      <c r="N429">
        <v>636</v>
      </c>
      <c r="O429">
        <v>571</v>
      </c>
      <c r="P429">
        <v>138</v>
      </c>
      <c r="Q429">
        <v>133</v>
      </c>
      <c r="R429">
        <v>108</v>
      </c>
    </row>
    <row r="430" spans="1:18">
      <c r="A430" t="s">
        <v>1738</v>
      </c>
      <c r="B430" t="s">
        <v>197</v>
      </c>
      <c r="C430" t="s">
        <v>172</v>
      </c>
      <c r="D430">
        <v>0</v>
      </c>
      <c r="E430">
        <v>0</v>
      </c>
      <c r="F430">
        <v>0</v>
      </c>
      <c r="G430">
        <v>0</v>
      </c>
      <c r="H430">
        <v>0</v>
      </c>
      <c r="I430">
        <v>0</v>
      </c>
      <c r="J430">
        <v>0</v>
      </c>
      <c r="K430">
        <v>0</v>
      </c>
      <c r="L430">
        <v>0</v>
      </c>
      <c r="M430">
        <v>0</v>
      </c>
      <c r="N430">
        <v>0</v>
      </c>
      <c r="O430">
        <v>0</v>
      </c>
      <c r="P430">
        <v>0</v>
      </c>
      <c r="Q430">
        <v>0</v>
      </c>
      <c r="R430">
        <v>0</v>
      </c>
    </row>
    <row r="431" spans="1:18">
      <c r="A431" t="s">
        <v>1739</v>
      </c>
      <c r="B431" t="s">
        <v>197</v>
      </c>
      <c r="C431" t="s">
        <v>30</v>
      </c>
      <c r="D431">
        <v>0</v>
      </c>
      <c r="E431">
        <v>0</v>
      </c>
      <c r="F431">
        <v>0</v>
      </c>
      <c r="G431">
        <v>0</v>
      </c>
      <c r="H431">
        <v>0</v>
      </c>
      <c r="I431">
        <v>0</v>
      </c>
      <c r="J431">
        <v>0</v>
      </c>
      <c r="K431">
        <v>0</v>
      </c>
      <c r="L431">
        <v>0</v>
      </c>
      <c r="M431">
        <v>0</v>
      </c>
      <c r="N431">
        <v>0</v>
      </c>
      <c r="O431">
        <v>0</v>
      </c>
      <c r="P431">
        <v>0</v>
      </c>
      <c r="Q431">
        <v>0</v>
      </c>
      <c r="R431">
        <v>0</v>
      </c>
    </row>
    <row r="432" spans="1:18">
      <c r="A432" t="s">
        <v>1740</v>
      </c>
      <c r="B432" t="s">
        <v>197</v>
      </c>
      <c r="C432" t="s">
        <v>177</v>
      </c>
      <c r="D432">
        <v>0</v>
      </c>
      <c r="E432">
        <v>0</v>
      </c>
      <c r="F432">
        <v>0</v>
      </c>
      <c r="G432">
        <v>0</v>
      </c>
      <c r="H432">
        <v>0</v>
      </c>
      <c r="I432">
        <v>0</v>
      </c>
      <c r="J432">
        <v>0</v>
      </c>
      <c r="K432">
        <v>0</v>
      </c>
      <c r="L432">
        <v>0</v>
      </c>
      <c r="M432">
        <v>0</v>
      </c>
      <c r="N432">
        <v>0</v>
      </c>
      <c r="O432">
        <v>0</v>
      </c>
      <c r="P432">
        <v>0</v>
      </c>
      <c r="Q432">
        <v>0</v>
      </c>
      <c r="R432">
        <v>0</v>
      </c>
    </row>
    <row r="433" spans="1:18">
      <c r="A433" t="s">
        <v>1741</v>
      </c>
      <c r="B433" t="s">
        <v>197</v>
      </c>
      <c r="C433" t="s">
        <v>178</v>
      </c>
      <c r="D433">
        <v>0</v>
      </c>
      <c r="E433">
        <v>0</v>
      </c>
      <c r="F433">
        <v>0</v>
      </c>
      <c r="G433">
        <v>0</v>
      </c>
      <c r="H433">
        <v>0</v>
      </c>
      <c r="I433">
        <v>0</v>
      </c>
      <c r="J433">
        <v>0</v>
      </c>
      <c r="K433">
        <v>0</v>
      </c>
      <c r="L433">
        <v>0</v>
      </c>
      <c r="M433">
        <v>0</v>
      </c>
      <c r="N433">
        <v>0</v>
      </c>
      <c r="O433">
        <v>0</v>
      </c>
      <c r="P433">
        <v>0</v>
      </c>
      <c r="Q433">
        <v>0</v>
      </c>
      <c r="R433">
        <v>0</v>
      </c>
    </row>
    <row r="434" spans="1:18">
      <c r="A434" t="s">
        <v>1742</v>
      </c>
      <c r="B434" t="s">
        <v>194</v>
      </c>
      <c r="C434" t="s">
        <v>193</v>
      </c>
      <c r="D434">
        <v>6031</v>
      </c>
      <c r="E434">
        <v>5917</v>
      </c>
      <c r="F434">
        <v>5964</v>
      </c>
      <c r="G434">
        <v>6105</v>
      </c>
      <c r="H434">
        <v>6110</v>
      </c>
      <c r="I434">
        <v>6036</v>
      </c>
      <c r="J434">
        <v>6178</v>
      </c>
      <c r="K434">
        <v>5928</v>
      </c>
      <c r="L434">
        <v>5658</v>
      </c>
      <c r="M434">
        <v>5571</v>
      </c>
      <c r="N434">
        <v>5418</v>
      </c>
      <c r="O434">
        <v>5425</v>
      </c>
      <c r="P434">
        <v>5380</v>
      </c>
      <c r="Q434">
        <v>5252</v>
      </c>
      <c r="R434">
        <v>5111</v>
      </c>
    </row>
    <row r="435" spans="1:18">
      <c r="A435" t="s">
        <v>1743</v>
      </c>
      <c r="B435" t="s">
        <v>194</v>
      </c>
      <c r="C435" s="4" t="s">
        <v>34</v>
      </c>
      <c r="D435">
        <v>2789</v>
      </c>
      <c r="E435">
        <v>2503</v>
      </c>
      <c r="F435">
        <v>2372</v>
      </c>
      <c r="G435">
        <v>2173</v>
      </c>
      <c r="H435">
        <v>2260</v>
      </c>
      <c r="I435">
        <v>2258</v>
      </c>
      <c r="J435">
        <v>2570</v>
      </c>
      <c r="K435">
        <v>2537</v>
      </c>
      <c r="L435">
        <v>2273</v>
      </c>
      <c r="M435">
        <v>2230</v>
      </c>
      <c r="N435">
        <v>2139</v>
      </c>
      <c r="O435">
        <v>2254</v>
      </c>
      <c r="P435">
        <v>2284</v>
      </c>
      <c r="Q435">
        <v>2463</v>
      </c>
      <c r="R435">
        <v>2519</v>
      </c>
    </row>
    <row r="436" spans="1:18">
      <c r="A436" t="s">
        <v>1744</v>
      </c>
      <c r="B436" t="s">
        <v>194</v>
      </c>
      <c r="C436" t="s">
        <v>169</v>
      </c>
      <c r="D436">
        <v>3242</v>
      </c>
      <c r="E436">
        <v>3414</v>
      </c>
      <c r="F436">
        <v>3592</v>
      </c>
      <c r="G436">
        <v>3932</v>
      </c>
      <c r="H436">
        <v>3850</v>
      </c>
      <c r="I436">
        <v>3778</v>
      </c>
      <c r="J436">
        <v>3608</v>
      </c>
      <c r="K436">
        <v>3391</v>
      </c>
      <c r="L436">
        <v>3385</v>
      </c>
      <c r="M436">
        <v>3341</v>
      </c>
      <c r="N436">
        <v>3279</v>
      </c>
      <c r="O436">
        <v>3171</v>
      </c>
      <c r="P436">
        <v>3096</v>
      </c>
      <c r="Q436">
        <v>2789</v>
      </c>
      <c r="R436">
        <v>2592</v>
      </c>
    </row>
    <row r="437" spans="1:18">
      <c r="A437" t="s">
        <v>1745</v>
      </c>
      <c r="B437" t="s">
        <v>194</v>
      </c>
      <c r="C437" t="s">
        <v>170</v>
      </c>
      <c r="D437">
        <v>0</v>
      </c>
      <c r="E437">
        <v>0</v>
      </c>
      <c r="F437">
        <v>0</v>
      </c>
      <c r="G437">
        <v>0</v>
      </c>
      <c r="H437">
        <v>0</v>
      </c>
      <c r="I437">
        <v>0</v>
      </c>
      <c r="J437">
        <v>0</v>
      </c>
      <c r="K437">
        <v>0</v>
      </c>
      <c r="L437">
        <v>0</v>
      </c>
      <c r="M437">
        <v>0</v>
      </c>
      <c r="N437">
        <v>0</v>
      </c>
      <c r="O437">
        <v>0</v>
      </c>
      <c r="P437">
        <v>0</v>
      </c>
      <c r="Q437">
        <v>0</v>
      </c>
      <c r="R437">
        <v>0</v>
      </c>
    </row>
    <row r="438" spans="1:18">
      <c r="A438" t="s">
        <v>1746</v>
      </c>
      <c r="B438" t="s">
        <v>194</v>
      </c>
      <c r="C438" t="s">
        <v>171</v>
      </c>
      <c r="D438">
        <v>0</v>
      </c>
      <c r="E438">
        <v>0</v>
      </c>
      <c r="F438">
        <v>0</v>
      </c>
      <c r="G438">
        <v>0</v>
      </c>
      <c r="H438">
        <v>0</v>
      </c>
      <c r="I438">
        <v>0</v>
      </c>
      <c r="J438">
        <v>0</v>
      </c>
      <c r="K438">
        <v>0</v>
      </c>
      <c r="L438">
        <v>0</v>
      </c>
      <c r="M438">
        <v>0</v>
      </c>
      <c r="N438">
        <v>0</v>
      </c>
      <c r="O438">
        <v>0</v>
      </c>
      <c r="P438">
        <v>0</v>
      </c>
      <c r="Q438">
        <v>0</v>
      </c>
      <c r="R438">
        <v>0</v>
      </c>
    </row>
    <row r="439" spans="1:18">
      <c r="A439" t="s">
        <v>1747</v>
      </c>
      <c r="B439" t="s">
        <v>194</v>
      </c>
      <c r="C439" t="s">
        <v>148</v>
      </c>
      <c r="D439">
        <v>0</v>
      </c>
      <c r="E439">
        <v>0</v>
      </c>
      <c r="F439">
        <v>0</v>
      </c>
      <c r="G439">
        <v>0</v>
      </c>
      <c r="H439">
        <v>0</v>
      </c>
      <c r="I439">
        <v>0</v>
      </c>
      <c r="J439">
        <v>0</v>
      </c>
      <c r="K439">
        <v>0</v>
      </c>
      <c r="L439">
        <v>0</v>
      </c>
      <c r="M439">
        <v>0</v>
      </c>
      <c r="N439">
        <v>0</v>
      </c>
      <c r="O439">
        <v>0</v>
      </c>
      <c r="P439">
        <v>0</v>
      </c>
      <c r="Q439">
        <v>0</v>
      </c>
      <c r="R439">
        <v>0</v>
      </c>
    </row>
    <row r="440" spans="1:18">
      <c r="A440" t="s">
        <v>1748</v>
      </c>
      <c r="B440" t="s">
        <v>194</v>
      </c>
      <c r="C440" t="s">
        <v>184</v>
      </c>
      <c r="D440">
        <v>0</v>
      </c>
      <c r="E440">
        <v>0</v>
      </c>
      <c r="F440">
        <v>0</v>
      </c>
      <c r="G440">
        <v>0</v>
      </c>
      <c r="H440">
        <v>0</v>
      </c>
      <c r="I440">
        <v>0</v>
      </c>
      <c r="J440">
        <v>0</v>
      </c>
      <c r="K440">
        <v>0</v>
      </c>
      <c r="L440">
        <v>0</v>
      </c>
      <c r="M440">
        <v>0</v>
      </c>
      <c r="N440">
        <v>0</v>
      </c>
      <c r="O440">
        <v>0</v>
      </c>
      <c r="P440">
        <v>0</v>
      </c>
      <c r="Q440">
        <v>0</v>
      </c>
      <c r="R440">
        <v>0</v>
      </c>
    </row>
    <row r="441" spans="1:18">
      <c r="A441" t="s">
        <v>1749</v>
      </c>
      <c r="B441" t="s">
        <v>194</v>
      </c>
      <c r="C441" s="4" t="s">
        <v>188</v>
      </c>
      <c r="D441">
        <v>1364</v>
      </c>
      <c r="E441">
        <v>1451</v>
      </c>
      <c r="F441">
        <v>1575</v>
      </c>
      <c r="G441">
        <v>1822</v>
      </c>
      <c r="H441">
        <v>1662</v>
      </c>
      <c r="I441">
        <v>1480</v>
      </c>
      <c r="J441">
        <v>1190</v>
      </c>
      <c r="K441">
        <v>997</v>
      </c>
      <c r="L441">
        <v>1038</v>
      </c>
      <c r="M441">
        <v>1059</v>
      </c>
      <c r="N441">
        <v>1068</v>
      </c>
      <c r="O441">
        <v>1021</v>
      </c>
      <c r="P441">
        <v>1014</v>
      </c>
      <c r="Q441">
        <v>849</v>
      </c>
      <c r="R441">
        <v>750</v>
      </c>
    </row>
    <row r="442" spans="1:18">
      <c r="A442" t="s">
        <v>1750</v>
      </c>
      <c r="B442" t="s">
        <v>194</v>
      </c>
      <c r="C442" s="35" t="s">
        <v>189</v>
      </c>
      <c r="D442">
        <v>1878</v>
      </c>
      <c r="E442">
        <v>1963</v>
      </c>
      <c r="F442">
        <v>2017</v>
      </c>
      <c r="G442">
        <v>2110</v>
      </c>
      <c r="H442">
        <v>2188</v>
      </c>
      <c r="I442">
        <v>2298</v>
      </c>
      <c r="J442">
        <v>2418</v>
      </c>
      <c r="K442">
        <v>2394</v>
      </c>
      <c r="L442">
        <v>2347</v>
      </c>
      <c r="M442">
        <v>2282</v>
      </c>
      <c r="N442">
        <v>2211</v>
      </c>
      <c r="O442">
        <v>2150</v>
      </c>
      <c r="P442">
        <v>2082</v>
      </c>
      <c r="Q442">
        <v>1940</v>
      </c>
      <c r="R442">
        <v>1842</v>
      </c>
    </row>
    <row r="443" spans="1:18">
      <c r="A443" t="s">
        <v>1751</v>
      </c>
      <c r="B443" t="s">
        <v>194</v>
      </c>
      <c r="C443" t="s">
        <v>172</v>
      </c>
      <c r="D443">
        <v>712</v>
      </c>
      <c r="E443">
        <v>795</v>
      </c>
      <c r="F443">
        <v>859</v>
      </c>
      <c r="G443">
        <v>979</v>
      </c>
      <c r="H443">
        <v>1076</v>
      </c>
      <c r="I443">
        <v>1144</v>
      </c>
      <c r="J443">
        <v>1233</v>
      </c>
      <c r="K443">
        <v>1189</v>
      </c>
      <c r="L443">
        <v>1029</v>
      </c>
      <c r="M443">
        <v>885</v>
      </c>
      <c r="N443">
        <v>715</v>
      </c>
      <c r="O443">
        <v>654</v>
      </c>
      <c r="P443">
        <v>677</v>
      </c>
      <c r="Q443">
        <v>678</v>
      </c>
      <c r="R443">
        <v>660</v>
      </c>
    </row>
    <row r="444" spans="1:18">
      <c r="A444" t="s">
        <v>1752</v>
      </c>
      <c r="B444" t="s">
        <v>194</v>
      </c>
      <c r="C444" t="s">
        <v>30</v>
      </c>
      <c r="D444">
        <v>1166</v>
      </c>
      <c r="E444">
        <v>1168</v>
      </c>
      <c r="F444">
        <v>1158</v>
      </c>
      <c r="G444">
        <v>1131</v>
      </c>
      <c r="H444">
        <v>1112</v>
      </c>
      <c r="I444">
        <v>1154</v>
      </c>
      <c r="J444">
        <v>1185</v>
      </c>
      <c r="K444">
        <v>1205</v>
      </c>
      <c r="L444">
        <v>1318</v>
      </c>
      <c r="M444">
        <v>1397</v>
      </c>
      <c r="N444">
        <v>1496</v>
      </c>
      <c r="O444">
        <v>1496</v>
      </c>
      <c r="P444">
        <v>1405</v>
      </c>
      <c r="Q444">
        <v>1262</v>
      </c>
      <c r="R444">
        <v>1182</v>
      </c>
    </row>
    <row r="445" spans="1:18">
      <c r="A445" t="s">
        <v>1753</v>
      </c>
      <c r="B445" t="s">
        <v>195</v>
      </c>
      <c r="C445" t="s">
        <v>193</v>
      </c>
      <c r="D445">
        <v>85</v>
      </c>
      <c r="E445">
        <v>72</v>
      </c>
      <c r="F445">
        <v>65</v>
      </c>
      <c r="G445">
        <v>80</v>
      </c>
      <c r="H445">
        <v>100</v>
      </c>
      <c r="I445">
        <v>104</v>
      </c>
      <c r="J445">
        <v>102</v>
      </c>
      <c r="K445">
        <v>84</v>
      </c>
      <c r="L445">
        <v>83</v>
      </c>
      <c r="M445">
        <v>81</v>
      </c>
      <c r="N445">
        <v>88</v>
      </c>
      <c r="O445">
        <v>118</v>
      </c>
      <c r="P445">
        <v>192</v>
      </c>
      <c r="Q445">
        <v>197</v>
      </c>
      <c r="R445">
        <v>185</v>
      </c>
    </row>
    <row r="446" spans="1:18">
      <c r="A446" t="s">
        <v>1754</v>
      </c>
      <c r="B446" t="s">
        <v>195</v>
      </c>
      <c r="C446" s="4" t="s">
        <v>34</v>
      </c>
      <c r="D446">
        <v>79</v>
      </c>
      <c r="E446">
        <v>66</v>
      </c>
      <c r="F446">
        <v>50</v>
      </c>
      <c r="G446">
        <v>64</v>
      </c>
      <c r="H446">
        <v>85</v>
      </c>
      <c r="I446">
        <v>90</v>
      </c>
      <c r="J446">
        <v>84</v>
      </c>
      <c r="K446">
        <v>65</v>
      </c>
      <c r="L446">
        <v>71</v>
      </c>
      <c r="M446">
        <v>68</v>
      </c>
      <c r="N446">
        <v>73</v>
      </c>
      <c r="O446">
        <v>106</v>
      </c>
      <c r="P446">
        <v>150</v>
      </c>
      <c r="Q446">
        <v>160</v>
      </c>
      <c r="R446">
        <v>164</v>
      </c>
    </row>
    <row r="447" spans="1:18">
      <c r="A447" t="s">
        <v>1755</v>
      </c>
      <c r="B447" t="s">
        <v>195</v>
      </c>
      <c r="C447" t="s">
        <v>169</v>
      </c>
      <c r="D447">
        <v>6</v>
      </c>
      <c r="E447">
        <v>6</v>
      </c>
      <c r="F447">
        <v>15</v>
      </c>
      <c r="G447">
        <v>16</v>
      </c>
      <c r="H447">
        <v>15</v>
      </c>
      <c r="I447">
        <v>14</v>
      </c>
      <c r="J447">
        <v>18</v>
      </c>
      <c r="K447">
        <v>19</v>
      </c>
      <c r="L447">
        <v>12</v>
      </c>
      <c r="M447">
        <v>13</v>
      </c>
      <c r="N447">
        <v>15</v>
      </c>
      <c r="O447">
        <v>12</v>
      </c>
      <c r="P447">
        <v>42</v>
      </c>
      <c r="Q447">
        <v>37</v>
      </c>
      <c r="R447">
        <v>21</v>
      </c>
    </row>
    <row r="448" spans="1:18">
      <c r="A448" t="s">
        <v>1756</v>
      </c>
      <c r="B448" t="s">
        <v>195</v>
      </c>
      <c r="C448" t="s">
        <v>170</v>
      </c>
      <c r="D448">
        <v>0</v>
      </c>
      <c r="E448">
        <v>0</v>
      </c>
      <c r="F448">
        <v>0</v>
      </c>
      <c r="G448">
        <v>0</v>
      </c>
      <c r="H448">
        <v>0</v>
      </c>
      <c r="I448">
        <v>0</v>
      </c>
      <c r="J448">
        <v>0</v>
      </c>
      <c r="K448">
        <v>0</v>
      </c>
      <c r="L448">
        <v>0</v>
      </c>
      <c r="M448">
        <v>0</v>
      </c>
      <c r="N448">
        <v>0</v>
      </c>
      <c r="O448">
        <v>0</v>
      </c>
      <c r="P448">
        <v>0</v>
      </c>
      <c r="Q448">
        <v>0</v>
      </c>
      <c r="R448">
        <v>0</v>
      </c>
    </row>
    <row r="449" spans="1:18">
      <c r="A449" t="s">
        <v>1757</v>
      </c>
      <c r="B449" t="s">
        <v>195</v>
      </c>
      <c r="C449" t="s">
        <v>171</v>
      </c>
      <c r="D449">
        <v>0</v>
      </c>
      <c r="E449">
        <v>0</v>
      </c>
      <c r="F449">
        <v>0</v>
      </c>
      <c r="G449">
        <v>0</v>
      </c>
      <c r="H449">
        <v>0</v>
      </c>
      <c r="I449">
        <v>0</v>
      </c>
      <c r="J449">
        <v>0</v>
      </c>
      <c r="K449">
        <v>0</v>
      </c>
      <c r="L449">
        <v>0</v>
      </c>
      <c r="M449">
        <v>0</v>
      </c>
      <c r="N449">
        <v>0</v>
      </c>
      <c r="O449">
        <v>0</v>
      </c>
      <c r="P449">
        <v>0</v>
      </c>
      <c r="Q449">
        <v>0</v>
      </c>
      <c r="R449">
        <v>0</v>
      </c>
    </row>
    <row r="450" spans="1:18">
      <c r="A450" t="s">
        <v>1758</v>
      </c>
      <c r="B450" t="s">
        <v>195</v>
      </c>
      <c r="C450" t="s">
        <v>148</v>
      </c>
      <c r="D450">
        <v>0</v>
      </c>
      <c r="E450">
        <v>0</v>
      </c>
      <c r="F450">
        <v>0</v>
      </c>
      <c r="G450">
        <v>0</v>
      </c>
      <c r="H450">
        <v>0</v>
      </c>
      <c r="I450">
        <v>0</v>
      </c>
      <c r="J450">
        <v>0</v>
      </c>
      <c r="K450">
        <v>0</v>
      </c>
      <c r="L450">
        <v>0</v>
      </c>
      <c r="M450">
        <v>0</v>
      </c>
      <c r="N450">
        <v>0</v>
      </c>
      <c r="O450">
        <v>0</v>
      </c>
      <c r="P450">
        <v>0</v>
      </c>
      <c r="Q450">
        <v>0</v>
      </c>
      <c r="R450">
        <v>0</v>
      </c>
    </row>
    <row r="451" spans="1:18">
      <c r="A451" t="s">
        <v>1759</v>
      </c>
      <c r="B451" t="s">
        <v>195</v>
      </c>
      <c r="C451" t="s">
        <v>184</v>
      </c>
      <c r="D451">
        <v>0</v>
      </c>
      <c r="E451">
        <v>0</v>
      </c>
      <c r="F451">
        <v>0</v>
      </c>
      <c r="G451">
        <v>0</v>
      </c>
      <c r="H451">
        <v>0</v>
      </c>
      <c r="I451">
        <v>0</v>
      </c>
      <c r="J451">
        <v>0</v>
      </c>
      <c r="K451">
        <v>0</v>
      </c>
      <c r="L451">
        <v>0</v>
      </c>
      <c r="M451">
        <v>0</v>
      </c>
      <c r="N451">
        <v>0</v>
      </c>
      <c r="O451">
        <v>0</v>
      </c>
      <c r="P451">
        <v>0</v>
      </c>
      <c r="Q451">
        <v>0</v>
      </c>
      <c r="R451">
        <v>0</v>
      </c>
    </row>
    <row r="452" spans="1:18">
      <c r="A452" t="s">
        <v>1760</v>
      </c>
      <c r="B452" t="s">
        <v>195</v>
      </c>
      <c r="C452" s="4" t="s">
        <v>188</v>
      </c>
      <c r="D452">
        <v>5</v>
      </c>
      <c r="E452">
        <v>6</v>
      </c>
      <c r="F452">
        <v>14</v>
      </c>
      <c r="G452">
        <v>12</v>
      </c>
      <c r="H452">
        <v>11</v>
      </c>
      <c r="I452">
        <v>11</v>
      </c>
      <c r="J452">
        <v>7</v>
      </c>
      <c r="K452">
        <v>8</v>
      </c>
      <c r="L452">
        <v>3</v>
      </c>
      <c r="M452">
        <v>3</v>
      </c>
      <c r="N452">
        <v>6</v>
      </c>
      <c r="O452">
        <v>4</v>
      </c>
      <c r="P452">
        <v>17</v>
      </c>
      <c r="Q452">
        <v>14</v>
      </c>
      <c r="R452">
        <v>7</v>
      </c>
    </row>
    <row r="453" spans="1:18">
      <c r="A453" t="s">
        <v>1761</v>
      </c>
      <c r="B453" t="s">
        <v>195</v>
      </c>
      <c r="C453" s="35" t="s">
        <v>189</v>
      </c>
      <c r="D453">
        <v>1</v>
      </c>
      <c r="E453">
        <v>0</v>
      </c>
      <c r="F453">
        <v>1</v>
      </c>
      <c r="G453">
        <v>4</v>
      </c>
      <c r="H453">
        <v>4</v>
      </c>
      <c r="I453">
        <v>3</v>
      </c>
      <c r="J453">
        <v>11</v>
      </c>
      <c r="K453">
        <v>11</v>
      </c>
      <c r="L453">
        <v>9</v>
      </c>
      <c r="M453">
        <v>10</v>
      </c>
      <c r="N453">
        <v>9</v>
      </c>
      <c r="O453">
        <v>8</v>
      </c>
      <c r="P453">
        <v>25</v>
      </c>
      <c r="Q453">
        <v>23</v>
      </c>
      <c r="R453">
        <v>14</v>
      </c>
    </row>
    <row r="454" spans="1:18">
      <c r="A454" t="s">
        <v>1762</v>
      </c>
      <c r="B454" t="s">
        <v>195</v>
      </c>
      <c r="C454" t="s">
        <v>172</v>
      </c>
      <c r="D454">
        <v>0</v>
      </c>
      <c r="E454">
        <v>0</v>
      </c>
      <c r="F454">
        <v>0</v>
      </c>
      <c r="G454">
        <v>4</v>
      </c>
      <c r="H454">
        <v>4</v>
      </c>
      <c r="I454">
        <v>3</v>
      </c>
      <c r="J454">
        <v>10</v>
      </c>
      <c r="K454">
        <v>7</v>
      </c>
      <c r="L454">
        <v>5</v>
      </c>
      <c r="M454">
        <v>5</v>
      </c>
      <c r="N454">
        <v>1</v>
      </c>
      <c r="O454">
        <v>2</v>
      </c>
      <c r="P454">
        <v>10</v>
      </c>
      <c r="Q454">
        <v>12</v>
      </c>
      <c r="R454">
        <v>6</v>
      </c>
    </row>
    <row r="455" spans="1:18">
      <c r="A455" t="s">
        <v>1763</v>
      </c>
      <c r="B455" t="s">
        <v>195</v>
      </c>
      <c r="C455" t="s">
        <v>30</v>
      </c>
      <c r="D455">
        <v>1</v>
      </c>
      <c r="E455">
        <v>0</v>
      </c>
      <c r="F455">
        <v>1</v>
      </c>
      <c r="G455">
        <v>0</v>
      </c>
      <c r="H455">
        <v>0</v>
      </c>
      <c r="I455">
        <v>0</v>
      </c>
      <c r="J455">
        <v>1</v>
      </c>
      <c r="K455">
        <v>4</v>
      </c>
      <c r="L455">
        <v>4</v>
      </c>
      <c r="M455">
        <v>5</v>
      </c>
      <c r="N455">
        <v>8</v>
      </c>
      <c r="O455">
        <v>6</v>
      </c>
      <c r="P455">
        <v>15</v>
      </c>
      <c r="Q455">
        <v>11</v>
      </c>
      <c r="R455">
        <v>8</v>
      </c>
    </row>
    <row r="456" spans="1:18">
      <c r="A456" t="s">
        <v>1764</v>
      </c>
      <c r="B456" t="s">
        <v>196</v>
      </c>
      <c r="C456" t="s">
        <v>193</v>
      </c>
      <c r="D456">
        <v>6031</v>
      </c>
      <c r="E456">
        <v>5917</v>
      </c>
      <c r="F456">
        <v>5964</v>
      </c>
      <c r="G456">
        <v>6105</v>
      </c>
      <c r="H456">
        <v>6110</v>
      </c>
      <c r="I456">
        <v>6036</v>
      </c>
      <c r="J456">
        <v>6178</v>
      </c>
      <c r="K456">
        <v>5928</v>
      </c>
      <c r="L456">
        <v>5658</v>
      </c>
      <c r="M456">
        <v>5571</v>
      </c>
      <c r="N456">
        <v>5418</v>
      </c>
      <c r="O456">
        <v>5425</v>
      </c>
      <c r="P456">
        <v>5380</v>
      </c>
      <c r="Q456">
        <v>5252</v>
      </c>
      <c r="R456">
        <v>5111</v>
      </c>
    </row>
    <row r="457" spans="1:18">
      <c r="A457" t="s">
        <v>1765</v>
      </c>
      <c r="B457" t="s">
        <v>196</v>
      </c>
      <c r="C457" s="4" t="s">
        <v>34</v>
      </c>
      <c r="D457">
        <v>2688</v>
      </c>
      <c r="E457">
        <v>2396</v>
      </c>
      <c r="F457">
        <v>2267</v>
      </c>
      <c r="G457">
        <v>2097</v>
      </c>
      <c r="H457">
        <v>2202</v>
      </c>
      <c r="I457">
        <v>2197</v>
      </c>
      <c r="J457">
        <v>2496</v>
      </c>
      <c r="K457">
        <v>2453</v>
      </c>
      <c r="L457">
        <v>2180</v>
      </c>
      <c r="M457">
        <v>2142</v>
      </c>
      <c r="N457">
        <v>2050</v>
      </c>
      <c r="O457">
        <v>2185</v>
      </c>
      <c r="P457">
        <v>2220</v>
      </c>
      <c r="Q457">
        <v>2403</v>
      </c>
      <c r="R457">
        <v>2441</v>
      </c>
    </row>
    <row r="458" spans="1:18">
      <c r="A458" t="s">
        <v>1766</v>
      </c>
      <c r="B458" t="s">
        <v>196</v>
      </c>
      <c r="C458" t="s">
        <v>169</v>
      </c>
      <c r="D458">
        <v>3343</v>
      </c>
      <c r="E458">
        <v>3521</v>
      </c>
      <c r="F458">
        <v>3697</v>
      </c>
      <c r="G458">
        <v>4008</v>
      </c>
      <c r="H458">
        <v>3908</v>
      </c>
      <c r="I458">
        <v>3839</v>
      </c>
      <c r="J458">
        <v>3682</v>
      </c>
      <c r="K458">
        <v>3475</v>
      </c>
      <c r="L458">
        <v>3478</v>
      </c>
      <c r="M458">
        <v>3429</v>
      </c>
      <c r="N458">
        <v>3368</v>
      </c>
      <c r="O458">
        <v>3240</v>
      </c>
      <c r="P458">
        <v>3160</v>
      </c>
      <c r="Q458">
        <v>2849</v>
      </c>
      <c r="R458">
        <v>2670</v>
      </c>
    </row>
    <row r="459" spans="1:18">
      <c r="A459" t="s">
        <v>1767</v>
      </c>
      <c r="B459" t="s">
        <v>196</v>
      </c>
      <c r="C459" t="s">
        <v>170</v>
      </c>
      <c r="D459">
        <v>0</v>
      </c>
      <c r="E459">
        <v>0</v>
      </c>
      <c r="F459">
        <v>0</v>
      </c>
      <c r="G459">
        <v>0</v>
      </c>
      <c r="H459">
        <v>0</v>
      </c>
      <c r="I459">
        <v>0</v>
      </c>
      <c r="J459">
        <v>0</v>
      </c>
      <c r="K459">
        <v>0</v>
      </c>
      <c r="L459">
        <v>0</v>
      </c>
      <c r="M459">
        <v>0</v>
      </c>
      <c r="N459">
        <v>0</v>
      </c>
      <c r="O459">
        <v>0</v>
      </c>
      <c r="P459">
        <v>0</v>
      </c>
      <c r="Q459">
        <v>0</v>
      </c>
      <c r="R459">
        <v>0</v>
      </c>
    </row>
    <row r="460" spans="1:18">
      <c r="A460" t="s">
        <v>1768</v>
      </c>
      <c r="B460" t="s">
        <v>196</v>
      </c>
      <c r="C460" t="s">
        <v>171</v>
      </c>
      <c r="D460">
        <v>0</v>
      </c>
      <c r="E460">
        <v>0</v>
      </c>
      <c r="F460">
        <v>0</v>
      </c>
      <c r="G460">
        <v>0</v>
      </c>
      <c r="H460">
        <v>0</v>
      </c>
      <c r="I460">
        <v>0</v>
      </c>
      <c r="J460">
        <v>0</v>
      </c>
      <c r="K460">
        <v>0</v>
      </c>
      <c r="L460">
        <v>0</v>
      </c>
      <c r="M460">
        <v>0</v>
      </c>
      <c r="N460">
        <v>0</v>
      </c>
      <c r="O460">
        <v>0</v>
      </c>
      <c r="P460">
        <v>0</v>
      </c>
      <c r="Q460">
        <v>0</v>
      </c>
      <c r="R460">
        <v>0</v>
      </c>
    </row>
    <row r="461" spans="1:18">
      <c r="A461" t="s">
        <v>1769</v>
      </c>
      <c r="B461" t="s">
        <v>196</v>
      </c>
      <c r="C461" t="s">
        <v>148</v>
      </c>
      <c r="D461">
        <v>0</v>
      </c>
      <c r="E461">
        <v>0</v>
      </c>
      <c r="F461">
        <v>0</v>
      </c>
      <c r="G461">
        <v>0</v>
      </c>
      <c r="H461">
        <v>0</v>
      </c>
      <c r="I461">
        <v>0</v>
      </c>
      <c r="J461">
        <v>0</v>
      </c>
      <c r="K461">
        <v>0</v>
      </c>
      <c r="L461">
        <v>0</v>
      </c>
      <c r="M461">
        <v>0</v>
      </c>
      <c r="N461">
        <v>0</v>
      </c>
      <c r="O461">
        <v>0</v>
      </c>
      <c r="P461">
        <v>0</v>
      </c>
      <c r="Q461">
        <v>0</v>
      </c>
      <c r="R461">
        <v>0</v>
      </c>
    </row>
    <row r="462" spans="1:18">
      <c r="A462" t="s">
        <v>1770</v>
      </c>
      <c r="B462" t="s">
        <v>196</v>
      </c>
      <c r="C462" t="s">
        <v>184</v>
      </c>
      <c r="D462">
        <v>0</v>
      </c>
      <c r="E462">
        <v>0</v>
      </c>
      <c r="F462">
        <v>0</v>
      </c>
      <c r="G462">
        <v>0</v>
      </c>
      <c r="H462">
        <v>0</v>
      </c>
      <c r="I462">
        <v>0</v>
      </c>
      <c r="J462">
        <v>0</v>
      </c>
      <c r="K462">
        <v>0</v>
      </c>
      <c r="L462">
        <v>0</v>
      </c>
      <c r="M462">
        <v>0</v>
      </c>
      <c r="N462">
        <v>0</v>
      </c>
      <c r="O462">
        <v>0</v>
      </c>
      <c r="P462">
        <v>0</v>
      </c>
      <c r="Q462">
        <v>0</v>
      </c>
      <c r="R462">
        <v>0</v>
      </c>
    </row>
    <row r="463" spans="1:18">
      <c r="A463" t="s">
        <v>1771</v>
      </c>
      <c r="B463" t="s">
        <v>196</v>
      </c>
      <c r="C463" s="4" t="s">
        <v>188</v>
      </c>
      <c r="D463">
        <v>1392</v>
      </c>
      <c r="E463">
        <v>1478</v>
      </c>
      <c r="F463">
        <v>1588</v>
      </c>
      <c r="G463">
        <v>1810</v>
      </c>
      <c r="H463">
        <v>1636</v>
      </c>
      <c r="I463">
        <v>1450</v>
      </c>
      <c r="J463">
        <v>1154</v>
      </c>
      <c r="K463">
        <v>990</v>
      </c>
      <c r="L463">
        <v>1046</v>
      </c>
      <c r="M463">
        <v>1067</v>
      </c>
      <c r="N463">
        <v>1085</v>
      </c>
      <c r="O463">
        <v>1018</v>
      </c>
      <c r="P463">
        <v>997</v>
      </c>
      <c r="Q463">
        <v>824</v>
      </c>
      <c r="R463">
        <v>754</v>
      </c>
    </row>
    <row r="464" spans="1:18">
      <c r="A464" t="s">
        <v>1772</v>
      </c>
      <c r="B464" t="s">
        <v>196</v>
      </c>
      <c r="C464" s="35" t="s">
        <v>189</v>
      </c>
      <c r="D464">
        <v>1951</v>
      </c>
      <c r="E464">
        <v>2043</v>
      </c>
      <c r="F464">
        <v>2109</v>
      </c>
      <c r="G464">
        <v>2198</v>
      </c>
      <c r="H464">
        <v>2272</v>
      </c>
      <c r="I464">
        <v>2389</v>
      </c>
      <c r="J464">
        <v>2528</v>
      </c>
      <c r="K464">
        <v>2485</v>
      </c>
      <c r="L464">
        <v>2432</v>
      </c>
      <c r="M464">
        <v>2362</v>
      </c>
      <c r="N464">
        <v>2283</v>
      </c>
      <c r="O464">
        <v>2222</v>
      </c>
      <c r="P464">
        <v>2163</v>
      </c>
      <c r="Q464">
        <v>2025</v>
      </c>
      <c r="R464">
        <v>1916</v>
      </c>
    </row>
    <row r="465" spans="1:18">
      <c r="A465" t="s">
        <v>1773</v>
      </c>
      <c r="B465" t="s">
        <v>196</v>
      </c>
      <c r="C465" t="s">
        <v>172</v>
      </c>
      <c r="D465">
        <v>763</v>
      </c>
      <c r="E465">
        <v>842</v>
      </c>
      <c r="F465">
        <v>911</v>
      </c>
      <c r="G465">
        <v>1023</v>
      </c>
      <c r="H465">
        <v>1093</v>
      </c>
      <c r="I465">
        <v>1162</v>
      </c>
      <c r="J465">
        <v>1255</v>
      </c>
      <c r="K465">
        <v>1194</v>
      </c>
      <c r="L465">
        <v>1032</v>
      </c>
      <c r="M465">
        <v>885</v>
      </c>
      <c r="N465">
        <v>702</v>
      </c>
      <c r="O465">
        <v>647</v>
      </c>
      <c r="P465">
        <v>678</v>
      </c>
      <c r="Q465">
        <v>690</v>
      </c>
      <c r="R465">
        <v>679</v>
      </c>
    </row>
    <row r="466" spans="1:18">
      <c r="A466" t="s">
        <v>1774</v>
      </c>
      <c r="B466" t="s">
        <v>196</v>
      </c>
      <c r="C466" t="s">
        <v>30</v>
      </c>
      <c r="D466">
        <v>1188</v>
      </c>
      <c r="E466">
        <v>1201</v>
      </c>
      <c r="F466">
        <v>1198</v>
      </c>
      <c r="G466">
        <v>1175</v>
      </c>
      <c r="H466">
        <v>1179</v>
      </c>
      <c r="I466">
        <v>1227</v>
      </c>
      <c r="J466">
        <v>1273</v>
      </c>
      <c r="K466">
        <v>1291</v>
      </c>
      <c r="L466">
        <v>1400</v>
      </c>
      <c r="M466">
        <v>1477</v>
      </c>
      <c r="N466">
        <v>1581</v>
      </c>
      <c r="O466">
        <v>1575</v>
      </c>
      <c r="P466">
        <v>1485</v>
      </c>
      <c r="Q466">
        <v>1335</v>
      </c>
      <c r="R466">
        <v>1237</v>
      </c>
    </row>
    <row r="467" spans="1:18">
      <c r="A467" t="s">
        <v>1775</v>
      </c>
      <c r="B467" t="s">
        <v>196</v>
      </c>
      <c r="C467" t="s">
        <v>177</v>
      </c>
      <c r="D467">
        <v>0</v>
      </c>
      <c r="E467">
        <v>0</v>
      </c>
      <c r="F467">
        <v>0</v>
      </c>
      <c r="G467">
        <v>0</v>
      </c>
      <c r="H467">
        <v>0</v>
      </c>
      <c r="I467">
        <v>0</v>
      </c>
      <c r="J467">
        <v>0</v>
      </c>
      <c r="K467">
        <v>0</v>
      </c>
      <c r="L467">
        <v>0</v>
      </c>
      <c r="M467">
        <v>0</v>
      </c>
      <c r="N467">
        <v>0</v>
      </c>
      <c r="O467">
        <v>0</v>
      </c>
      <c r="P467">
        <v>0</v>
      </c>
      <c r="Q467">
        <v>0</v>
      </c>
      <c r="R467">
        <v>0</v>
      </c>
    </row>
    <row r="468" spans="1:18">
      <c r="A468" t="s">
        <v>1776</v>
      </c>
      <c r="B468" t="s">
        <v>196</v>
      </c>
      <c r="C468" t="s">
        <v>178</v>
      </c>
      <c r="D468">
        <v>0</v>
      </c>
      <c r="E468">
        <v>0</v>
      </c>
      <c r="F468">
        <v>0</v>
      </c>
      <c r="G468">
        <v>0</v>
      </c>
      <c r="H468">
        <v>0</v>
      </c>
      <c r="I468">
        <v>0</v>
      </c>
      <c r="J468">
        <v>0</v>
      </c>
      <c r="K468">
        <v>0</v>
      </c>
      <c r="L468">
        <v>0</v>
      </c>
      <c r="M468">
        <v>0</v>
      </c>
      <c r="N468">
        <v>0</v>
      </c>
      <c r="O468">
        <v>0</v>
      </c>
      <c r="P468">
        <v>0</v>
      </c>
      <c r="Q468">
        <v>0</v>
      </c>
      <c r="R468">
        <v>0</v>
      </c>
    </row>
    <row r="469" spans="1:18">
      <c r="A469" t="s">
        <v>1777</v>
      </c>
      <c r="B469" t="s">
        <v>197</v>
      </c>
      <c r="C469" t="s">
        <v>193</v>
      </c>
      <c r="D469">
        <v>6031</v>
      </c>
      <c r="E469">
        <v>5917</v>
      </c>
      <c r="F469">
        <v>5964</v>
      </c>
      <c r="G469">
        <v>6105</v>
      </c>
      <c r="H469">
        <v>6110</v>
      </c>
      <c r="I469">
        <v>6036</v>
      </c>
      <c r="J469">
        <v>6178</v>
      </c>
      <c r="K469">
        <v>5928</v>
      </c>
      <c r="L469">
        <v>5658</v>
      </c>
      <c r="M469">
        <v>5571</v>
      </c>
      <c r="N469">
        <v>5418</v>
      </c>
      <c r="O469">
        <v>5425</v>
      </c>
      <c r="P469">
        <v>5380</v>
      </c>
      <c r="Q469">
        <v>5252</v>
      </c>
      <c r="R469">
        <v>5111</v>
      </c>
    </row>
    <row r="470" spans="1:18">
      <c r="A470" t="s">
        <v>1778</v>
      </c>
      <c r="B470" t="s">
        <v>197</v>
      </c>
      <c r="C470" s="4" t="s">
        <v>34</v>
      </c>
      <c r="D470">
        <v>2688</v>
      </c>
      <c r="E470">
        <v>2396</v>
      </c>
      <c r="F470">
        <v>2267</v>
      </c>
      <c r="G470">
        <v>2097</v>
      </c>
      <c r="H470">
        <v>2202</v>
      </c>
      <c r="I470">
        <v>2197</v>
      </c>
      <c r="J470">
        <v>2496</v>
      </c>
      <c r="K470">
        <v>2453</v>
      </c>
      <c r="L470">
        <v>2180</v>
      </c>
      <c r="M470">
        <v>2142</v>
      </c>
      <c r="N470">
        <v>2050</v>
      </c>
      <c r="O470">
        <v>2185</v>
      </c>
      <c r="P470">
        <v>2220</v>
      </c>
      <c r="Q470">
        <v>2403</v>
      </c>
      <c r="R470">
        <v>2441</v>
      </c>
    </row>
    <row r="471" spans="1:18">
      <c r="A471" t="s">
        <v>1779</v>
      </c>
      <c r="B471" t="s">
        <v>197</v>
      </c>
      <c r="C471" t="s">
        <v>169</v>
      </c>
      <c r="D471">
        <v>1392</v>
      </c>
      <c r="E471">
        <v>1478</v>
      </c>
      <c r="F471">
        <v>1588</v>
      </c>
      <c r="G471">
        <v>1810</v>
      </c>
      <c r="H471">
        <v>1636</v>
      </c>
      <c r="I471">
        <v>1450</v>
      </c>
      <c r="J471">
        <v>1154</v>
      </c>
      <c r="K471">
        <v>990</v>
      </c>
      <c r="L471">
        <v>1046</v>
      </c>
      <c r="M471">
        <v>1067</v>
      </c>
      <c r="N471">
        <v>1085</v>
      </c>
      <c r="O471">
        <v>1018</v>
      </c>
      <c r="P471">
        <v>997</v>
      </c>
      <c r="Q471">
        <v>824</v>
      </c>
      <c r="R471">
        <v>754</v>
      </c>
    </row>
    <row r="472" spans="1:18">
      <c r="A472" t="s">
        <v>1780</v>
      </c>
      <c r="B472" t="s">
        <v>197</v>
      </c>
      <c r="C472" t="s">
        <v>170</v>
      </c>
      <c r="D472">
        <v>763</v>
      </c>
      <c r="E472">
        <v>842</v>
      </c>
      <c r="F472">
        <v>911</v>
      </c>
      <c r="G472">
        <v>1023</v>
      </c>
      <c r="H472">
        <v>1093</v>
      </c>
      <c r="I472">
        <v>1162</v>
      </c>
      <c r="J472">
        <v>1255</v>
      </c>
      <c r="K472">
        <v>1194</v>
      </c>
      <c r="L472">
        <v>1032</v>
      </c>
      <c r="M472">
        <v>885</v>
      </c>
      <c r="N472">
        <v>702</v>
      </c>
      <c r="O472">
        <v>647</v>
      </c>
      <c r="P472">
        <v>678</v>
      </c>
      <c r="Q472">
        <v>690</v>
      </c>
      <c r="R472">
        <v>679</v>
      </c>
    </row>
    <row r="473" spans="1:18">
      <c r="A473" t="s">
        <v>1781</v>
      </c>
      <c r="B473" t="s">
        <v>197</v>
      </c>
      <c r="C473" t="s">
        <v>171</v>
      </c>
      <c r="D473">
        <v>1188</v>
      </c>
      <c r="E473">
        <v>1201</v>
      </c>
      <c r="F473">
        <v>1198</v>
      </c>
      <c r="G473">
        <v>1175</v>
      </c>
      <c r="H473">
        <v>1179</v>
      </c>
      <c r="I473">
        <v>1227</v>
      </c>
      <c r="J473">
        <v>1273</v>
      </c>
      <c r="K473">
        <v>1291</v>
      </c>
      <c r="L473">
        <v>1400</v>
      </c>
      <c r="M473">
        <v>1477</v>
      </c>
      <c r="N473">
        <v>1581</v>
      </c>
      <c r="O473">
        <v>1575</v>
      </c>
      <c r="P473">
        <v>1485</v>
      </c>
      <c r="Q473">
        <v>1335</v>
      </c>
      <c r="R473">
        <v>1237</v>
      </c>
    </row>
    <row r="474" spans="1:18">
      <c r="A474" t="s">
        <v>1782</v>
      </c>
      <c r="B474" t="s">
        <v>197</v>
      </c>
      <c r="C474" t="s">
        <v>148</v>
      </c>
      <c r="D474">
        <v>0</v>
      </c>
      <c r="E474">
        <v>0</v>
      </c>
      <c r="F474">
        <v>0</v>
      </c>
      <c r="G474">
        <v>0</v>
      </c>
      <c r="H474">
        <v>0</v>
      </c>
      <c r="I474">
        <v>0</v>
      </c>
      <c r="J474">
        <v>0</v>
      </c>
      <c r="K474">
        <v>0</v>
      </c>
      <c r="L474">
        <v>0</v>
      </c>
      <c r="M474">
        <v>0</v>
      </c>
      <c r="N474">
        <v>0</v>
      </c>
      <c r="O474">
        <v>0</v>
      </c>
      <c r="P474">
        <v>0</v>
      </c>
      <c r="Q474">
        <v>0</v>
      </c>
      <c r="R474">
        <v>0</v>
      </c>
    </row>
    <row r="475" spans="1:18">
      <c r="A475" t="s">
        <v>1783</v>
      </c>
      <c r="B475" t="s">
        <v>197</v>
      </c>
      <c r="C475" t="s">
        <v>184</v>
      </c>
      <c r="D475">
        <v>0</v>
      </c>
      <c r="E475">
        <v>0</v>
      </c>
      <c r="F475">
        <v>0</v>
      </c>
      <c r="G475">
        <v>0</v>
      </c>
      <c r="H475">
        <v>0</v>
      </c>
      <c r="I475">
        <v>0</v>
      </c>
      <c r="J475">
        <v>0</v>
      </c>
      <c r="K475">
        <v>0</v>
      </c>
      <c r="L475">
        <v>0</v>
      </c>
      <c r="M475">
        <v>0</v>
      </c>
      <c r="N475">
        <v>0</v>
      </c>
      <c r="O475">
        <v>0</v>
      </c>
      <c r="P475">
        <v>0</v>
      </c>
      <c r="Q475">
        <v>0</v>
      </c>
      <c r="R475">
        <v>0</v>
      </c>
    </row>
    <row r="476" spans="1:18">
      <c r="A476" t="s">
        <v>1784</v>
      </c>
      <c r="B476" t="s">
        <v>197</v>
      </c>
      <c r="C476" s="4" t="s">
        <v>188</v>
      </c>
      <c r="D476">
        <v>3343</v>
      </c>
      <c r="E476">
        <v>3521</v>
      </c>
      <c r="F476">
        <v>3697</v>
      </c>
      <c r="G476">
        <v>4008</v>
      </c>
      <c r="H476">
        <v>3908</v>
      </c>
      <c r="I476">
        <v>3839</v>
      </c>
      <c r="J476">
        <v>3682</v>
      </c>
      <c r="K476">
        <v>3475</v>
      </c>
      <c r="L476">
        <v>3478</v>
      </c>
      <c r="M476">
        <v>3429</v>
      </c>
      <c r="N476">
        <v>3368</v>
      </c>
      <c r="O476">
        <v>3240</v>
      </c>
      <c r="P476">
        <v>3160</v>
      </c>
      <c r="Q476">
        <v>2849</v>
      </c>
      <c r="R476">
        <v>2670</v>
      </c>
    </row>
    <row r="477" spans="1:18">
      <c r="A477" t="s">
        <v>1785</v>
      </c>
      <c r="B477" t="s">
        <v>197</v>
      </c>
      <c r="C477" s="35" t="s">
        <v>189</v>
      </c>
      <c r="D477">
        <v>1951</v>
      </c>
      <c r="E477">
        <v>2043</v>
      </c>
      <c r="F477">
        <v>2109</v>
      </c>
      <c r="G477">
        <v>2198</v>
      </c>
      <c r="H477">
        <v>2272</v>
      </c>
      <c r="I477">
        <v>2389</v>
      </c>
      <c r="J477">
        <v>2528</v>
      </c>
      <c r="K477">
        <v>2485</v>
      </c>
      <c r="L477">
        <v>2432</v>
      </c>
      <c r="M477">
        <v>2362</v>
      </c>
      <c r="N477">
        <v>2283</v>
      </c>
      <c r="O477">
        <v>2222</v>
      </c>
      <c r="P477">
        <v>2163</v>
      </c>
      <c r="Q477">
        <v>2025</v>
      </c>
      <c r="R477">
        <v>1916</v>
      </c>
    </row>
    <row r="478" spans="1:18">
      <c r="A478" t="s">
        <v>1786</v>
      </c>
      <c r="B478" t="s">
        <v>197</v>
      </c>
      <c r="C478" t="s">
        <v>172</v>
      </c>
      <c r="D478">
        <v>0</v>
      </c>
      <c r="E478">
        <v>0</v>
      </c>
      <c r="F478">
        <v>0</v>
      </c>
      <c r="G478">
        <v>0</v>
      </c>
      <c r="H478">
        <v>0</v>
      </c>
      <c r="I478">
        <v>0</v>
      </c>
      <c r="J478">
        <v>0</v>
      </c>
      <c r="K478">
        <v>0</v>
      </c>
      <c r="L478">
        <v>0</v>
      </c>
      <c r="M478">
        <v>0</v>
      </c>
      <c r="N478">
        <v>0</v>
      </c>
      <c r="O478">
        <v>0</v>
      </c>
      <c r="P478">
        <v>0</v>
      </c>
      <c r="Q478">
        <v>0</v>
      </c>
      <c r="R478">
        <v>0</v>
      </c>
    </row>
    <row r="479" spans="1:18">
      <c r="A479" t="s">
        <v>1787</v>
      </c>
      <c r="B479" t="s">
        <v>197</v>
      </c>
      <c r="C479" t="s">
        <v>30</v>
      </c>
      <c r="D479">
        <v>0</v>
      </c>
      <c r="E479">
        <v>0</v>
      </c>
      <c r="F479">
        <v>0</v>
      </c>
      <c r="G479">
        <v>0</v>
      </c>
      <c r="H479">
        <v>0</v>
      </c>
      <c r="I479">
        <v>0</v>
      </c>
      <c r="J479">
        <v>0</v>
      </c>
      <c r="K479">
        <v>0</v>
      </c>
      <c r="L479">
        <v>0</v>
      </c>
      <c r="M479">
        <v>0</v>
      </c>
      <c r="N479">
        <v>0</v>
      </c>
      <c r="O479">
        <v>0</v>
      </c>
      <c r="P479">
        <v>0</v>
      </c>
      <c r="Q479">
        <v>0</v>
      </c>
      <c r="R479">
        <v>0</v>
      </c>
    </row>
    <row r="480" spans="1:18">
      <c r="A480" t="s">
        <v>1788</v>
      </c>
      <c r="B480" t="s">
        <v>197</v>
      </c>
      <c r="C480" t="s">
        <v>177</v>
      </c>
      <c r="D480">
        <v>0</v>
      </c>
      <c r="E480">
        <v>0</v>
      </c>
      <c r="F480">
        <v>0</v>
      </c>
      <c r="G480">
        <v>0</v>
      </c>
      <c r="H480">
        <v>0</v>
      </c>
      <c r="I480">
        <v>0</v>
      </c>
      <c r="J480">
        <v>0</v>
      </c>
      <c r="K480">
        <v>0</v>
      </c>
      <c r="L480">
        <v>0</v>
      </c>
      <c r="M480">
        <v>0</v>
      </c>
      <c r="N480">
        <v>0</v>
      </c>
      <c r="O480">
        <v>0</v>
      </c>
      <c r="P480">
        <v>0</v>
      </c>
      <c r="Q480">
        <v>0</v>
      </c>
      <c r="R480">
        <v>0</v>
      </c>
    </row>
    <row r="481" spans="1:18">
      <c r="A481" t="s">
        <v>1789</v>
      </c>
      <c r="B481" t="s">
        <v>197</v>
      </c>
      <c r="C481" t="s">
        <v>178</v>
      </c>
      <c r="D481">
        <v>0</v>
      </c>
      <c r="E481">
        <v>0</v>
      </c>
      <c r="F481">
        <v>0</v>
      </c>
      <c r="G481">
        <v>0</v>
      </c>
      <c r="H481">
        <v>0</v>
      </c>
      <c r="I481">
        <v>0</v>
      </c>
      <c r="J481">
        <v>0</v>
      </c>
      <c r="K481">
        <v>0</v>
      </c>
      <c r="L481">
        <v>0</v>
      </c>
      <c r="M481">
        <v>0</v>
      </c>
      <c r="N481">
        <v>0</v>
      </c>
      <c r="O481">
        <v>0</v>
      </c>
      <c r="P481">
        <v>0</v>
      </c>
      <c r="Q481">
        <v>0</v>
      </c>
      <c r="R481">
        <v>0</v>
      </c>
    </row>
    <row r="482" spans="1:18">
      <c r="A482" t="s">
        <v>1790</v>
      </c>
      <c r="B482" t="s">
        <v>194</v>
      </c>
      <c r="C482" t="s">
        <v>193</v>
      </c>
      <c r="D482">
        <v>0</v>
      </c>
      <c r="E482">
        <v>0</v>
      </c>
      <c r="F482">
        <v>0</v>
      </c>
      <c r="G482">
        <v>0</v>
      </c>
      <c r="H482">
        <v>0</v>
      </c>
      <c r="I482">
        <v>0</v>
      </c>
      <c r="J482">
        <v>0</v>
      </c>
      <c r="K482">
        <v>0</v>
      </c>
      <c r="L482">
        <v>0</v>
      </c>
      <c r="M482">
        <v>0</v>
      </c>
      <c r="N482">
        <v>0</v>
      </c>
      <c r="O482">
        <v>0</v>
      </c>
      <c r="P482">
        <v>0</v>
      </c>
      <c r="Q482">
        <v>0</v>
      </c>
      <c r="R482">
        <v>35</v>
      </c>
    </row>
    <row r="483" spans="1:18">
      <c r="A483" t="s">
        <v>1791</v>
      </c>
      <c r="B483" t="s">
        <v>194</v>
      </c>
      <c r="C483" s="4" t="s">
        <v>34</v>
      </c>
      <c r="D483">
        <v>0</v>
      </c>
      <c r="E483">
        <v>0</v>
      </c>
      <c r="F483">
        <v>0</v>
      </c>
      <c r="G483">
        <v>0</v>
      </c>
      <c r="H483">
        <v>0</v>
      </c>
      <c r="I483">
        <v>0</v>
      </c>
      <c r="J483">
        <v>0</v>
      </c>
      <c r="K483">
        <v>0</v>
      </c>
      <c r="L483">
        <v>0</v>
      </c>
      <c r="M483">
        <v>0</v>
      </c>
      <c r="N483">
        <v>0</v>
      </c>
      <c r="O483">
        <v>0</v>
      </c>
      <c r="P483">
        <v>0</v>
      </c>
      <c r="Q483">
        <v>0</v>
      </c>
      <c r="R483">
        <v>30</v>
      </c>
    </row>
    <row r="484" spans="1:18">
      <c r="A484" t="s">
        <v>1792</v>
      </c>
      <c r="B484" t="s">
        <v>194</v>
      </c>
      <c r="C484" t="s">
        <v>169</v>
      </c>
      <c r="D484">
        <v>0</v>
      </c>
      <c r="E484">
        <v>0</v>
      </c>
      <c r="F484">
        <v>0</v>
      </c>
      <c r="G484">
        <v>0</v>
      </c>
      <c r="H484">
        <v>0</v>
      </c>
      <c r="I484">
        <v>0</v>
      </c>
      <c r="J484">
        <v>0</v>
      </c>
      <c r="K484">
        <v>0</v>
      </c>
      <c r="L484">
        <v>0</v>
      </c>
      <c r="M484">
        <v>0</v>
      </c>
      <c r="N484">
        <v>0</v>
      </c>
      <c r="O484">
        <v>0</v>
      </c>
      <c r="P484">
        <v>0</v>
      </c>
      <c r="Q484">
        <v>0</v>
      </c>
      <c r="R484">
        <v>5</v>
      </c>
    </row>
    <row r="485" spans="1:18">
      <c r="A485" t="s">
        <v>1793</v>
      </c>
      <c r="B485" t="s">
        <v>194</v>
      </c>
      <c r="C485" t="s">
        <v>170</v>
      </c>
      <c r="D485">
        <v>0</v>
      </c>
      <c r="E485">
        <v>0</v>
      </c>
      <c r="F485">
        <v>0</v>
      </c>
      <c r="G485">
        <v>0</v>
      </c>
      <c r="H485">
        <v>0</v>
      </c>
      <c r="I485">
        <v>0</v>
      </c>
      <c r="J485">
        <v>0</v>
      </c>
      <c r="K485">
        <v>0</v>
      </c>
      <c r="L485">
        <v>0</v>
      </c>
      <c r="M485">
        <v>0</v>
      </c>
      <c r="N485">
        <v>0</v>
      </c>
      <c r="O485">
        <v>0</v>
      </c>
      <c r="P485">
        <v>0</v>
      </c>
      <c r="Q485">
        <v>0</v>
      </c>
      <c r="R485">
        <v>0</v>
      </c>
    </row>
    <row r="486" spans="1:18">
      <c r="A486" t="s">
        <v>1794</v>
      </c>
      <c r="B486" t="s">
        <v>194</v>
      </c>
      <c r="C486" t="s">
        <v>171</v>
      </c>
      <c r="D486">
        <v>0</v>
      </c>
      <c r="E486">
        <v>0</v>
      </c>
      <c r="F486">
        <v>0</v>
      </c>
      <c r="G486">
        <v>0</v>
      </c>
      <c r="H486">
        <v>0</v>
      </c>
      <c r="I486">
        <v>0</v>
      </c>
      <c r="J486">
        <v>0</v>
      </c>
      <c r="K486">
        <v>0</v>
      </c>
      <c r="L486">
        <v>0</v>
      </c>
      <c r="M486">
        <v>0</v>
      </c>
      <c r="N486">
        <v>0</v>
      </c>
      <c r="O486">
        <v>0</v>
      </c>
      <c r="P486">
        <v>0</v>
      </c>
      <c r="Q486">
        <v>0</v>
      </c>
      <c r="R486">
        <v>0</v>
      </c>
    </row>
    <row r="487" spans="1:18">
      <c r="A487" t="s">
        <v>1795</v>
      </c>
      <c r="B487" t="s">
        <v>194</v>
      </c>
      <c r="C487" t="s">
        <v>148</v>
      </c>
      <c r="D487">
        <v>0</v>
      </c>
      <c r="E487">
        <v>0</v>
      </c>
      <c r="F487">
        <v>0</v>
      </c>
      <c r="G487">
        <v>0</v>
      </c>
      <c r="H487">
        <v>0</v>
      </c>
      <c r="I487">
        <v>0</v>
      </c>
      <c r="J487">
        <v>0</v>
      </c>
      <c r="K487">
        <v>0</v>
      </c>
      <c r="L487">
        <v>0</v>
      </c>
      <c r="M487">
        <v>0</v>
      </c>
      <c r="N487">
        <v>0</v>
      </c>
      <c r="O487">
        <v>0</v>
      </c>
      <c r="P487">
        <v>0</v>
      </c>
      <c r="Q487">
        <v>0</v>
      </c>
      <c r="R487">
        <v>0</v>
      </c>
    </row>
    <row r="488" spans="1:18">
      <c r="A488" t="s">
        <v>1796</v>
      </c>
      <c r="B488" t="s">
        <v>194</v>
      </c>
      <c r="C488" t="s">
        <v>184</v>
      </c>
      <c r="D488">
        <v>0</v>
      </c>
      <c r="E488">
        <v>0</v>
      </c>
      <c r="F488">
        <v>0</v>
      </c>
      <c r="G488">
        <v>0</v>
      </c>
      <c r="H488">
        <v>0</v>
      </c>
      <c r="I488">
        <v>0</v>
      </c>
      <c r="J488">
        <v>0</v>
      </c>
      <c r="K488">
        <v>0</v>
      </c>
      <c r="L488">
        <v>0</v>
      </c>
      <c r="M488">
        <v>0</v>
      </c>
      <c r="N488">
        <v>0</v>
      </c>
      <c r="O488">
        <v>0</v>
      </c>
      <c r="P488">
        <v>0</v>
      </c>
      <c r="Q488">
        <v>0</v>
      </c>
      <c r="R488">
        <v>0</v>
      </c>
    </row>
    <row r="489" spans="1:18">
      <c r="A489" t="s">
        <v>1797</v>
      </c>
      <c r="B489" t="s">
        <v>194</v>
      </c>
      <c r="C489" s="4" t="s">
        <v>188</v>
      </c>
      <c r="D489">
        <v>0</v>
      </c>
      <c r="E489">
        <v>0</v>
      </c>
      <c r="F489">
        <v>0</v>
      </c>
      <c r="G489">
        <v>0</v>
      </c>
      <c r="H489">
        <v>0</v>
      </c>
      <c r="I489">
        <v>0</v>
      </c>
      <c r="J489">
        <v>0</v>
      </c>
      <c r="K489">
        <v>0</v>
      </c>
      <c r="L489">
        <v>0</v>
      </c>
      <c r="M489">
        <v>0</v>
      </c>
      <c r="N489">
        <v>0</v>
      </c>
      <c r="O489">
        <v>0</v>
      </c>
      <c r="P489">
        <v>0</v>
      </c>
      <c r="Q489">
        <v>0</v>
      </c>
      <c r="R489">
        <v>3</v>
      </c>
    </row>
    <row r="490" spans="1:18">
      <c r="A490" t="s">
        <v>1798</v>
      </c>
      <c r="B490" t="s">
        <v>194</v>
      </c>
      <c r="C490" s="35" t="s">
        <v>189</v>
      </c>
      <c r="D490">
        <v>0</v>
      </c>
      <c r="E490">
        <v>0</v>
      </c>
      <c r="F490">
        <v>0</v>
      </c>
      <c r="G490">
        <v>0</v>
      </c>
      <c r="H490">
        <v>0</v>
      </c>
      <c r="I490">
        <v>0</v>
      </c>
      <c r="J490">
        <v>0</v>
      </c>
      <c r="K490">
        <v>0</v>
      </c>
      <c r="L490">
        <v>0</v>
      </c>
      <c r="M490">
        <v>0</v>
      </c>
      <c r="N490">
        <v>0</v>
      </c>
      <c r="O490">
        <v>0</v>
      </c>
      <c r="P490">
        <v>0</v>
      </c>
      <c r="Q490">
        <v>0</v>
      </c>
      <c r="R490">
        <v>2</v>
      </c>
    </row>
    <row r="491" spans="1:18">
      <c r="A491" t="s">
        <v>1799</v>
      </c>
      <c r="B491" t="s">
        <v>194</v>
      </c>
      <c r="C491" t="s">
        <v>172</v>
      </c>
      <c r="D491">
        <v>0</v>
      </c>
      <c r="E491">
        <v>0</v>
      </c>
      <c r="F491">
        <v>0</v>
      </c>
      <c r="G491">
        <v>0</v>
      </c>
      <c r="H491">
        <v>0</v>
      </c>
      <c r="I491">
        <v>0</v>
      </c>
      <c r="J491">
        <v>0</v>
      </c>
      <c r="K491">
        <v>0</v>
      </c>
      <c r="L491">
        <v>0</v>
      </c>
      <c r="M491">
        <v>0</v>
      </c>
      <c r="N491">
        <v>0</v>
      </c>
      <c r="O491">
        <v>0</v>
      </c>
      <c r="P491">
        <v>0</v>
      </c>
      <c r="Q491">
        <v>0</v>
      </c>
      <c r="R491">
        <v>1</v>
      </c>
    </row>
    <row r="492" spans="1:18">
      <c r="A492" t="s">
        <v>1800</v>
      </c>
      <c r="B492" t="s">
        <v>194</v>
      </c>
      <c r="C492" t="s">
        <v>30</v>
      </c>
      <c r="D492">
        <v>0</v>
      </c>
      <c r="E492">
        <v>0</v>
      </c>
      <c r="F492">
        <v>0</v>
      </c>
      <c r="G492">
        <v>0</v>
      </c>
      <c r="H492">
        <v>0</v>
      </c>
      <c r="I492">
        <v>0</v>
      </c>
      <c r="J492">
        <v>0</v>
      </c>
      <c r="K492">
        <v>0</v>
      </c>
      <c r="L492">
        <v>0</v>
      </c>
      <c r="M492">
        <v>0</v>
      </c>
      <c r="N492">
        <v>0</v>
      </c>
      <c r="O492">
        <v>0</v>
      </c>
      <c r="P492">
        <v>0</v>
      </c>
      <c r="Q492">
        <v>0</v>
      </c>
      <c r="R492">
        <v>1</v>
      </c>
    </row>
    <row r="493" spans="1:18">
      <c r="A493" t="s">
        <v>1801</v>
      </c>
      <c r="B493" t="s">
        <v>195</v>
      </c>
      <c r="C493" t="s">
        <v>193</v>
      </c>
      <c r="D493">
        <v>0</v>
      </c>
      <c r="E493">
        <v>0</v>
      </c>
      <c r="F493">
        <v>0</v>
      </c>
      <c r="G493">
        <v>0</v>
      </c>
      <c r="H493">
        <v>0</v>
      </c>
      <c r="I493">
        <v>0</v>
      </c>
      <c r="J493">
        <v>0</v>
      </c>
      <c r="K493">
        <v>0</v>
      </c>
      <c r="L493">
        <v>0</v>
      </c>
      <c r="M493">
        <v>0</v>
      </c>
      <c r="N493">
        <v>0</v>
      </c>
      <c r="O493">
        <v>0</v>
      </c>
      <c r="P493">
        <v>0</v>
      </c>
      <c r="Q493">
        <v>0</v>
      </c>
      <c r="R493">
        <v>2</v>
      </c>
    </row>
    <row r="494" spans="1:18">
      <c r="A494" t="s">
        <v>1802</v>
      </c>
      <c r="B494" t="s">
        <v>195</v>
      </c>
      <c r="C494" s="4" t="s">
        <v>34</v>
      </c>
      <c r="D494">
        <v>0</v>
      </c>
      <c r="E494">
        <v>0</v>
      </c>
      <c r="F494">
        <v>0</v>
      </c>
      <c r="G494">
        <v>0</v>
      </c>
      <c r="H494">
        <v>0</v>
      </c>
      <c r="I494">
        <v>0</v>
      </c>
      <c r="J494">
        <v>0</v>
      </c>
      <c r="K494">
        <v>0</v>
      </c>
      <c r="L494">
        <v>0</v>
      </c>
      <c r="M494">
        <v>0</v>
      </c>
      <c r="N494">
        <v>0</v>
      </c>
      <c r="O494">
        <v>0</v>
      </c>
      <c r="P494">
        <v>0</v>
      </c>
      <c r="Q494">
        <v>0</v>
      </c>
      <c r="R494">
        <v>2</v>
      </c>
    </row>
    <row r="495" spans="1:18">
      <c r="A495" t="s">
        <v>1803</v>
      </c>
      <c r="B495" t="s">
        <v>195</v>
      </c>
      <c r="C495" t="s">
        <v>169</v>
      </c>
      <c r="D495">
        <v>0</v>
      </c>
      <c r="E495">
        <v>0</v>
      </c>
      <c r="F495">
        <v>0</v>
      </c>
      <c r="G495">
        <v>0</v>
      </c>
      <c r="H495">
        <v>0</v>
      </c>
      <c r="I495">
        <v>0</v>
      </c>
      <c r="J495">
        <v>0</v>
      </c>
      <c r="K495">
        <v>0</v>
      </c>
      <c r="L495">
        <v>0</v>
      </c>
      <c r="M495">
        <v>0</v>
      </c>
      <c r="N495">
        <v>0</v>
      </c>
      <c r="O495">
        <v>0</v>
      </c>
      <c r="P495">
        <v>0</v>
      </c>
      <c r="Q495">
        <v>0</v>
      </c>
      <c r="R495">
        <v>0</v>
      </c>
    </row>
    <row r="496" spans="1:18">
      <c r="A496" t="s">
        <v>1804</v>
      </c>
      <c r="B496" t="s">
        <v>195</v>
      </c>
      <c r="C496" t="s">
        <v>170</v>
      </c>
      <c r="D496">
        <v>0</v>
      </c>
      <c r="E496">
        <v>0</v>
      </c>
      <c r="F496">
        <v>0</v>
      </c>
      <c r="G496">
        <v>0</v>
      </c>
      <c r="H496">
        <v>0</v>
      </c>
      <c r="I496">
        <v>0</v>
      </c>
      <c r="J496">
        <v>0</v>
      </c>
      <c r="K496">
        <v>0</v>
      </c>
      <c r="L496">
        <v>0</v>
      </c>
      <c r="M496">
        <v>0</v>
      </c>
      <c r="N496">
        <v>0</v>
      </c>
      <c r="O496">
        <v>0</v>
      </c>
      <c r="P496">
        <v>0</v>
      </c>
      <c r="Q496">
        <v>0</v>
      </c>
      <c r="R496">
        <v>0</v>
      </c>
    </row>
    <row r="497" spans="1:18">
      <c r="A497" t="s">
        <v>1805</v>
      </c>
      <c r="B497" t="s">
        <v>195</v>
      </c>
      <c r="C497" t="s">
        <v>171</v>
      </c>
      <c r="D497">
        <v>0</v>
      </c>
      <c r="E497">
        <v>0</v>
      </c>
      <c r="F497">
        <v>0</v>
      </c>
      <c r="G497">
        <v>0</v>
      </c>
      <c r="H497">
        <v>0</v>
      </c>
      <c r="I497">
        <v>0</v>
      </c>
      <c r="J497">
        <v>0</v>
      </c>
      <c r="K497">
        <v>0</v>
      </c>
      <c r="L497">
        <v>0</v>
      </c>
      <c r="M497">
        <v>0</v>
      </c>
      <c r="N497">
        <v>0</v>
      </c>
      <c r="O497">
        <v>0</v>
      </c>
      <c r="P497">
        <v>0</v>
      </c>
      <c r="Q497">
        <v>0</v>
      </c>
      <c r="R497">
        <v>0</v>
      </c>
    </row>
    <row r="498" spans="1:18">
      <c r="A498" t="s">
        <v>1806</v>
      </c>
      <c r="B498" t="s">
        <v>195</v>
      </c>
      <c r="C498" t="s">
        <v>148</v>
      </c>
      <c r="D498">
        <v>0</v>
      </c>
      <c r="E498">
        <v>0</v>
      </c>
      <c r="F498">
        <v>0</v>
      </c>
      <c r="G498">
        <v>0</v>
      </c>
      <c r="H498">
        <v>0</v>
      </c>
      <c r="I498">
        <v>0</v>
      </c>
      <c r="J498">
        <v>0</v>
      </c>
      <c r="K498">
        <v>0</v>
      </c>
      <c r="L498">
        <v>0</v>
      </c>
      <c r="M498">
        <v>0</v>
      </c>
      <c r="N498">
        <v>0</v>
      </c>
      <c r="O498">
        <v>0</v>
      </c>
      <c r="P498">
        <v>0</v>
      </c>
      <c r="Q498">
        <v>0</v>
      </c>
      <c r="R498">
        <v>0</v>
      </c>
    </row>
    <row r="499" spans="1:18">
      <c r="A499" t="s">
        <v>1807</v>
      </c>
      <c r="B499" t="s">
        <v>195</v>
      </c>
      <c r="C499" t="s">
        <v>184</v>
      </c>
      <c r="D499">
        <v>0</v>
      </c>
      <c r="E499">
        <v>0</v>
      </c>
      <c r="F499">
        <v>0</v>
      </c>
      <c r="G499">
        <v>0</v>
      </c>
      <c r="H499">
        <v>0</v>
      </c>
      <c r="I499">
        <v>0</v>
      </c>
      <c r="J499">
        <v>0</v>
      </c>
      <c r="K499">
        <v>0</v>
      </c>
      <c r="L499">
        <v>0</v>
      </c>
      <c r="M499">
        <v>0</v>
      </c>
      <c r="N499">
        <v>0</v>
      </c>
      <c r="O499">
        <v>0</v>
      </c>
      <c r="P499">
        <v>0</v>
      </c>
      <c r="Q499">
        <v>0</v>
      </c>
      <c r="R499">
        <v>0</v>
      </c>
    </row>
    <row r="500" spans="1:18">
      <c r="A500" t="s">
        <v>1808</v>
      </c>
      <c r="B500" t="s">
        <v>195</v>
      </c>
      <c r="C500" s="4" t="s">
        <v>188</v>
      </c>
      <c r="D500">
        <v>0</v>
      </c>
      <c r="E500">
        <v>0</v>
      </c>
      <c r="F500">
        <v>0</v>
      </c>
      <c r="G500">
        <v>0</v>
      </c>
      <c r="H500">
        <v>0</v>
      </c>
      <c r="I500">
        <v>0</v>
      </c>
      <c r="J500">
        <v>0</v>
      </c>
      <c r="K500">
        <v>0</v>
      </c>
      <c r="L500">
        <v>0</v>
      </c>
      <c r="M500">
        <v>0</v>
      </c>
      <c r="N500">
        <v>0</v>
      </c>
      <c r="O500">
        <v>0</v>
      </c>
      <c r="P500">
        <v>0</v>
      </c>
      <c r="Q500">
        <v>0</v>
      </c>
      <c r="R500">
        <v>0</v>
      </c>
    </row>
    <row r="501" spans="1:18">
      <c r="A501" t="s">
        <v>1809</v>
      </c>
      <c r="B501" t="s">
        <v>195</v>
      </c>
      <c r="C501" s="35" t="s">
        <v>189</v>
      </c>
      <c r="D501">
        <v>0</v>
      </c>
      <c r="E501">
        <v>0</v>
      </c>
      <c r="F501">
        <v>0</v>
      </c>
      <c r="G501">
        <v>0</v>
      </c>
      <c r="H501">
        <v>0</v>
      </c>
      <c r="I501">
        <v>0</v>
      </c>
      <c r="J501">
        <v>0</v>
      </c>
      <c r="K501">
        <v>0</v>
      </c>
      <c r="L501">
        <v>0</v>
      </c>
      <c r="M501">
        <v>0</v>
      </c>
      <c r="N501">
        <v>0</v>
      </c>
      <c r="O501">
        <v>0</v>
      </c>
      <c r="P501">
        <v>0</v>
      </c>
      <c r="Q501">
        <v>0</v>
      </c>
      <c r="R501">
        <v>0</v>
      </c>
    </row>
    <row r="502" spans="1:18">
      <c r="A502" t="s">
        <v>1810</v>
      </c>
      <c r="B502" t="s">
        <v>195</v>
      </c>
      <c r="C502" t="s">
        <v>172</v>
      </c>
      <c r="D502">
        <v>0</v>
      </c>
      <c r="E502">
        <v>0</v>
      </c>
      <c r="F502">
        <v>0</v>
      </c>
      <c r="G502">
        <v>0</v>
      </c>
      <c r="H502">
        <v>0</v>
      </c>
      <c r="I502">
        <v>0</v>
      </c>
      <c r="J502">
        <v>0</v>
      </c>
      <c r="K502">
        <v>0</v>
      </c>
      <c r="L502">
        <v>0</v>
      </c>
      <c r="M502">
        <v>0</v>
      </c>
      <c r="N502">
        <v>0</v>
      </c>
      <c r="O502">
        <v>0</v>
      </c>
      <c r="P502">
        <v>0</v>
      </c>
      <c r="Q502">
        <v>0</v>
      </c>
      <c r="R502">
        <v>0</v>
      </c>
    </row>
    <row r="503" spans="1:18">
      <c r="A503" t="s">
        <v>1811</v>
      </c>
      <c r="B503" t="s">
        <v>195</v>
      </c>
      <c r="C503" t="s">
        <v>30</v>
      </c>
      <c r="D503">
        <v>0</v>
      </c>
      <c r="E503">
        <v>0</v>
      </c>
      <c r="F503">
        <v>0</v>
      </c>
      <c r="G503">
        <v>0</v>
      </c>
      <c r="H503">
        <v>0</v>
      </c>
      <c r="I503">
        <v>0</v>
      </c>
      <c r="J503">
        <v>0</v>
      </c>
      <c r="K503">
        <v>0</v>
      </c>
      <c r="L503">
        <v>0</v>
      </c>
      <c r="M503">
        <v>0</v>
      </c>
      <c r="N503">
        <v>0</v>
      </c>
      <c r="O503">
        <v>0</v>
      </c>
      <c r="P503">
        <v>0</v>
      </c>
      <c r="Q503">
        <v>0</v>
      </c>
      <c r="R503">
        <v>0</v>
      </c>
    </row>
    <row r="504" spans="1:18">
      <c r="A504" t="s">
        <v>1812</v>
      </c>
      <c r="B504" t="s">
        <v>196</v>
      </c>
      <c r="C504" t="s">
        <v>193</v>
      </c>
      <c r="D504">
        <v>0</v>
      </c>
      <c r="E504">
        <v>0</v>
      </c>
      <c r="F504">
        <v>0</v>
      </c>
      <c r="G504">
        <v>0</v>
      </c>
      <c r="H504">
        <v>0</v>
      </c>
      <c r="I504">
        <v>0</v>
      </c>
      <c r="J504">
        <v>0</v>
      </c>
      <c r="K504">
        <v>0</v>
      </c>
      <c r="L504">
        <v>0</v>
      </c>
      <c r="M504">
        <v>0</v>
      </c>
      <c r="N504">
        <v>0</v>
      </c>
      <c r="O504">
        <v>0</v>
      </c>
      <c r="P504">
        <v>0</v>
      </c>
      <c r="Q504">
        <v>0</v>
      </c>
      <c r="R504">
        <v>35</v>
      </c>
    </row>
    <row r="505" spans="1:18">
      <c r="A505" t="s">
        <v>1813</v>
      </c>
      <c r="B505" t="s">
        <v>196</v>
      </c>
      <c r="C505" s="4" t="s">
        <v>34</v>
      </c>
      <c r="D505">
        <v>0</v>
      </c>
      <c r="E505">
        <v>0</v>
      </c>
      <c r="F505">
        <v>0</v>
      </c>
      <c r="G505">
        <v>0</v>
      </c>
      <c r="H505">
        <v>0</v>
      </c>
      <c r="I505">
        <v>0</v>
      </c>
      <c r="J505">
        <v>0</v>
      </c>
      <c r="K505">
        <v>0</v>
      </c>
      <c r="L505">
        <v>0</v>
      </c>
      <c r="M505">
        <v>0</v>
      </c>
      <c r="N505">
        <v>0</v>
      </c>
      <c r="O505">
        <v>0</v>
      </c>
      <c r="P505">
        <v>0</v>
      </c>
      <c r="Q505">
        <v>0</v>
      </c>
      <c r="R505">
        <v>30</v>
      </c>
    </row>
    <row r="506" spans="1:18">
      <c r="A506" t="s">
        <v>1814</v>
      </c>
      <c r="B506" t="s">
        <v>196</v>
      </c>
      <c r="C506" t="s">
        <v>169</v>
      </c>
      <c r="D506">
        <v>0</v>
      </c>
      <c r="E506">
        <v>0</v>
      </c>
      <c r="F506">
        <v>0</v>
      </c>
      <c r="G506">
        <v>0</v>
      </c>
      <c r="H506">
        <v>0</v>
      </c>
      <c r="I506">
        <v>0</v>
      </c>
      <c r="J506">
        <v>0</v>
      </c>
      <c r="K506">
        <v>0</v>
      </c>
      <c r="L506">
        <v>0</v>
      </c>
      <c r="M506">
        <v>0</v>
      </c>
      <c r="N506">
        <v>0</v>
      </c>
      <c r="O506">
        <v>0</v>
      </c>
      <c r="P506">
        <v>0</v>
      </c>
      <c r="Q506">
        <v>0</v>
      </c>
      <c r="R506">
        <v>5</v>
      </c>
    </row>
    <row r="507" spans="1:18">
      <c r="A507" t="s">
        <v>1815</v>
      </c>
      <c r="B507" t="s">
        <v>196</v>
      </c>
      <c r="C507" t="s">
        <v>170</v>
      </c>
      <c r="D507">
        <v>0</v>
      </c>
      <c r="E507">
        <v>0</v>
      </c>
      <c r="F507">
        <v>0</v>
      </c>
      <c r="G507">
        <v>0</v>
      </c>
      <c r="H507">
        <v>0</v>
      </c>
      <c r="I507">
        <v>0</v>
      </c>
      <c r="J507">
        <v>0</v>
      </c>
      <c r="K507">
        <v>0</v>
      </c>
      <c r="L507">
        <v>0</v>
      </c>
      <c r="M507">
        <v>0</v>
      </c>
      <c r="N507">
        <v>0</v>
      </c>
      <c r="O507">
        <v>0</v>
      </c>
      <c r="P507">
        <v>0</v>
      </c>
      <c r="Q507">
        <v>0</v>
      </c>
      <c r="R507">
        <v>0</v>
      </c>
    </row>
    <row r="508" spans="1:18">
      <c r="A508" t="s">
        <v>1816</v>
      </c>
      <c r="B508" t="s">
        <v>196</v>
      </c>
      <c r="C508" t="s">
        <v>171</v>
      </c>
      <c r="D508">
        <v>0</v>
      </c>
      <c r="E508">
        <v>0</v>
      </c>
      <c r="F508">
        <v>0</v>
      </c>
      <c r="G508">
        <v>0</v>
      </c>
      <c r="H508">
        <v>0</v>
      </c>
      <c r="I508">
        <v>0</v>
      </c>
      <c r="J508">
        <v>0</v>
      </c>
      <c r="K508">
        <v>0</v>
      </c>
      <c r="L508">
        <v>0</v>
      </c>
      <c r="M508">
        <v>0</v>
      </c>
      <c r="N508">
        <v>0</v>
      </c>
      <c r="O508">
        <v>0</v>
      </c>
      <c r="P508">
        <v>0</v>
      </c>
      <c r="Q508">
        <v>0</v>
      </c>
      <c r="R508">
        <v>0</v>
      </c>
    </row>
    <row r="509" spans="1:18">
      <c r="A509" t="s">
        <v>1817</v>
      </c>
      <c r="B509" t="s">
        <v>196</v>
      </c>
      <c r="C509" t="s">
        <v>148</v>
      </c>
      <c r="D509">
        <v>0</v>
      </c>
      <c r="E509">
        <v>0</v>
      </c>
      <c r="F509">
        <v>0</v>
      </c>
      <c r="G509">
        <v>0</v>
      </c>
      <c r="H509">
        <v>0</v>
      </c>
      <c r="I509">
        <v>0</v>
      </c>
      <c r="J509">
        <v>0</v>
      </c>
      <c r="K509">
        <v>0</v>
      </c>
      <c r="L509">
        <v>0</v>
      </c>
      <c r="M509">
        <v>0</v>
      </c>
      <c r="N509">
        <v>0</v>
      </c>
      <c r="O509">
        <v>0</v>
      </c>
      <c r="P509">
        <v>0</v>
      </c>
      <c r="Q509">
        <v>0</v>
      </c>
      <c r="R509">
        <v>0</v>
      </c>
    </row>
    <row r="510" spans="1:18">
      <c r="A510" t="s">
        <v>1818</v>
      </c>
      <c r="B510" t="s">
        <v>196</v>
      </c>
      <c r="C510" t="s">
        <v>184</v>
      </c>
      <c r="D510">
        <v>0</v>
      </c>
      <c r="E510">
        <v>0</v>
      </c>
      <c r="F510">
        <v>0</v>
      </c>
      <c r="G510">
        <v>0</v>
      </c>
      <c r="H510">
        <v>0</v>
      </c>
      <c r="I510">
        <v>0</v>
      </c>
      <c r="J510">
        <v>0</v>
      </c>
      <c r="K510">
        <v>0</v>
      </c>
      <c r="L510">
        <v>0</v>
      </c>
      <c r="M510">
        <v>0</v>
      </c>
      <c r="N510">
        <v>0</v>
      </c>
      <c r="O510">
        <v>0</v>
      </c>
      <c r="P510">
        <v>0</v>
      </c>
      <c r="Q510">
        <v>0</v>
      </c>
      <c r="R510">
        <v>0</v>
      </c>
    </row>
    <row r="511" spans="1:18">
      <c r="A511" t="s">
        <v>1819</v>
      </c>
      <c r="B511" t="s">
        <v>196</v>
      </c>
      <c r="C511" s="4" t="s">
        <v>188</v>
      </c>
      <c r="D511">
        <v>0</v>
      </c>
      <c r="E511">
        <v>0</v>
      </c>
      <c r="F511">
        <v>0</v>
      </c>
      <c r="G511">
        <v>0</v>
      </c>
      <c r="H511">
        <v>0</v>
      </c>
      <c r="I511">
        <v>0</v>
      </c>
      <c r="J511">
        <v>0</v>
      </c>
      <c r="K511">
        <v>0</v>
      </c>
      <c r="L511">
        <v>0</v>
      </c>
      <c r="M511">
        <v>0</v>
      </c>
      <c r="N511">
        <v>0</v>
      </c>
      <c r="O511">
        <v>0</v>
      </c>
      <c r="P511">
        <v>0</v>
      </c>
      <c r="Q511">
        <v>0</v>
      </c>
      <c r="R511">
        <v>3</v>
      </c>
    </row>
    <row r="512" spans="1:18">
      <c r="A512" t="s">
        <v>1820</v>
      </c>
      <c r="B512" t="s">
        <v>196</v>
      </c>
      <c r="C512" s="35" t="s">
        <v>189</v>
      </c>
      <c r="D512">
        <v>0</v>
      </c>
      <c r="E512">
        <v>0</v>
      </c>
      <c r="F512">
        <v>0</v>
      </c>
      <c r="G512">
        <v>0</v>
      </c>
      <c r="H512">
        <v>0</v>
      </c>
      <c r="I512">
        <v>0</v>
      </c>
      <c r="J512">
        <v>0</v>
      </c>
      <c r="K512">
        <v>0</v>
      </c>
      <c r="L512">
        <v>0</v>
      </c>
      <c r="M512">
        <v>0</v>
      </c>
      <c r="N512">
        <v>0</v>
      </c>
      <c r="O512">
        <v>0</v>
      </c>
      <c r="P512">
        <v>0</v>
      </c>
      <c r="Q512">
        <v>0</v>
      </c>
      <c r="R512">
        <v>2</v>
      </c>
    </row>
    <row r="513" spans="1:18">
      <c r="A513" t="s">
        <v>1821</v>
      </c>
      <c r="B513" t="s">
        <v>196</v>
      </c>
      <c r="C513" t="s">
        <v>172</v>
      </c>
      <c r="D513">
        <v>0</v>
      </c>
      <c r="E513">
        <v>0</v>
      </c>
      <c r="F513">
        <v>0</v>
      </c>
      <c r="G513">
        <v>0</v>
      </c>
      <c r="H513">
        <v>0</v>
      </c>
      <c r="I513">
        <v>0</v>
      </c>
      <c r="J513">
        <v>0</v>
      </c>
      <c r="K513">
        <v>0</v>
      </c>
      <c r="L513">
        <v>0</v>
      </c>
      <c r="M513">
        <v>0</v>
      </c>
      <c r="N513">
        <v>0</v>
      </c>
      <c r="O513">
        <v>0</v>
      </c>
      <c r="P513">
        <v>0</v>
      </c>
      <c r="Q513">
        <v>0</v>
      </c>
      <c r="R513">
        <v>1</v>
      </c>
    </row>
    <row r="514" spans="1:18">
      <c r="A514" t="s">
        <v>1822</v>
      </c>
      <c r="B514" t="s">
        <v>196</v>
      </c>
      <c r="C514" t="s">
        <v>30</v>
      </c>
      <c r="D514">
        <v>0</v>
      </c>
      <c r="E514">
        <v>0</v>
      </c>
      <c r="F514">
        <v>0</v>
      </c>
      <c r="G514">
        <v>0</v>
      </c>
      <c r="H514">
        <v>0</v>
      </c>
      <c r="I514">
        <v>0</v>
      </c>
      <c r="J514">
        <v>0</v>
      </c>
      <c r="K514">
        <v>0</v>
      </c>
      <c r="L514">
        <v>0</v>
      </c>
      <c r="M514">
        <v>0</v>
      </c>
      <c r="N514">
        <v>0</v>
      </c>
      <c r="O514">
        <v>0</v>
      </c>
      <c r="P514">
        <v>0</v>
      </c>
      <c r="Q514">
        <v>0</v>
      </c>
      <c r="R514">
        <v>1</v>
      </c>
    </row>
    <row r="515" spans="1:18">
      <c r="A515" t="s">
        <v>1823</v>
      </c>
      <c r="B515" t="s">
        <v>196</v>
      </c>
      <c r="C515" t="s">
        <v>177</v>
      </c>
      <c r="D515">
        <v>0</v>
      </c>
      <c r="E515">
        <v>0</v>
      </c>
      <c r="F515">
        <v>0</v>
      </c>
      <c r="G515">
        <v>0</v>
      </c>
      <c r="H515">
        <v>0</v>
      </c>
      <c r="I515">
        <v>0</v>
      </c>
      <c r="J515">
        <v>0</v>
      </c>
      <c r="K515">
        <v>0</v>
      </c>
      <c r="L515">
        <v>0</v>
      </c>
      <c r="M515">
        <v>0</v>
      </c>
      <c r="N515">
        <v>0</v>
      </c>
      <c r="O515">
        <v>0</v>
      </c>
      <c r="P515">
        <v>0</v>
      </c>
      <c r="Q515">
        <v>0</v>
      </c>
      <c r="R515">
        <v>0</v>
      </c>
    </row>
    <row r="516" spans="1:18">
      <c r="A516" t="s">
        <v>1824</v>
      </c>
      <c r="B516" t="s">
        <v>196</v>
      </c>
      <c r="C516" t="s">
        <v>178</v>
      </c>
      <c r="D516">
        <v>0</v>
      </c>
      <c r="E516">
        <v>0</v>
      </c>
      <c r="F516">
        <v>0</v>
      </c>
      <c r="G516">
        <v>0</v>
      </c>
      <c r="H516">
        <v>0</v>
      </c>
      <c r="I516">
        <v>0</v>
      </c>
      <c r="J516">
        <v>0</v>
      </c>
      <c r="K516">
        <v>0</v>
      </c>
      <c r="L516">
        <v>0</v>
      </c>
      <c r="M516">
        <v>0</v>
      </c>
      <c r="N516">
        <v>0</v>
      </c>
      <c r="O516">
        <v>0</v>
      </c>
      <c r="P516">
        <v>0</v>
      </c>
      <c r="Q516">
        <v>0</v>
      </c>
      <c r="R516">
        <v>0</v>
      </c>
    </row>
    <row r="517" spans="1:18">
      <c r="A517" t="s">
        <v>1825</v>
      </c>
      <c r="B517" t="s">
        <v>197</v>
      </c>
      <c r="C517" t="s">
        <v>193</v>
      </c>
      <c r="D517">
        <v>0</v>
      </c>
      <c r="E517">
        <v>0</v>
      </c>
      <c r="F517">
        <v>0</v>
      </c>
      <c r="G517">
        <v>0</v>
      </c>
      <c r="H517">
        <v>0</v>
      </c>
      <c r="I517">
        <v>0</v>
      </c>
      <c r="J517">
        <v>0</v>
      </c>
      <c r="K517">
        <v>0</v>
      </c>
      <c r="L517">
        <v>0</v>
      </c>
      <c r="M517">
        <v>0</v>
      </c>
      <c r="N517">
        <v>0</v>
      </c>
      <c r="O517">
        <v>0</v>
      </c>
      <c r="P517">
        <v>0</v>
      </c>
      <c r="Q517">
        <v>0</v>
      </c>
      <c r="R517">
        <v>35</v>
      </c>
    </row>
    <row r="518" spans="1:18">
      <c r="A518" t="s">
        <v>1826</v>
      </c>
      <c r="B518" t="s">
        <v>197</v>
      </c>
      <c r="C518" s="4" t="s">
        <v>34</v>
      </c>
      <c r="D518">
        <v>0</v>
      </c>
      <c r="E518">
        <v>0</v>
      </c>
      <c r="F518">
        <v>0</v>
      </c>
      <c r="G518">
        <v>0</v>
      </c>
      <c r="H518">
        <v>0</v>
      </c>
      <c r="I518">
        <v>0</v>
      </c>
      <c r="J518">
        <v>0</v>
      </c>
      <c r="K518">
        <v>0</v>
      </c>
      <c r="L518">
        <v>0</v>
      </c>
      <c r="M518">
        <v>0</v>
      </c>
      <c r="N518">
        <v>0</v>
      </c>
      <c r="O518">
        <v>0</v>
      </c>
      <c r="P518">
        <v>0</v>
      </c>
      <c r="Q518">
        <v>0</v>
      </c>
      <c r="R518">
        <v>30</v>
      </c>
    </row>
    <row r="519" spans="1:18">
      <c r="A519" t="s">
        <v>1827</v>
      </c>
      <c r="B519" t="s">
        <v>197</v>
      </c>
      <c r="C519" t="s">
        <v>169</v>
      </c>
      <c r="D519">
        <v>0</v>
      </c>
      <c r="E519">
        <v>0</v>
      </c>
      <c r="F519">
        <v>0</v>
      </c>
      <c r="G519">
        <v>0</v>
      </c>
      <c r="H519">
        <v>0</v>
      </c>
      <c r="I519">
        <v>0</v>
      </c>
      <c r="J519">
        <v>0</v>
      </c>
      <c r="K519">
        <v>0</v>
      </c>
      <c r="L519">
        <v>0</v>
      </c>
      <c r="M519">
        <v>0</v>
      </c>
      <c r="N519">
        <v>0</v>
      </c>
      <c r="O519">
        <v>0</v>
      </c>
      <c r="P519">
        <v>0</v>
      </c>
      <c r="Q519">
        <v>0</v>
      </c>
      <c r="R519">
        <v>3</v>
      </c>
    </row>
    <row r="520" spans="1:18">
      <c r="A520" t="s">
        <v>1828</v>
      </c>
      <c r="B520" t="s">
        <v>197</v>
      </c>
      <c r="C520" t="s">
        <v>170</v>
      </c>
      <c r="D520">
        <v>0</v>
      </c>
      <c r="E520">
        <v>0</v>
      </c>
      <c r="F520">
        <v>0</v>
      </c>
      <c r="G520">
        <v>0</v>
      </c>
      <c r="H520">
        <v>0</v>
      </c>
      <c r="I520">
        <v>0</v>
      </c>
      <c r="J520">
        <v>0</v>
      </c>
      <c r="K520">
        <v>0</v>
      </c>
      <c r="L520">
        <v>0</v>
      </c>
      <c r="M520">
        <v>0</v>
      </c>
      <c r="N520">
        <v>0</v>
      </c>
      <c r="O520">
        <v>0</v>
      </c>
      <c r="P520">
        <v>0</v>
      </c>
      <c r="Q520">
        <v>0</v>
      </c>
      <c r="R520">
        <v>1</v>
      </c>
    </row>
    <row r="521" spans="1:18">
      <c r="A521" t="s">
        <v>1829</v>
      </c>
      <c r="B521" t="s">
        <v>197</v>
      </c>
      <c r="C521" t="s">
        <v>171</v>
      </c>
      <c r="D521">
        <v>0</v>
      </c>
      <c r="E521">
        <v>0</v>
      </c>
      <c r="F521">
        <v>0</v>
      </c>
      <c r="G521">
        <v>0</v>
      </c>
      <c r="H521">
        <v>0</v>
      </c>
      <c r="I521">
        <v>0</v>
      </c>
      <c r="J521">
        <v>0</v>
      </c>
      <c r="K521">
        <v>0</v>
      </c>
      <c r="L521">
        <v>0</v>
      </c>
      <c r="M521">
        <v>0</v>
      </c>
      <c r="N521">
        <v>0</v>
      </c>
      <c r="O521">
        <v>0</v>
      </c>
      <c r="P521">
        <v>0</v>
      </c>
      <c r="Q521">
        <v>0</v>
      </c>
      <c r="R521">
        <v>1</v>
      </c>
    </row>
    <row r="522" spans="1:18">
      <c r="A522" t="s">
        <v>1830</v>
      </c>
      <c r="B522" t="s">
        <v>197</v>
      </c>
      <c r="C522" t="s">
        <v>148</v>
      </c>
      <c r="D522">
        <v>0</v>
      </c>
      <c r="E522">
        <v>0</v>
      </c>
      <c r="F522">
        <v>0</v>
      </c>
      <c r="G522">
        <v>0</v>
      </c>
      <c r="H522">
        <v>0</v>
      </c>
      <c r="I522">
        <v>0</v>
      </c>
      <c r="J522">
        <v>0</v>
      </c>
      <c r="K522">
        <v>0</v>
      </c>
      <c r="L522">
        <v>0</v>
      </c>
      <c r="M522">
        <v>0</v>
      </c>
      <c r="N522">
        <v>0</v>
      </c>
      <c r="O522">
        <v>0</v>
      </c>
      <c r="P522">
        <v>0</v>
      </c>
      <c r="Q522">
        <v>0</v>
      </c>
      <c r="R522">
        <v>0</v>
      </c>
    </row>
    <row r="523" spans="1:18">
      <c r="A523" t="s">
        <v>1831</v>
      </c>
      <c r="B523" t="s">
        <v>197</v>
      </c>
      <c r="C523" t="s">
        <v>184</v>
      </c>
      <c r="D523">
        <v>0</v>
      </c>
      <c r="E523">
        <v>0</v>
      </c>
      <c r="F523">
        <v>0</v>
      </c>
      <c r="G523">
        <v>0</v>
      </c>
      <c r="H523">
        <v>0</v>
      </c>
      <c r="I523">
        <v>0</v>
      </c>
      <c r="J523">
        <v>0</v>
      </c>
      <c r="K523">
        <v>0</v>
      </c>
      <c r="L523">
        <v>0</v>
      </c>
      <c r="M523">
        <v>0</v>
      </c>
      <c r="N523">
        <v>0</v>
      </c>
      <c r="O523">
        <v>0</v>
      </c>
      <c r="P523">
        <v>0</v>
      </c>
      <c r="Q523">
        <v>0</v>
      </c>
      <c r="R523">
        <v>0</v>
      </c>
    </row>
    <row r="524" spans="1:18">
      <c r="A524" t="s">
        <v>1832</v>
      </c>
      <c r="B524" t="s">
        <v>197</v>
      </c>
      <c r="C524" s="4" t="s">
        <v>188</v>
      </c>
      <c r="D524">
        <v>0</v>
      </c>
      <c r="E524">
        <v>0</v>
      </c>
      <c r="F524">
        <v>0</v>
      </c>
      <c r="G524">
        <v>0</v>
      </c>
      <c r="H524">
        <v>0</v>
      </c>
      <c r="I524">
        <v>0</v>
      </c>
      <c r="J524">
        <v>0</v>
      </c>
      <c r="K524">
        <v>0</v>
      </c>
      <c r="L524">
        <v>0</v>
      </c>
      <c r="M524">
        <v>0</v>
      </c>
      <c r="N524">
        <v>0</v>
      </c>
      <c r="O524">
        <v>0</v>
      </c>
      <c r="P524">
        <v>0</v>
      </c>
      <c r="Q524">
        <v>0</v>
      </c>
      <c r="R524">
        <v>5</v>
      </c>
    </row>
    <row r="525" spans="1:18">
      <c r="A525" t="s">
        <v>1833</v>
      </c>
      <c r="B525" t="s">
        <v>197</v>
      </c>
      <c r="C525" s="35" t="s">
        <v>189</v>
      </c>
      <c r="D525">
        <v>0</v>
      </c>
      <c r="E525">
        <v>0</v>
      </c>
      <c r="F525">
        <v>0</v>
      </c>
      <c r="G525">
        <v>0</v>
      </c>
      <c r="H525">
        <v>0</v>
      </c>
      <c r="I525">
        <v>0</v>
      </c>
      <c r="J525">
        <v>0</v>
      </c>
      <c r="K525">
        <v>0</v>
      </c>
      <c r="L525">
        <v>0</v>
      </c>
      <c r="M525">
        <v>0</v>
      </c>
      <c r="N525">
        <v>0</v>
      </c>
      <c r="O525">
        <v>0</v>
      </c>
      <c r="P525">
        <v>0</v>
      </c>
      <c r="Q525">
        <v>0</v>
      </c>
      <c r="R525">
        <v>2</v>
      </c>
    </row>
    <row r="526" spans="1:18">
      <c r="A526" t="s">
        <v>1834</v>
      </c>
      <c r="B526" t="s">
        <v>197</v>
      </c>
      <c r="C526" t="s">
        <v>172</v>
      </c>
      <c r="D526">
        <v>0</v>
      </c>
      <c r="E526">
        <v>0</v>
      </c>
      <c r="F526">
        <v>0</v>
      </c>
      <c r="G526">
        <v>0</v>
      </c>
      <c r="H526">
        <v>0</v>
      </c>
      <c r="I526">
        <v>0</v>
      </c>
      <c r="J526">
        <v>0</v>
      </c>
      <c r="K526">
        <v>0</v>
      </c>
      <c r="L526">
        <v>0</v>
      </c>
      <c r="M526">
        <v>0</v>
      </c>
      <c r="N526">
        <v>0</v>
      </c>
      <c r="O526">
        <v>0</v>
      </c>
      <c r="P526">
        <v>0</v>
      </c>
      <c r="Q526">
        <v>0</v>
      </c>
      <c r="R526">
        <v>0</v>
      </c>
    </row>
    <row r="527" spans="1:18">
      <c r="A527" t="s">
        <v>1835</v>
      </c>
      <c r="B527" t="s">
        <v>197</v>
      </c>
      <c r="C527" t="s">
        <v>30</v>
      </c>
      <c r="D527">
        <v>0</v>
      </c>
      <c r="E527">
        <v>0</v>
      </c>
      <c r="F527">
        <v>0</v>
      </c>
      <c r="G527">
        <v>0</v>
      </c>
      <c r="H527">
        <v>0</v>
      </c>
      <c r="I527">
        <v>0</v>
      </c>
      <c r="J527">
        <v>0</v>
      </c>
      <c r="K527">
        <v>0</v>
      </c>
      <c r="L527">
        <v>0</v>
      </c>
      <c r="M527">
        <v>0</v>
      </c>
      <c r="N527">
        <v>0</v>
      </c>
      <c r="O527">
        <v>0</v>
      </c>
      <c r="P527">
        <v>0</v>
      </c>
      <c r="Q527">
        <v>0</v>
      </c>
      <c r="R527">
        <v>0</v>
      </c>
    </row>
    <row r="528" spans="1:18">
      <c r="A528" t="s">
        <v>1836</v>
      </c>
      <c r="B528" t="s">
        <v>197</v>
      </c>
      <c r="C528" t="s">
        <v>177</v>
      </c>
      <c r="D528">
        <v>0</v>
      </c>
      <c r="E528">
        <v>0</v>
      </c>
      <c r="F528">
        <v>0</v>
      </c>
      <c r="G528">
        <v>0</v>
      </c>
      <c r="H528">
        <v>0</v>
      </c>
      <c r="I528">
        <v>0</v>
      </c>
      <c r="J528">
        <v>0</v>
      </c>
      <c r="K528">
        <v>0</v>
      </c>
      <c r="L528">
        <v>0</v>
      </c>
      <c r="M528">
        <v>0</v>
      </c>
      <c r="N528">
        <v>0</v>
      </c>
      <c r="O528">
        <v>0</v>
      </c>
      <c r="P528">
        <v>0</v>
      </c>
      <c r="Q528">
        <v>0</v>
      </c>
      <c r="R528">
        <v>0</v>
      </c>
    </row>
    <row r="529" spans="1:18">
      <c r="A529" t="s">
        <v>1837</v>
      </c>
      <c r="B529" t="s">
        <v>197</v>
      </c>
      <c r="C529" t="s">
        <v>178</v>
      </c>
      <c r="D529">
        <v>0</v>
      </c>
      <c r="E529">
        <v>0</v>
      </c>
      <c r="F529">
        <v>0</v>
      </c>
      <c r="G529">
        <v>0</v>
      </c>
      <c r="H529">
        <v>0</v>
      </c>
      <c r="I529">
        <v>0</v>
      </c>
      <c r="J529">
        <v>0</v>
      </c>
      <c r="K529">
        <v>0</v>
      </c>
      <c r="L529">
        <v>0</v>
      </c>
      <c r="M529">
        <v>0</v>
      </c>
      <c r="N529">
        <v>0</v>
      </c>
      <c r="O529">
        <v>0</v>
      </c>
      <c r="P529">
        <v>0</v>
      </c>
      <c r="Q529">
        <v>0</v>
      </c>
      <c r="R529">
        <v>0</v>
      </c>
    </row>
    <row r="530" spans="1:18">
      <c r="A530" t="s">
        <v>1838</v>
      </c>
      <c r="B530" t="s">
        <v>194</v>
      </c>
      <c r="C530" t="s">
        <v>193</v>
      </c>
      <c r="D530">
        <v>116</v>
      </c>
      <c r="E530">
        <v>109</v>
      </c>
      <c r="F530">
        <v>120</v>
      </c>
      <c r="G530">
        <v>119</v>
      </c>
      <c r="H530">
        <v>129</v>
      </c>
      <c r="I530">
        <v>135</v>
      </c>
      <c r="J530">
        <v>132</v>
      </c>
      <c r="K530">
        <v>115</v>
      </c>
      <c r="L530">
        <v>117</v>
      </c>
      <c r="M530">
        <v>106</v>
      </c>
      <c r="N530">
        <v>101</v>
      </c>
      <c r="O530">
        <v>92</v>
      </c>
      <c r="P530">
        <v>99</v>
      </c>
      <c r="Q530">
        <v>114</v>
      </c>
      <c r="R530">
        <v>111</v>
      </c>
    </row>
    <row r="531" spans="1:18">
      <c r="A531" t="s">
        <v>1839</v>
      </c>
      <c r="B531" t="s">
        <v>194</v>
      </c>
      <c r="C531" s="4" t="s">
        <v>34</v>
      </c>
      <c r="D531">
        <v>38</v>
      </c>
      <c r="E531">
        <v>37</v>
      </c>
      <c r="F531">
        <v>38</v>
      </c>
      <c r="G531">
        <v>30</v>
      </c>
      <c r="H531">
        <v>41</v>
      </c>
      <c r="I531">
        <v>54</v>
      </c>
      <c r="J531">
        <v>48</v>
      </c>
      <c r="K531">
        <v>37</v>
      </c>
      <c r="L531">
        <v>40</v>
      </c>
      <c r="M531">
        <v>43</v>
      </c>
      <c r="N531">
        <v>40</v>
      </c>
      <c r="O531">
        <v>44</v>
      </c>
      <c r="P531">
        <v>46</v>
      </c>
      <c r="Q531">
        <v>52</v>
      </c>
      <c r="R531">
        <v>60</v>
      </c>
    </row>
    <row r="532" spans="1:18">
      <c r="A532" t="s">
        <v>1840</v>
      </c>
      <c r="B532" t="s">
        <v>194</v>
      </c>
      <c r="C532" t="s">
        <v>169</v>
      </c>
      <c r="D532">
        <v>78</v>
      </c>
      <c r="E532">
        <v>72</v>
      </c>
      <c r="F532">
        <v>82</v>
      </c>
      <c r="G532">
        <v>89</v>
      </c>
      <c r="H532">
        <v>88</v>
      </c>
      <c r="I532">
        <v>81</v>
      </c>
      <c r="J532">
        <v>84</v>
      </c>
      <c r="K532">
        <v>78</v>
      </c>
      <c r="L532">
        <v>77</v>
      </c>
      <c r="M532">
        <v>63</v>
      </c>
      <c r="N532">
        <v>61</v>
      </c>
      <c r="O532">
        <v>48</v>
      </c>
      <c r="P532">
        <v>53</v>
      </c>
      <c r="Q532">
        <v>62</v>
      </c>
      <c r="R532">
        <v>51</v>
      </c>
    </row>
    <row r="533" spans="1:18">
      <c r="A533" t="s">
        <v>1841</v>
      </c>
      <c r="B533" t="s">
        <v>194</v>
      </c>
      <c r="C533" t="s">
        <v>170</v>
      </c>
      <c r="D533">
        <v>0</v>
      </c>
      <c r="E533">
        <v>0</v>
      </c>
      <c r="F533">
        <v>0</v>
      </c>
      <c r="G533">
        <v>0</v>
      </c>
      <c r="H533">
        <v>0</v>
      </c>
      <c r="I533">
        <v>0</v>
      </c>
      <c r="J533">
        <v>0</v>
      </c>
      <c r="K533">
        <v>0</v>
      </c>
      <c r="L533">
        <v>0</v>
      </c>
      <c r="M533">
        <v>0</v>
      </c>
      <c r="N533">
        <v>0</v>
      </c>
      <c r="O533">
        <v>0</v>
      </c>
      <c r="P533">
        <v>0</v>
      </c>
      <c r="Q533">
        <v>0</v>
      </c>
      <c r="R533">
        <v>0</v>
      </c>
    </row>
    <row r="534" spans="1:18">
      <c r="A534" t="s">
        <v>1842</v>
      </c>
      <c r="B534" t="s">
        <v>194</v>
      </c>
      <c r="C534" t="s">
        <v>171</v>
      </c>
      <c r="D534">
        <v>0</v>
      </c>
      <c r="E534">
        <v>0</v>
      </c>
      <c r="F534">
        <v>0</v>
      </c>
      <c r="G534">
        <v>0</v>
      </c>
      <c r="H534">
        <v>0</v>
      </c>
      <c r="I534">
        <v>0</v>
      </c>
      <c r="J534">
        <v>0</v>
      </c>
      <c r="K534">
        <v>0</v>
      </c>
      <c r="L534">
        <v>0</v>
      </c>
      <c r="M534">
        <v>0</v>
      </c>
      <c r="N534">
        <v>0</v>
      </c>
      <c r="O534">
        <v>0</v>
      </c>
      <c r="P534">
        <v>0</v>
      </c>
      <c r="Q534">
        <v>0</v>
      </c>
      <c r="R534">
        <v>0</v>
      </c>
    </row>
    <row r="535" spans="1:18">
      <c r="A535" t="s">
        <v>1843</v>
      </c>
      <c r="B535" t="s">
        <v>194</v>
      </c>
      <c r="C535" t="s">
        <v>148</v>
      </c>
      <c r="D535">
        <v>0</v>
      </c>
      <c r="E535">
        <v>0</v>
      </c>
      <c r="F535">
        <v>0</v>
      </c>
      <c r="G535">
        <v>0</v>
      </c>
      <c r="H535">
        <v>0</v>
      </c>
      <c r="I535">
        <v>0</v>
      </c>
      <c r="J535">
        <v>0</v>
      </c>
      <c r="K535">
        <v>0</v>
      </c>
      <c r="L535">
        <v>0</v>
      </c>
      <c r="M535">
        <v>0</v>
      </c>
      <c r="N535">
        <v>0</v>
      </c>
      <c r="O535">
        <v>0</v>
      </c>
      <c r="P535">
        <v>0</v>
      </c>
      <c r="Q535">
        <v>0</v>
      </c>
      <c r="R535">
        <v>0</v>
      </c>
    </row>
    <row r="536" spans="1:18">
      <c r="A536" t="s">
        <v>1844</v>
      </c>
      <c r="B536" t="s">
        <v>194</v>
      </c>
      <c r="C536" t="s">
        <v>184</v>
      </c>
      <c r="D536">
        <v>0</v>
      </c>
      <c r="E536">
        <v>0</v>
      </c>
      <c r="F536">
        <v>0</v>
      </c>
      <c r="G536">
        <v>0</v>
      </c>
      <c r="H536">
        <v>0</v>
      </c>
      <c r="I536">
        <v>0</v>
      </c>
      <c r="J536">
        <v>0</v>
      </c>
      <c r="K536">
        <v>0</v>
      </c>
      <c r="L536">
        <v>0</v>
      </c>
      <c r="M536">
        <v>0</v>
      </c>
      <c r="N536">
        <v>0</v>
      </c>
      <c r="O536">
        <v>0</v>
      </c>
      <c r="P536">
        <v>0</v>
      </c>
      <c r="Q536">
        <v>0</v>
      </c>
      <c r="R536">
        <v>0</v>
      </c>
    </row>
    <row r="537" spans="1:18">
      <c r="A537" t="s">
        <v>1845</v>
      </c>
      <c r="B537" t="s">
        <v>194</v>
      </c>
      <c r="C537" s="4" t="s">
        <v>188</v>
      </c>
      <c r="D537">
        <v>20</v>
      </c>
      <c r="E537">
        <v>13</v>
      </c>
      <c r="F537">
        <v>18</v>
      </c>
      <c r="G537">
        <v>24</v>
      </c>
      <c r="H537">
        <v>22</v>
      </c>
      <c r="I537">
        <v>15</v>
      </c>
      <c r="J537">
        <v>16</v>
      </c>
      <c r="K537">
        <v>12</v>
      </c>
      <c r="L537">
        <v>9</v>
      </c>
      <c r="M537">
        <v>5</v>
      </c>
      <c r="N537">
        <v>5</v>
      </c>
      <c r="O537">
        <v>11</v>
      </c>
      <c r="P537">
        <v>17</v>
      </c>
      <c r="Q537">
        <v>27</v>
      </c>
      <c r="R537">
        <v>19</v>
      </c>
    </row>
    <row r="538" spans="1:18">
      <c r="A538" t="s">
        <v>1846</v>
      </c>
      <c r="B538" t="s">
        <v>194</v>
      </c>
      <c r="C538" s="35" t="s">
        <v>189</v>
      </c>
      <c r="D538">
        <v>58</v>
      </c>
      <c r="E538">
        <v>59</v>
      </c>
      <c r="F538">
        <v>64</v>
      </c>
      <c r="G538">
        <v>65</v>
      </c>
      <c r="H538">
        <v>66</v>
      </c>
      <c r="I538">
        <v>66</v>
      </c>
      <c r="J538">
        <v>68</v>
      </c>
      <c r="K538">
        <v>66</v>
      </c>
      <c r="L538">
        <v>68</v>
      </c>
      <c r="M538">
        <v>58</v>
      </c>
      <c r="N538">
        <v>56</v>
      </c>
      <c r="O538">
        <v>37</v>
      </c>
      <c r="P538">
        <v>36</v>
      </c>
      <c r="Q538">
        <v>35</v>
      </c>
      <c r="R538">
        <v>32</v>
      </c>
    </row>
    <row r="539" spans="1:18">
      <c r="A539" t="s">
        <v>1847</v>
      </c>
      <c r="B539" t="s">
        <v>194</v>
      </c>
      <c r="C539" t="s">
        <v>172</v>
      </c>
      <c r="D539">
        <v>7</v>
      </c>
      <c r="E539">
        <v>4</v>
      </c>
      <c r="F539">
        <v>8</v>
      </c>
      <c r="G539">
        <v>9</v>
      </c>
      <c r="H539">
        <v>10</v>
      </c>
      <c r="I539">
        <v>8</v>
      </c>
      <c r="J539">
        <v>6</v>
      </c>
      <c r="K539">
        <v>4</v>
      </c>
      <c r="L539">
        <v>6</v>
      </c>
      <c r="M539">
        <v>2</v>
      </c>
      <c r="N539">
        <v>3</v>
      </c>
      <c r="O539">
        <v>2</v>
      </c>
      <c r="P539">
        <v>1</v>
      </c>
      <c r="Q539">
        <v>1</v>
      </c>
      <c r="R539">
        <v>0</v>
      </c>
    </row>
    <row r="540" spans="1:18">
      <c r="A540" t="s">
        <v>1848</v>
      </c>
      <c r="B540" t="s">
        <v>194</v>
      </c>
      <c r="C540" t="s">
        <v>30</v>
      </c>
      <c r="D540">
        <v>51</v>
      </c>
      <c r="E540">
        <v>55</v>
      </c>
      <c r="F540">
        <v>56</v>
      </c>
      <c r="G540">
        <v>56</v>
      </c>
      <c r="H540">
        <v>56</v>
      </c>
      <c r="I540">
        <v>58</v>
      </c>
      <c r="J540">
        <v>62</v>
      </c>
      <c r="K540">
        <v>62</v>
      </c>
      <c r="L540">
        <v>62</v>
      </c>
      <c r="M540">
        <v>56</v>
      </c>
      <c r="N540">
        <v>53</v>
      </c>
      <c r="O540">
        <v>35</v>
      </c>
      <c r="P540">
        <v>35</v>
      </c>
      <c r="Q540">
        <v>34</v>
      </c>
      <c r="R540">
        <v>32</v>
      </c>
    </row>
    <row r="541" spans="1:18">
      <c r="A541" t="s">
        <v>1849</v>
      </c>
      <c r="B541" t="s">
        <v>195</v>
      </c>
      <c r="C541" t="s">
        <v>193</v>
      </c>
      <c r="D541">
        <v>4</v>
      </c>
      <c r="E541">
        <v>4</v>
      </c>
      <c r="F541">
        <v>4</v>
      </c>
      <c r="G541">
        <v>4</v>
      </c>
      <c r="H541">
        <v>4</v>
      </c>
      <c r="I541">
        <v>7</v>
      </c>
      <c r="J541">
        <v>8</v>
      </c>
      <c r="K541">
        <v>5</v>
      </c>
      <c r="L541">
        <v>6</v>
      </c>
      <c r="M541">
        <v>4</v>
      </c>
      <c r="N541">
        <v>4</v>
      </c>
      <c r="O541">
        <v>5</v>
      </c>
      <c r="P541">
        <v>4</v>
      </c>
      <c r="Q541">
        <v>5</v>
      </c>
      <c r="R541">
        <v>6</v>
      </c>
    </row>
    <row r="542" spans="1:18">
      <c r="A542" t="s">
        <v>1850</v>
      </c>
      <c r="B542" t="s">
        <v>195</v>
      </c>
      <c r="C542" s="4" t="s">
        <v>34</v>
      </c>
      <c r="D542">
        <v>3</v>
      </c>
      <c r="E542">
        <v>2</v>
      </c>
      <c r="F542">
        <v>1</v>
      </c>
      <c r="G542">
        <v>1</v>
      </c>
      <c r="H542">
        <v>0</v>
      </c>
      <c r="I542">
        <v>4</v>
      </c>
      <c r="J542">
        <v>5</v>
      </c>
      <c r="K542">
        <v>2</v>
      </c>
      <c r="L542">
        <v>3</v>
      </c>
      <c r="M542">
        <v>3</v>
      </c>
      <c r="N542">
        <v>2</v>
      </c>
      <c r="O542">
        <v>2</v>
      </c>
      <c r="P542">
        <v>2</v>
      </c>
      <c r="Q542">
        <v>3</v>
      </c>
      <c r="R542">
        <v>4</v>
      </c>
    </row>
    <row r="543" spans="1:18">
      <c r="A543" t="s">
        <v>1851</v>
      </c>
      <c r="B543" t="s">
        <v>195</v>
      </c>
      <c r="C543" t="s">
        <v>169</v>
      </c>
      <c r="D543">
        <v>1</v>
      </c>
      <c r="E543">
        <v>2</v>
      </c>
      <c r="F543">
        <v>3</v>
      </c>
      <c r="G543">
        <v>3</v>
      </c>
      <c r="H543">
        <v>4</v>
      </c>
      <c r="I543">
        <v>3</v>
      </c>
      <c r="J543">
        <v>3</v>
      </c>
      <c r="K543">
        <v>3</v>
      </c>
      <c r="L543">
        <v>3</v>
      </c>
      <c r="M543">
        <v>1</v>
      </c>
      <c r="N543">
        <v>2</v>
      </c>
      <c r="O543">
        <v>3</v>
      </c>
      <c r="P543">
        <v>2</v>
      </c>
      <c r="Q543">
        <v>2</v>
      </c>
      <c r="R543">
        <v>2</v>
      </c>
    </row>
    <row r="544" spans="1:18">
      <c r="A544" t="s">
        <v>1852</v>
      </c>
      <c r="B544" t="s">
        <v>195</v>
      </c>
      <c r="C544" t="s">
        <v>170</v>
      </c>
      <c r="D544">
        <v>0</v>
      </c>
      <c r="E544">
        <v>0</v>
      </c>
      <c r="F544">
        <v>0</v>
      </c>
      <c r="G544">
        <v>0</v>
      </c>
      <c r="H544">
        <v>0</v>
      </c>
      <c r="I544">
        <v>0</v>
      </c>
      <c r="J544">
        <v>0</v>
      </c>
      <c r="K544">
        <v>0</v>
      </c>
      <c r="L544">
        <v>0</v>
      </c>
      <c r="M544">
        <v>0</v>
      </c>
      <c r="N544">
        <v>0</v>
      </c>
      <c r="O544">
        <v>0</v>
      </c>
      <c r="P544">
        <v>0</v>
      </c>
      <c r="Q544">
        <v>0</v>
      </c>
      <c r="R544">
        <v>0</v>
      </c>
    </row>
    <row r="545" spans="1:18">
      <c r="A545" t="s">
        <v>1853</v>
      </c>
      <c r="B545" t="s">
        <v>195</v>
      </c>
      <c r="C545" t="s">
        <v>171</v>
      </c>
      <c r="D545">
        <v>0</v>
      </c>
      <c r="E545">
        <v>0</v>
      </c>
      <c r="F545">
        <v>0</v>
      </c>
      <c r="G545">
        <v>0</v>
      </c>
      <c r="H545">
        <v>0</v>
      </c>
      <c r="I545">
        <v>0</v>
      </c>
      <c r="J545">
        <v>0</v>
      </c>
      <c r="K545">
        <v>0</v>
      </c>
      <c r="L545">
        <v>0</v>
      </c>
      <c r="M545">
        <v>0</v>
      </c>
      <c r="N545">
        <v>0</v>
      </c>
      <c r="O545">
        <v>0</v>
      </c>
      <c r="P545">
        <v>0</v>
      </c>
      <c r="Q545">
        <v>0</v>
      </c>
      <c r="R545">
        <v>0</v>
      </c>
    </row>
    <row r="546" spans="1:18">
      <c r="A546" t="s">
        <v>1854</v>
      </c>
      <c r="B546" t="s">
        <v>195</v>
      </c>
      <c r="C546" t="s">
        <v>148</v>
      </c>
      <c r="D546">
        <v>0</v>
      </c>
      <c r="E546">
        <v>0</v>
      </c>
      <c r="F546">
        <v>0</v>
      </c>
      <c r="G546">
        <v>0</v>
      </c>
      <c r="H546">
        <v>0</v>
      </c>
      <c r="I546">
        <v>0</v>
      </c>
      <c r="J546">
        <v>0</v>
      </c>
      <c r="K546">
        <v>0</v>
      </c>
      <c r="L546">
        <v>0</v>
      </c>
      <c r="M546">
        <v>0</v>
      </c>
      <c r="N546">
        <v>0</v>
      </c>
      <c r="O546">
        <v>0</v>
      </c>
      <c r="P546">
        <v>0</v>
      </c>
      <c r="Q546">
        <v>0</v>
      </c>
      <c r="R546">
        <v>0</v>
      </c>
    </row>
    <row r="547" spans="1:18">
      <c r="A547" t="s">
        <v>1855</v>
      </c>
      <c r="B547" t="s">
        <v>195</v>
      </c>
      <c r="C547" t="s">
        <v>184</v>
      </c>
      <c r="D547">
        <v>0</v>
      </c>
      <c r="E547">
        <v>0</v>
      </c>
      <c r="F547">
        <v>0</v>
      </c>
      <c r="G547">
        <v>0</v>
      </c>
      <c r="H547">
        <v>0</v>
      </c>
      <c r="I547">
        <v>0</v>
      </c>
      <c r="J547">
        <v>0</v>
      </c>
      <c r="K547">
        <v>0</v>
      </c>
      <c r="L547">
        <v>0</v>
      </c>
      <c r="M547">
        <v>0</v>
      </c>
      <c r="N547">
        <v>0</v>
      </c>
      <c r="O547">
        <v>0</v>
      </c>
      <c r="P547">
        <v>0</v>
      </c>
      <c r="Q547">
        <v>0</v>
      </c>
      <c r="R547">
        <v>0</v>
      </c>
    </row>
    <row r="548" spans="1:18">
      <c r="A548" t="s">
        <v>1856</v>
      </c>
      <c r="B548" t="s">
        <v>195</v>
      </c>
      <c r="C548" s="4" t="s">
        <v>188</v>
      </c>
      <c r="D548">
        <v>0</v>
      </c>
      <c r="E548">
        <v>1</v>
      </c>
      <c r="F548">
        <v>2</v>
      </c>
      <c r="G548">
        <v>2</v>
      </c>
      <c r="H548">
        <v>3</v>
      </c>
      <c r="I548">
        <v>2</v>
      </c>
      <c r="J548">
        <v>1</v>
      </c>
      <c r="K548">
        <v>1</v>
      </c>
      <c r="L548">
        <v>0</v>
      </c>
      <c r="M548">
        <v>0</v>
      </c>
      <c r="N548">
        <v>1</v>
      </c>
      <c r="O548">
        <v>2</v>
      </c>
      <c r="P548">
        <v>1</v>
      </c>
      <c r="Q548">
        <v>1</v>
      </c>
      <c r="R548">
        <v>1</v>
      </c>
    </row>
    <row r="549" spans="1:18">
      <c r="A549" t="s">
        <v>1857</v>
      </c>
      <c r="B549" t="s">
        <v>195</v>
      </c>
      <c r="C549" s="35" t="s">
        <v>189</v>
      </c>
      <c r="D549">
        <v>1</v>
      </c>
      <c r="E549">
        <v>1</v>
      </c>
      <c r="F549">
        <v>1</v>
      </c>
      <c r="G549">
        <v>1</v>
      </c>
      <c r="H549">
        <v>1</v>
      </c>
      <c r="I549">
        <v>1</v>
      </c>
      <c r="J549">
        <v>2</v>
      </c>
      <c r="K549">
        <v>2</v>
      </c>
      <c r="L549">
        <v>3</v>
      </c>
      <c r="M549">
        <v>1</v>
      </c>
      <c r="N549">
        <v>1</v>
      </c>
      <c r="O549">
        <v>1</v>
      </c>
      <c r="P549">
        <v>1</v>
      </c>
      <c r="Q549">
        <v>1</v>
      </c>
      <c r="R549">
        <v>1</v>
      </c>
    </row>
    <row r="550" spans="1:18">
      <c r="A550" t="s">
        <v>1858</v>
      </c>
      <c r="B550" t="s">
        <v>195</v>
      </c>
      <c r="C550" t="s">
        <v>172</v>
      </c>
      <c r="D550">
        <v>0</v>
      </c>
      <c r="E550">
        <v>0</v>
      </c>
      <c r="F550">
        <v>0</v>
      </c>
      <c r="G550">
        <v>0</v>
      </c>
      <c r="H550">
        <v>0</v>
      </c>
      <c r="I550">
        <v>0</v>
      </c>
      <c r="J550">
        <v>1</v>
      </c>
      <c r="K550">
        <v>1</v>
      </c>
      <c r="L550">
        <v>2</v>
      </c>
      <c r="M550">
        <v>0</v>
      </c>
      <c r="N550">
        <v>0</v>
      </c>
      <c r="O550">
        <v>0</v>
      </c>
      <c r="P550">
        <v>0</v>
      </c>
      <c r="Q550">
        <v>0</v>
      </c>
      <c r="R550">
        <v>0</v>
      </c>
    </row>
    <row r="551" spans="1:18">
      <c r="A551" t="s">
        <v>1859</v>
      </c>
      <c r="B551" t="s">
        <v>195</v>
      </c>
      <c r="C551" t="s">
        <v>30</v>
      </c>
      <c r="D551">
        <v>1</v>
      </c>
      <c r="E551">
        <v>1</v>
      </c>
      <c r="F551">
        <v>1</v>
      </c>
      <c r="G551">
        <v>1</v>
      </c>
      <c r="H551">
        <v>1</v>
      </c>
      <c r="I551">
        <v>1</v>
      </c>
      <c r="J551">
        <v>1</v>
      </c>
      <c r="K551">
        <v>1</v>
      </c>
      <c r="L551">
        <v>1</v>
      </c>
      <c r="M551">
        <v>1</v>
      </c>
      <c r="N551">
        <v>1</v>
      </c>
      <c r="O551">
        <v>1</v>
      </c>
      <c r="P551">
        <v>1</v>
      </c>
      <c r="Q551">
        <v>1</v>
      </c>
      <c r="R551">
        <v>1</v>
      </c>
    </row>
    <row r="552" spans="1:18">
      <c r="A552" t="s">
        <v>1860</v>
      </c>
      <c r="B552" t="s">
        <v>196</v>
      </c>
      <c r="C552" t="s">
        <v>193</v>
      </c>
      <c r="D552">
        <v>116</v>
      </c>
      <c r="E552">
        <v>109</v>
      </c>
      <c r="F552">
        <v>120</v>
      </c>
      <c r="G552">
        <v>119</v>
      </c>
      <c r="H552">
        <v>129</v>
      </c>
      <c r="I552">
        <v>135</v>
      </c>
      <c r="J552">
        <v>132</v>
      </c>
      <c r="K552">
        <v>115</v>
      </c>
      <c r="L552">
        <v>117</v>
      </c>
      <c r="M552">
        <v>106</v>
      </c>
      <c r="N552">
        <v>101</v>
      </c>
      <c r="O552">
        <v>92</v>
      </c>
      <c r="P552">
        <v>99</v>
      </c>
      <c r="Q552">
        <v>114</v>
      </c>
      <c r="R552">
        <v>111</v>
      </c>
    </row>
    <row r="553" spans="1:18">
      <c r="A553" t="s">
        <v>1861</v>
      </c>
      <c r="B553" t="s">
        <v>196</v>
      </c>
      <c r="C553" s="4" t="s">
        <v>34</v>
      </c>
      <c r="D553">
        <v>35</v>
      </c>
      <c r="E553">
        <v>29</v>
      </c>
      <c r="F553">
        <v>31</v>
      </c>
      <c r="G553">
        <v>24</v>
      </c>
      <c r="H553">
        <v>38</v>
      </c>
      <c r="I553">
        <v>50</v>
      </c>
      <c r="J553">
        <v>45</v>
      </c>
      <c r="K553">
        <v>37</v>
      </c>
      <c r="L553">
        <v>39</v>
      </c>
      <c r="M553">
        <v>38</v>
      </c>
      <c r="N553">
        <v>35</v>
      </c>
      <c r="O553">
        <v>42</v>
      </c>
      <c r="P553">
        <v>43</v>
      </c>
      <c r="Q553">
        <v>50</v>
      </c>
      <c r="R553">
        <v>58</v>
      </c>
    </row>
    <row r="554" spans="1:18">
      <c r="A554" t="s">
        <v>1862</v>
      </c>
      <c r="B554" t="s">
        <v>196</v>
      </c>
      <c r="C554" t="s">
        <v>169</v>
      </c>
      <c r="D554">
        <v>81</v>
      </c>
      <c r="E554">
        <v>80</v>
      </c>
      <c r="F554">
        <v>89</v>
      </c>
      <c r="G554">
        <v>95</v>
      </c>
      <c r="H554">
        <v>91</v>
      </c>
      <c r="I554">
        <v>85</v>
      </c>
      <c r="J554">
        <v>87</v>
      </c>
      <c r="K554">
        <v>78</v>
      </c>
      <c r="L554">
        <v>78</v>
      </c>
      <c r="M554">
        <v>68</v>
      </c>
      <c r="N554">
        <v>66</v>
      </c>
      <c r="O554">
        <v>50</v>
      </c>
      <c r="P554">
        <v>56</v>
      </c>
      <c r="Q554">
        <v>64</v>
      </c>
      <c r="R554">
        <v>53</v>
      </c>
    </row>
    <row r="555" spans="1:18">
      <c r="A555" t="s">
        <v>1863</v>
      </c>
      <c r="B555" t="s">
        <v>196</v>
      </c>
      <c r="C555" t="s">
        <v>170</v>
      </c>
      <c r="D555">
        <v>0</v>
      </c>
      <c r="E555">
        <v>0</v>
      </c>
      <c r="F555">
        <v>0</v>
      </c>
      <c r="G555">
        <v>0</v>
      </c>
      <c r="H555">
        <v>0</v>
      </c>
      <c r="I555">
        <v>0</v>
      </c>
      <c r="J555">
        <v>0</v>
      </c>
      <c r="K555">
        <v>0</v>
      </c>
      <c r="L555">
        <v>0</v>
      </c>
      <c r="M555">
        <v>0</v>
      </c>
      <c r="N555">
        <v>0</v>
      </c>
      <c r="O555">
        <v>0</v>
      </c>
      <c r="P555">
        <v>0</v>
      </c>
      <c r="Q555">
        <v>0</v>
      </c>
      <c r="R555">
        <v>0</v>
      </c>
    </row>
    <row r="556" spans="1:18">
      <c r="A556" t="s">
        <v>1864</v>
      </c>
      <c r="B556" t="s">
        <v>196</v>
      </c>
      <c r="C556" t="s">
        <v>171</v>
      </c>
      <c r="D556">
        <v>0</v>
      </c>
      <c r="E556">
        <v>0</v>
      </c>
      <c r="F556">
        <v>0</v>
      </c>
      <c r="G556">
        <v>0</v>
      </c>
      <c r="H556">
        <v>0</v>
      </c>
      <c r="I556">
        <v>0</v>
      </c>
      <c r="J556">
        <v>0</v>
      </c>
      <c r="K556">
        <v>0</v>
      </c>
      <c r="L556">
        <v>0</v>
      </c>
      <c r="M556">
        <v>0</v>
      </c>
      <c r="N556">
        <v>0</v>
      </c>
      <c r="O556">
        <v>0</v>
      </c>
      <c r="P556">
        <v>0</v>
      </c>
      <c r="Q556">
        <v>0</v>
      </c>
      <c r="R556">
        <v>0</v>
      </c>
    </row>
    <row r="557" spans="1:18">
      <c r="A557" t="s">
        <v>1865</v>
      </c>
      <c r="B557" t="s">
        <v>196</v>
      </c>
      <c r="C557" t="s">
        <v>148</v>
      </c>
      <c r="D557">
        <v>0</v>
      </c>
      <c r="E557">
        <v>0</v>
      </c>
      <c r="F557">
        <v>0</v>
      </c>
      <c r="G557">
        <v>0</v>
      </c>
      <c r="H557">
        <v>0</v>
      </c>
      <c r="I557">
        <v>0</v>
      </c>
      <c r="J557">
        <v>0</v>
      </c>
      <c r="K557">
        <v>0</v>
      </c>
      <c r="L557">
        <v>0</v>
      </c>
      <c r="M557">
        <v>0</v>
      </c>
      <c r="N557">
        <v>0</v>
      </c>
      <c r="O557">
        <v>0</v>
      </c>
      <c r="P557">
        <v>0</v>
      </c>
      <c r="Q557">
        <v>0</v>
      </c>
      <c r="R557">
        <v>0</v>
      </c>
    </row>
    <row r="558" spans="1:18">
      <c r="A558" t="s">
        <v>1866</v>
      </c>
      <c r="B558" t="s">
        <v>196</v>
      </c>
      <c r="C558" t="s">
        <v>184</v>
      </c>
      <c r="D558">
        <v>0</v>
      </c>
      <c r="E558">
        <v>0</v>
      </c>
      <c r="F558">
        <v>0</v>
      </c>
      <c r="G558">
        <v>0</v>
      </c>
      <c r="H558">
        <v>0</v>
      </c>
      <c r="I558">
        <v>0</v>
      </c>
      <c r="J558">
        <v>0</v>
      </c>
      <c r="K558">
        <v>0</v>
      </c>
      <c r="L558">
        <v>0</v>
      </c>
      <c r="M558">
        <v>0</v>
      </c>
      <c r="N558">
        <v>0</v>
      </c>
      <c r="O558">
        <v>0</v>
      </c>
      <c r="P558">
        <v>0</v>
      </c>
      <c r="Q558">
        <v>0</v>
      </c>
      <c r="R558">
        <v>0</v>
      </c>
    </row>
    <row r="559" spans="1:18">
      <c r="A559" t="s">
        <v>1867</v>
      </c>
      <c r="B559" t="s">
        <v>196</v>
      </c>
      <c r="C559" s="4" t="s">
        <v>188</v>
      </c>
      <c r="D559">
        <v>21</v>
      </c>
      <c r="E559">
        <v>20</v>
      </c>
      <c r="F559">
        <v>23</v>
      </c>
      <c r="G559">
        <v>26</v>
      </c>
      <c r="H559">
        <v>22</v>
      </c>
      <c r="I559">
        <v>14</v>
      </c>
      <c r="J559">
        <v>14</v>
      </c>
      <c r="K559">
        <v>10</v>
      </c>
      <c r="L559">
        <v>9</v>
      </c>
      <c r="M559">
        <v>8</v>
      </c>
      <c r="N559">
        <v>7</v>
      </c>
      <c r="O559">
        <v>12</v>
      </c>
      <c r="P559">
        <v>19</v>
      </c>
      <c r="Q559">
        <v>27</v>
      </c>
      <c r="R559">
        <v>19</v>
      </c>
    </row>
    <row r="560" spans="1:18">
      <c r="A560" t="s">
        <v>1868</v>
      </c>
      <c r="B560" t="s">
        <v>196</v>
      </c>
      <c r="C560" s="35" t="s">
        <v>189</v>
      </c>
      <c r="D560">
        <v>60</v>
      </c>
      <c r="E560">
        <v>60</v>
      </c>
      <c r="F560">
        <v>66</v>
      </c>
      <c r="G560">
        <v>69</v>
      </c>
      <c r="H560">
        <v>69</v>
      </c>
      <c r="I560">
        <v>71</v>
      </c>
      <c r="J560">
        <v>73</v>
      </c>
      <c r="K560">
        <v>68</v>
      </c>
      <c r="L560">
        <v>69</v>
      </c>
      <c r="M560">
        <v>60</v>
      </c>
      <c r="N560">
        <v>59</v>
      </c>
      <c r="O560">
        <v>38</v>
      </c>
      <c r="P560">
        <v>37</v>
      </c>
      <c r="Q560">
        <v>37</v>
      </c>
      <c r="R560">
        <v>34</v>
      </c>
    </row>
    <row r="561" spans="1:18">
      <c r="A561" t="s">
        <v>1869</v>
      </c>
      <c r="B561" t="s">
        <v>196</v>
      </c>
      <c r="C561" t="s">
        <v>172</v>
      </c>
      <c r="D561">
        <v>8</v>
      </c>
      <c r="E561">
        <v>4</v>
      </c>
      <c r="F561">
        <v>8</v>
      </c>
      <c r="G561">
        <v>10</v>
      </c>
      <c r="H561">
        <v>10</v>
      </c>
      <c r="I561">
        <v>11</v>
      </c>
      <c r="J561">
        <v>9</v>
      </c>
      <c r="K561">
        <v>4</v>
      </c>
      <c r="L561">
        <v>5</v>
      </c>
      <c r="M561">
        <v>2</v>
      </c>
      <c r="N561">
        <v>3</v>
      </c>
      <c r="O561">
        <v>2</v>
      </c>
      <c r="P561">
        <v>1</v>
      </c>
      <c r="Q561">
        <v>2</v>
      </c>
      <c r="R561">
        <v>2</v>
      </c>
    </row>
    <row r="562" spans="1:18">
      <c r="A562" t="s">
        <v>1870</v>
      </c>
      <c r="B562" t="s">
        <v>196</v>
      </c>
      <c r="C562" t="s">
        <v>30</v>
      </c>
      <c r="D562">
        <v>52</v>
      </c>
      <c r="E562">
        <v>56</v>
      </c>
      <c r="F562">
        <v>58</v>
      </c>
      <c r="G562">
        <v>59</v>
      </c>
      <c r="H562">
        <v>59</v>
      </c>
      <c r="I562">
        <v>60</v>
      </c>
      <c r="J562">
        <v>64</v>
      </c>
      <c r="K562">
        <v>64</v>
      </c>
      <c r="L562">
        <v>64</v>
      </c>
      <c r="M562">
        <v>58</v>
      </c>
      <c r="N562">
        <v>56</v>
      </c>
      <c r="O562">
        <v>36</v>
      </c>
      <c r="P562">
        <v>36</v>
      </c>
      <c r="Q562">
        <v>35</v>
      </c>
      <c r="R562">
        <v>32</v>
      </c>
    </row>
    <row r="563" spans="1:18">
      <c r="A563" t="s">
        <v>1871</v>
      </c>
      <c r="B563" t="s">
        <v>196</v>
      </c>
      <c r="C563" t="s">
        <v>177</v>
      </c>
      <c r="D563">
        <v>0</v>
      </c>
      <c r="E563">
        <v>0</v>
      </c>
      <c r="F563">
        <v>0</v>
      </c>
      <c r="G563">
        <v>0</v>
      </c>
      <c r="H563">
        <v>0</v>
      </c>
      <c r="I563">
        <v>0</v>
      </c>
      <c r="J563">
        <v>0</v>
      </c>
      <c r="K563">
        <v>0</v>
      </c>
      <c r="L563">
        <v>0</v>
      </c>
      <c r="M563">
        <v>0</v>
      </c>
      <c r="N563">
        <v>0</v>
      </c>
      <c r="O563">
        <v>0</v>
      </c>
      <c r="P563">
        <v>0</v>
      </c>
      <c r="Q563">
        <v>0</v>
      </c>
      <c r="R563">
        <v>0</v>
      </c>
    </row>
    <row r="564" spans="1:18">
      <c r="A564" t="s">
        <v>1872</v>
      </c>
      <c r="B564" t="s">
        <v>196</v>
      </c>
      <c r="C564" t="s">
        <v>178</v>
      </c>
      <c r="D564">
        <v>0</v>
      </c>
      <c r="E564">
        <v>0</v>
      </c>
      <c r="F564">
        <v>0</v>
      </c>
      <c r="G564">
        <v>0</v>
      </c>
      <c r="H564">
        <v>0</v>
      </c>
      <c r="I564">
        <v>0</v>
      </c>
      <c r="J564">
        <v>0</v>
      </c>
      <c r="K564">
        <v>0</v>
      </c>
      <c r="L564">
        <v>0</v>
      </c>
      <c r="M564">
        <v>0</v>
      </c>
      <c r="N564">
        <v>0</v>
      </c>
      <c r="O564">
        <v>0</v>
      </c>
      <c r="P564">
        <v>0</v>
      </c>
      <c r="Q564">
        <v>0</v>
      </c>
      <c r="R564">
        <v>0</v>
      </c>
    </row>
    <row r="565" spans="1:18">
      <c r="A565" t="s">
        <v>1873</v>
      </c>
      <c r="B565" t="s">
        <v>197</v>
      </c>
      <c r="C565" t="s">
        <v>193</v>
      </c>
      <c r="D565">
        <v>116</v>
      </c>
      <c r="E565">
        <v>109</v>
      </c>
      <c r="F565">
        <v>120</v>
      </c>
      <c r="G565">
        <v>119</v>
      </c>
      <c r="H565">
        <v>129</v>
      </c>
      <c r="I565">
        <v>135</v>
      </c>
      <c r="J565">
        <v>132</v>
      </c>
      <c r="K565">
        <v>115</v>
      </c>
      <c r="L565">
        <v>117</v>
      </c>
      <c r="M565">
        <v>106</v>
      </c>
      <c r="N565">
        <v>101</v>
      </c>
      <c r="O565">
        <v>92</v>
      </c>
      <c r="P565">
        <v>99</v>
      </c>
      <c r="Q565">
        <v>114</v>
      </c>
      <c r="R565">
        <v>111</v>
      </c>
    </row>
    <row r="566" spans="1:18">
      <c r="A566" t="s">
        <v>1874</v>
      </c>
      <c r="B566" t="s">
        <v>197</v>
      </c>
      <c r="C566" s="4" t="s">
        <v>34</v>
      </c>
      <c r="D566">
        <v>35</v>
      </c>
      <c r="E566">
        <v>29</v>
      </c>
      <c r="F566">
        <v>31</v>
      </c>
      <c r="G566">
        <v>24</v>
      </c>
      <c r="H566">
        <v>38</v>
      </c>
      <c r="I566">
        <v>50</v>
      </c>
      <c r="J566">
        <v>45</v>
      </c>
      <c r="K566">
        <v>37</v>
      </c>
      <c r="L566">
        <v>39</v>
      </c>
      <c r="M566">
        <v>38</v>
      </c>
      <c r="N566">
        <v>35</v>
      </c>
      <c r="O566">
        <v>42</v>
      </c>
      <c r="P566">
        <v>43</v>
      </c>
      <c r="Q566">
        <v>50</v>
      </c>
      <c r="R566">
        <v>58</v>
      </c>
    </row>
    <row r="567" spans="1:18">
      <c r="A567" t="s">
        <v>1875</v>
      </c>
      <c r="B567" t="s">
        <v>197</v>
      </c>
      <c r="C567" t="s">
        <v>169</v>
      </c>
      <c r="D567">
        <v>21</v>
      </c>
      <c r="E567">
        <v>20</v>
      </c>
      <c r="F567">
        <v>23</v>
      </c>
      <c r="G567">
        <v>26</v>
      </c>
      <c r="H567">
        <v>22</v>
      </c>
      <c r="I567">
        <v>14</v>
      </c>
      <c r="J567">
        <v>14</v>
      </c>
      <c r="K567">
        <v>10</v>
      </c>
      <c r="L567">
        <v>9</v>
      </c>
      <c r="M567">
        <v>8</v>
      </c>
      <c r="N567">
        <v>7</v>
      </c>
      <c r="O567">
        <v>12</v>
      </c>
      <c r="P567">
        <v>19</v>
      </c>
      <c r="Q567">
        <v>27</v>
      </c>
      <c r="R567">
        <v>19</v>
      </c>
    </row>
    <row r="568" spans="1:18">
      <c r="A568" t="s">
        <v>1876</v>
      </c>
      <c r="B568" t="s">
        <v>197</v>
      </c>
      <c r="C568" t="s">
        <v>170</v>
      </c>
      <c r="D568">
        <v>8</v>
      </c>
      <c r="E568">
        <v>4</v>
      </c>
      <c r="F568">
        <v>8</v>
      </c>
      <c r="G568">
        <v>10</v>
      </c>
      <c r="H568">
        <v>10</v>
      </c>
      <c r="I568">
        <v>11</v>
      </c>
      <c r="J568">
        <v>9</v>
      </c>
      <c r="K568">
        <v>4</v>
      </c>
      <c r="L568">
        <v>5</v>
      </c>
      <c r="M568">
        <v>2</v>
      </c>
      <c r="N568">
        <v>3</v>
      </c>
      <c r="O568">
        <v>2</v>
      </c>
      <c r="P568">
        <v>1</v>
      </c>
      <c r="Q568">
        <v>2</v>
      </c>
      <c r="R568">
        <v>2</v>
      </c>
    </row>
    <row r="569" spans="1:18">
      <c r="A569" t="s">
        <v>1877</v>
      </c>
      <c r="B569" t="s">
        <v>197</v>
      </c>
      <c r="C569" t="s">
        <v>171</v>
      </c>
      <c r="D569">
        <v>52</v>
      </c>
      <c r="E569">
        <v>56</v>
      </c>
      <c r="F569">
        <v>58</v>
      </c>
      <c r="G569">
        <v>59</v>
      </c>
      <c r="H569">
        <v>59</v>
      </c>
      <c r="I569">
        <v>60</v>
      </c>
      <c r="J569">
        <v>64</v>
      </c>
      <c r="K569">
        <v>64</v>
      </c>
      <c r="L569">
        <v>64</v>
      </c>
      <c r="M569">
        <v>58</v>
      </c>
      <c r="N569">
        <v>56</v>
      </c>
      <c r="O569">
        <v>36</v>
      </c>
      <c r="P569">
        <v>36</v>
      </c>
      <c r="Q569">
        <v>35</v>
      </c>
      <c r="R569">
        <v>32</v>
      </c>
    </row>
    <row r="570" spans="1:18">
      <c r="A570" t="s">
        <v>1878</v>
      </c>
      <c r="B570" t="s">
        <v>197</v>
      </c>
      <c r="C570" t="s">
        <v>148</v>
      </c>
      <c r="D570">
        <v>0</v>
      </c>
      <c r="E570">
        <v>0</v>
      </c>
      <c r="F570">
        <v>0</v>
      </c>
      <c r="G570">
        <v>0</v>
      </c>
      <c r="H570">
        <v>0</v>
      </c>
      <c r="I570">
        <v>0</v>
      </c>
      <c r="J570">
        <v>0</v>
      </c>
      <c r="K570">
        <v>0</v>
      </c>
      <c r="L570">
        <v>0</v>
      </c>
      <c r="M570">
        <v>0</v>
      </c>
      <c r="N570">
        <v>0</v>
      </c>
      <c r="O570">
        <v>0</v>
      </c>
      <c r="P570">
        <v>0</v>
      </c>
      <c r="Q570">
        <v>0</v>
      </c>
      <c r="R570">
        <v>0</v>
      </c>
    </row>
    <row r="571" spans="1:18">
      <c r="A571" t="s">
        <v>1879</v>
      </c>
      <c r="B571" t="s">
        <v>197</v>
      </c>
      <c r="C571" t="s">
        <v>184</v>
      </c>
      <c r="D571">
        <v>0</v>
      </c>
      <c r="E571">
        <v>0</v>
      </c>
      <c r="F571">
        <v>0</v>
      </c>
      <c r="G571">
        <v>0</v>
      </c>
      <c r="H571">
        <v>0</v>
      </c>
      <c r="I571">
        <v>0</v>
      </c>
      <c r="J571">
        <v>0</v>
      </c>
      <c r="K571">
        <v>0</v>
      </c>
      <c r="L571">
        <v>0</v>
      </c>
      <c r="M571">
        <v>0</v>
      </c>
      <c r="N571">
        <v>0</v>
      </c>
      <c r="O571">
        <v>0</v>
      </c>
      <c r="P571">
        <v>0</v>
      </c>
      <c r="Q571">
        <v>0</v>
      </c>
      <c r="R571">
        <v>0</v>
      </c>
    </row>
    <row r="572" spans="1:18">
      <c r="A572" t="s">
        <v>1880</v>
      </c>
      <c r="B572" t="s">
        <v>197</v>
      </c>
      <c r="C572" s="4" t="s">
        <v>188</v>
      </c>
      <c r="D572">
        <v>81</v>
      </c>
      <c r="E572">
        <v>80</v>
      </c>
      <c r="F572">
        <v>89</v>
      </c>
      <c r="G572">
        <v>95</v>
      </c>
      <c r="H572">
        <v>91</v>
      </c>
      <c r="I572">
        <v>85</v>
      </c>
      <c r="J572">
        <v>87</v>
      </c>
      <c r="K572">
        <v>78</v>
      </c>
      <c r="L572">
        <v>78</v>
      </c>
      <c r="M572">
        <v>68</v>
      </c>
      <c r="N572">
        <v>66</v>
      </c>
      <c r="O572">
        <v>50</v>
      </c>
      <c r="P572">
        <v>56</v>
      </c>
      <c r="Q572">
        <v>64</v>
      </c>
      <c r="R572">
        <v>53</v>
      </c>
    </row>
    <row r="573" spans="1:18">
      <c r="A573" t="s">
        <v>1881</v>
      </c>
      <c r="B573" t="s">
        <v>197</v>
      </c>
      <c r="C573" s="35" t="s">
        <v>189</v>
      </c>
      <c r="D573">
        <v>60</v>
      </c>
      <c r="E573">
        <v>60</v>
      </c>
      <c r="F573">
        <v>66</v>
      </c>
      <c r="G573">
        <v>69</v>
      </c>
      <c r="H573">
        <v>69</v>
      </c>
      <c r="I573">
        <v>71</v>
      </c>
      <c r="J573">
        <v>73</v>
      </c>
      <c r="K573">
        <v>68</v>
      </c>
      <c r="L573">
        <v>69</v>
      </c>
      <c r="M573">
        <v>60</v>
      </c>
      <c r="N573">
        <v>59</v>
      </c>
      <c r="O573">
        <v>38</v>
      </c>
      <c r="P573">
        <v>37</v>
      </c>
      <c r="Q573">
        <v>37</v>
      </c>
      <c r="R573">
        <v>34</v>
      </c>
    </row>
    <row r="574" spans="1:18">
      <c r="A574" t="s">
        <v>1882</v>
      </c>
      <c r="B574" t="s">
        <v>197</v>
      </c>
      <c r="C574" t="s">
        <v>172</v>
      </c>
      <c r="D574">
        <v>0</v>
      </c>
      <c r="E574">
        <v>0</v>
      </c>
      <c r="F574">
        <v>0</v>
      </c>
      <c r="G574">
        <v>0</v>
      </c>
      <c r="H574">
        <v>0</v>
      </c>
      <c r="I574">
        <v>0</v>
      </c>
      <c r="J574">
        <v>0</v>
      </c>
      <c r="K574">
        <v>0</v>
      </c>
      <c r="L574">
        <v>0</v>
      </c>
      <c r="M574">
        <v>0</v>
      </c>
      <c r="N574">
        <v>0</v>
      </c>
      <c r="O574">
        <v>0</v>
      </c>
      <c r="P574">
        <v>0</v>
      </c>
      <c r="Q574">
        <v>0</v>
      </c>
      <c r="R574">
        <v>0</v>
      </c>
    </row>
    <row r="575" spans="1:18">
      <c r="A575" t="s">
        <v>1883</v>
      </c>
      <c r="B575" t="s">
        <v>197</v>
      </c>
      <c r="C575" t="s">
        <v>30</v>
      </c>
      <c r="D575">
        <v>0</v>
      </c>
      <c r="E575">
        <v>0</v>
      </c>
      <c r="F575">
        <v>0</v>
      </c>
      <c r="G575">
        <v>0</v>
      </c>
      <c r="H575">
        <v>0</v>
      </c>
      <c r="I575">
        <v>0</v>
      </c>
      <c r="J575">
        <v>0</v>
      </c>
      <c r="K575">
        <v>0</v>
      </c>
      <c r="L575">
        <v>0</v>
      </c>
      <c r="M575">
        <v>0</v>
      </c>
      <c r="N575">
        <v>0</v>
      </c>
      <c r="O575">
        <v>0</v>
      </c>
      <c r="P575">
        <v>0</v>
      </c>
      <c r="Q575">
        <v>0</v>
      </c>
      <c r="R575">
        <v>0</v>
      </c>
    </row>
    <row r="576" spans="1:18">
      <c r="A576" t="s">
        <v>1884</v>
      </c>
      <c r="B576" t="s">
        <v>197</v>
      </c>
      <c r="C576" t="s">
        <v>177</v>
      </c>
      <c r="D576">
        <v>0</v>
      </c>
      <c r="E576">
        <v>0</v>
      </c>
      <c r="F576">
        <v>0</v>
      </c>
      <c r="G576">
        <v>0</v>
      </c>
      <c r="H576">
        <v>0</v>
      </c>
      <c r="I576">
        <v>0</v>
      </c>
      <c r="J576">
        <v>0</v>
      </c>
      <c r="K576">
        <v>0</v>
      </c>
      <c r="L576">
        <v>0</v>
      </c>
      <c r="M576">
        <v>0</v>
      </c>
      <c r="N576">
        <v>0</v>
      </c>
      <c r="O576">
        <v>0</v>
      </c>
      <c r="P576">
        <v>0</v>
      </c>
      <c r="Q576">
        <v>0</v>
      </c>
      <c r="R576">
        <v>0</v>
      </c>
    </row>
    <row r="577" spans="1:18">
      <c r="A577" t="s">
        <v>1885</v>
      </c>
      <c r="B577" t="s">
        <v>197</v>
      </c>
      <c r="C577" t="s">
        <v>178</v>
      </c>
      <c r="D577">
        <v>0</v>
      </c>
      <c r="E577">
        <v>0</v>
      </c>
      <c r="F577">
        <v>0</v>
      </c>
      <c r="G577">
        <v>0</v>
      </c>
      <c r="H577">
        <v>0</v>
      </c>
      <c r="I577">
        <v>0</v>
      </c>
      <c r="J577">
        <v>0</v>
      </c>
      <c r="K577">
        <v>0</v>
      </c>
      <c r="L577">
        <v>0</v>
      </c>
      <c r="M577">
        <v>0</v>
      </c>
      <c r="N577">
        <v>0</v>
      </c>
      <c r="O577">
        <v>0</v>
      </c>
      <c r="P577">
        <v>0</v>
      </c>
      <c r="Q577">
        <v>0</v>
      </c>
      <c r="R577">
        <v>0</v>
      </c>
    </row>
    <row r="578" spans="1:18">
      <c r="A578" t="s">
        <v>1886</v>
      </c>
      <c r="B578" t="s">
        <v>194</v>
      </c>
      <c r="C578" t="s">
        <v>193</v>
      </c>
      <c r="D578">
        <v>2205</v>
      </c>
      <c r="E578">
        <v>2015</v>
      </c>
      <c r="F578">
        <v>1825</v>
      </c>
      <c r="G578">
        <v>1857</v>
      </c>
      <c r="H578">
        <v>1865</v>
      </c>
      <c r="I578">
        <v>1837</v>
      </c>
      <c r="J578">
        <v>1812</v>
      </c>
      <c r="K578">
        <v>1724</v>
      </c>
      <c r="L578">
        <v>1735</v>
      </c>
      <c r="M578">
        <v>1594</v>
      </c>
      <c r="N578">
        <v>1486</v>
      </c>
      <c r="O578">
        <v>1466</v>
      </c>
      <c r="P578">
        <v>1410</v>
      </c>
      <c r="Q578">
        <v>1396</v>
      </c>
      <c r="R578">
        <v>1468</v>
      </c>
    </row>
    <row r="579" spans="1:18">
      <c r="A579" t="s">
        <v>1887</v>
      </c>
      <c r="B579" t="s">
        <v>194</v>
      </c>
      <c r="C579" s="4" t="s">
        <v>34</v>
      </c>
      <c r="D579">
        <v>1261</v>
      </c>
      <c r="E579">
        <v>1086</v>
      </c>
      <c r="F579">
        <v>870</v>
      </c>
      <c r="G579">
        <v>896</v>
      </c>
      <c r="H579">
        <v>920</v>
      </c>
      <c r="I579">
        <v>981</v>
      </c>
      <c r="J579">
        <v>969</v>
      </c>
      <c r="K579">
        <v>963</v>
      </c>
      <c r="L579">
        <v>974</v>
      </c>
      <c r="M579">
        <v>922</v>
      </c>
      <c r="N579">
        <v>847</v>
      </c>
      <c r="O579">
        <v>822</v>
      </c>
      <c r="P579">
        <v>804</v>
      </c>
      <c r="Q579">
        <v>855</v>
      </c>
      <c r="R579">
        <v>1014</v>
      </c>
    </row>
    <row r="580" spans="1:18">
      <c r="A580" t="s">
        <v>1888</v>
      </c>
      <c r="B580" t="s">
        <v>194</v>
      </c>
      <c r="C580" t="s">
        <v>169</v>
      </c>
      <c r="D580">
        <v>944</v>
      </c>
      <c r="E580">
        <v>929</v>
      </c>
      <c r="F580">
        <v>955</v>
      </c>
      <c r="G580">
        <v>961</v>
      </c>
      <c r="H580">
        <v>945</v>
      </c>
      <c r="I580">
        <v>856</v>
      </c>
      <c r="J580">
        <v>843</v>
      </c>
      <c r="K580">
        <v>761</v>
      </c>
      <c r="L580">
        <v>761</v>
      </c>
      <c r="M580">
        <v>672</v>
      </c>
      <c r="N580">
        <v>639</v>
      </c>
      <c r="O580">
        <v>644</v>
      </c>
      <c r="P580">
        <v>606</v>
      </c>
      <c r="Q580">
        <v>541</v>
      </c>
      <c r="R580">
        <v>454</v>
      </c>
    </row>
    <row r="581" spans="1:18">
      <c r="A581" t="s">
        <v>1889</v>
      </c>
      <c r="B581" t="s">
        <v>194</v>
      </c>
      <c r="C581" t="s">
        <v>170</v>
      </c>
      <c r="D581">
        <v>0</v>
      </c>
      <c r="E581">
        <v>0</v>
      </c>
      <c r="F581">
        <v>0</v>
      </c>
      <c r="G581">
        <v>0</v>
      </c>
      <c r="H581">
        <v>0</v>
      </c>
      <c r="I581">
        <v>0</v>
      </c>
      <c r="J581">
        <v>0</v>
      </c>
      <c r="K581">
        <v>0</v>
      </c>
      <c r="L581">
        <v>0</v>
      </c>
      <c r="M581">
        <v>0</v>
      </c>
      <c r="N581">
        <v>0</v>
      </c>
      <c r="O581">
        <v>0</v>
      </c>
      <c r="P581">
        <v>0</v>
      </c>
      <c r="Q581">
        <v>0</v>
      </c>
      <c r="R581">
        <v>0</v>
      </c>
    </row>
    <row r="582" spans="1:18">
      <c r="A582" t="s">
        <v>1890</v>
      </c>
      <c r="B582" t="s">
        <v>194</v>
      </c>
      <c r="C582" t="s">
        <v>171</v>
      </c>
      <c r="D582">
        <v>0</v>
      </c>
      <c r="E582">
        <v>0</v>
      </c>
      <c r="F582">
        <v>0</v>
      </c>
      <c r="G582">
        <v>0</v>
      </c>
      <c r="H582">
        <v>0</v>
      </c>
      <c r="I582">
        <v>0</v>
      </c>
      <c r="J582">
        <v>0</v>
      </c>
      <c r="K582">
        <v>0</v>
      </c>
      <c r="L582">
        <v>0</v>
      </c>
      <c r="M582">
        <v>0</v>
      </c>
      <c r="N582">
        <v>0</v>
      </c>
      <c r="O582">
        <v>0</v>
      </c>
      <c r="P582">
        <v>0</v>
      </c>
      <c r="Q582">
        <v>0</v>
      </c>
      <c r="R582">
        <v>0</v>
      </c>
    </row>
    <row r="583" spans="1:18">
      <c r="A583" t="s">
        <v>1891</v>
      </c>
      <c r="B583" t="s">
        <v>194</v>
      </c>
      <c r="C583" t="s">
        <v>148</v>
      </c>
      <c r="D583">
        <v>0</v>
      </c>
      <c r="E583">
        <v>0</v>
      </c>
      <c r="F583">
        <v>0</v>
      </c>
      <c r="G583">
        <v>0</v>
      </c>
      <c r="H583">
        <v>0</v>
      </c>
      <c r="I583">
        <v>0</v>
      </c>
      <c r="J583">
        <v>0</v>
      </c>
      <c r="K583">
        <v>0</v>
      </c>
      <c r="L583">
        <v>0</v>
      </c>
      <c r="M583">
        <v>0</v>
      </c>
      <c r="N583">
        <v>0</v>
      </c>
      <c r="O583">
        <v>0</v>
      </c>
      <c r="P583">
        <v>0</v>
      </c>
      <c r="Q583">
        <v>0</v>
      </c>
      <c r="R583">
        <v>0</v>
      </c>
    </row>
    <row r="584" spans="1:18">
      <c r="A584" t="s">
        <v>1892</v>
      </c>
      <c r="B584" t="s">
        <v>194</v>
      </c>
      <c r="C584" t="s">
        <v>184</v>
      </c>
      <c r="D584">
        <v>0</v>
      </c>
      <c r="E584">
        <v>0</v>
      </c>
      <c r="F584">
        <v>0</v>
      </c>
      <c r="G584">
        <v>0</v>
      </c>
      <c r="H584">
        <v>0</v>
      </c>
      <c r="I584">
        <v>0</v>
      </c>
      <c r="J584">
        <v>0</v>
      </c>
      <c r="K584">
        <v>0</v>
      </c>
      <c r="L584">
        <v>0</v>
      </c>
      <c r="M584">
        <v>0</v>
      </c>
      <c r="N584">
        <v>0</v>
      </c>
      <c r="O584">
        <v>0</v>
      </c>
      <c r="P584">
        <v>0</v>
      </c>
      <c r="Q584">
        <v>0</v>
      </c>
      <c r="R584">
        <v>0</v>
      </c>
    </row>
    <row r="585" spans="1:18">
      <c r="A585" t="s">
        <v>1893</v>
      </c>
      <c r="B585" t="s">
        <v>194</v>
      </c>
      <c r="C585" s="4" t="s">
        <v>188</v>
      </c>
      <c r="D585">
        <v>683</v>
      </c>
      <c r="E585">
        <v>697</v>
      </c>
      <c r="F585">
        <v>732</v>
      </c>
      <c r="G585">
        <v>685</v>
      </c>
      <c r="H585">
        <v>572</v>
      </c>
      <c r="I585">
        <v>400</v>
      </c>
      <c r="J585">
        <v>343</v>
      </c>
      <c r="K585">
        <v>283</v>
      </c>
      <c r="L585">
        <v>319</v>
      </c>
      <c r="M585">
        <v>270</v>
      </c>
      <c r="N585">
        <v>278</v>
      </c>
      <c r="O585">
        <v>299</v>
      </c>
      <c r="P585">
        <v>253</v>
      </c>
      <c r="Q585">
        <v>202</v>
      </c>
      <c r="R585">
        <v>133</v>
      </c>
    </row>
    <row r="586" spans="1:18">
      <c r="A586" t="s">
        <v>1894</v>
      </c>
      <c r="B586" t="s">
        <v>194</v>
      </c>
      <c r="C586" s="35" t="s">
        <v>189</v>
      </c>
      <c r="D586">
        <v>261</v>
      </c>
      <c r="E586">
        <v>232</v>
      </c>
      <c r="F586">
        <v>223</v>
      </c>
      <c r="G586">
        <v>276</v>
      </c>
      <c r="H586">
        <v>373</v>
      </c>
      <c r="I586">
        <v>456</v>
      </c>
      <c r="J586">
        <v>500</v>
      </c>
      <c r="K586">
        <v>478</v>
      </c>
      <c r="L586">
        <v>442</v>
      </c>
      <c r="M586">
        <v>402</v>
      </c>
      <c r="N586">
        <v>361</v>
      </c>
      <c r="O586">
        <v>345</v>
      </c>
      <c r="P586">
        <v>353</v>
      </c>
      <c r="Q586">
        <v>339</v>
      </c>
      <c r="R586">
        <v>321</v>
      </c>
    </row>
    <row r="587" spans="1:18">
      <c r="A587" t="s">
        <v>1895</v>
      </c>
      <c r="B587" t="s">
        <v>194</v>
      </c>
      <c r="C587" t="s">
        <v>172</v>
      </c>
      <c r="D587">
        <v>136</v>
      </c>
      <c r="E587">
        <v>141</v>
      </c>
      <c r="F587">
        <v>132</v>
      </c>
      <c r="G587">
        <v>166</v>
      </c>
      <c r="H587">
        <v>204</v>
      </c>
      <c r="I587">
        <v>252</v>
      </c>
      <c r="J587">
        <v>279</v>
      </c>
      <c r="K587">
        <v>260</v>
      </c>
      <c r="L587">
        <v>224</v>
      </c>
      <c r="M587">
        <v>181</v>
      </c>
      <c r="N587">
        <v>143</v>
      </c>
      <c r="O587">
        <v>107</v>
      </c>
      <c r="P587">
        <v>100</v>
      </c>
      <c r="Q587">
        <v>76</v>
      </c>
      <c r="R587">
        <v>53</v>
      </c>
    </row>
    <row r="588" spans="1:18">
      <c r="A588" t="s">
        <v>1896</v>
      </c>
      <c r="B588" t="s">
        <v>194</v>
      </c>
      <c r="C588" t="s">
        <v>30</v>
      </c>
      <c r="D588">
        <v>125</v>
      </c>
      <c r="E588">
        <v>91</v>
      </c>
      <c r="F588">
        <v>91</v>
      </c>
      <c r="G588">
        <v>110</v>
      </c>
      <c r="H588">
        <v>169</v>
      </c>
      <c r="I588">
        <v>204</v>
      </c>
      <c r="J588">
        <v>221</v>
      </c>
      <c r="K588">
        <v>218</v>
      </c>
      <c r="L588">
        <v>218</v>
      </c>
      <c r="M588">
        <v>221</v>
      </c>
      <c r="N588">
        <v>218</v>
      </c>
      <c r="O588">
        <v>238</v>
      </c>
      <c r="P588">
        <v>253</v>
      </c>
      <c r="Q588">
        <v>263</v>
      </c>
      <c r="R588">
        <v>268</v>
      </c>
    </row>
    <row r="589" spans="1:18">
      <c r="A589" t="s">
        <v>1897</v>
      </c>
      <c r="B589" t="s">
        <v>195</v>
      </c>
      <c r="C589" t="s">
        <v>193</v>
      </c>
      <c r="D589">
        <v>115</v>
      </c>
      <c r="E589">
        <v>93</v>
      </c>
      <c r="F589">
        <v>92</v>
      </c>
      <c r="G589">
        <v>111</v>
      </c>
      <c r="H589">
        <v>109</v>
      </c>
      <c r="I589">
        <v>134</v>
      </c>
      <c r="J589">
        <v>137</v>
      </c>
      <c r="K589">
        <v>138</v>
      </c>
      <c r="L589">
        <v>144</v>
      </c>
      <c r="M589">
        <v>132</v>
      </c>
      <c r="N589">
        <v>118</v>
      </c>
      <c r="O589">
        <v>111</v>
      </c>
      <c r="P589">
        <v>103</v>
      </c>
      <c r="Q589">
        <v>109</v>
      </c>
      <c r="R589">
        <v>126</v>
      </c>
    </row>
    <row r="590" spans="1:18">
      <c r="A590" t="s">
        <v>1898</v>
      </c>
      <c r="B590" t="s">
        <v>195</v>
      </c>
      <c r="C590" s="4" t="s">
        <v>34</v>
      </c>
      <c r="D590">
        <v>98</v>
      </c>
      <c r="E590">
        <v>70</v>
      </c>
      <c r="F590">
        <v>61</v>
      </c>
      <c r="G590">
        <v>73</v>
      </c>
      <c r="H590">
        <v>63</v>
      </c>
      <c r="I590">
        <v>88</v>
      </c>
      <c r="J590">
        <v>92</v>
      </c>
      <c r="K590">
        <v>96</v>
      </c>
      <c r="L590">
        <v>102</v>
      </c>
      <c r="M590">
        <v>100</v>
      </c>
      <c r="N590">
        <v>90</v>
      </c>
      <c r="O590">
        <v>75</v>
      </c>
      <c r="P590">
        <v>70</v>
      </c>
      <c r="Q590">
        <v>80</v>
      </c>
      <c r="R590">
        <v>100</v>
      </c>
    </row>
    <row r="591" spans="1:18">
      <c r="A591" t="s">
        <v>1899</v>
      </c>
      <c r="B591" t="s">
        <v>195</v>
      </c>
      <c r="C591" t="s">
        <v>169</v>
      </c>
      <c r="D591">
        <v>17</v>
      </c>
      <c r="E591">
        <v>23</v>
      </c>
      <c r="F591">
        <v>31</v>
      </c>
      <c r="G591">
        <v>38</v>
      </c>
      <c r="H591">
        <v>46</v>
      </c>
      <c r="I591">
        <v>46</v>
      </c>
      <c r="J591">
        <v>45</v>
      </c>
      <c r="K591">
        <v>42</v>
      </c>
      <c r="L591">
        <v>42</v>
      </c>
      <c r="M591">
        <v>32</v>
      </c>
      <c r="N591">
        <v>28</v>
      </c>
      <c r="O591">
        <v>36</v>
      </c>
      <c r="P591">
        <v>33</v>
      </c>
      <c r="Q591">
        <v>29</v>
      </c>
      <c r="R591">
        <v>26</v>
      </c>
    </row>
    <row r="592" spans="1:18">
      <c r="A592" t="s">
        <v>1900</v>
      </c>
      <c r="B592" t="s">
        <v>195</v>
      </c>
      <c r="C592" t="s">
        <v>170</v>
      </c>
      <c r="D592">
        <v>0</v>
      </c>
      <c r="E592">
        <v>0</v>
      </c>
      <c r="F592">
        <v>0</v>
      </c>
      <c r="G592">
        <v>0</v>
      </c>
      <c r="H592">
        <v>0</v>
      </c>
      <c r="I592">
        <v>0</v>
      </c>
      <c r="J592">
        <v>0</v>
      </c>
      <c r="K592">
        <v>0</v>
      </c>
      <c r="L592">
        <v>0</v>
      </c>
      <c r="M592">
        <v>0</v>
      </c>
      <c r="N592">
        <v>0</v>
      </c>
      <c r="O592">
        <v>0</v>
      </c>
      <c r="P592">
        <v>0</v>
      </c>
      <c r="Q592">
        <v>0</v>
      </c>
      <c r="R592">
        <v>0</v>
      </c>
    </row>
    <row r="593" spans="1:18">
      <c r="A593" t="s">
        <v>1901</v>
      </c>
      <c r="B593" t="s">
        <v>195</v>
      </c>
      <c r="C593" t="s">
        <v>171</v>
      </c>
      <c r="D593">
        <v>0</v>
      </c>
      <c r="E593">
        <v>0</v>
      </c>
      <c r="F593">
        <v>0</v>
      </c>
      <c r="G593">
        <v>0</v>
      </c>
      <c r="H593">
        <v>0</v>
      </c>
      <c r="I593">
        <v>0</v>
      </c>
      <c r="J593">
        <v>0</v>
      </c>
      <c r="K593">
        <v>0</v>
      </c>
      <c r="L593">
        <v>0</v>
      </c>
      <c r="M593">
        <v>0</v>
      </c>
      <c r="N593">
        <v>0</v>
      </c>
      <c r="O593">
        <v>0</v>
      </c>
      <c r="P593">
        <v>0</v>
      </c>
      <c r="Q593">
        <v>0</v>
      </c>
      <c r="R593">
        <v>0</v>
      </c>
    </row>
    <row r="594" spans="1:18">
      <c r="A594" t="s">
        <v>1902</v>
      </c>
      <c r="B594" t="s">
        <v>195</v>
      </c>
      <c r="C594" t="s">
        <v>148</v>
      </c>
      <c r="D594">
        <v>0</v>
      </c>
      <c r="E594">
        <v>0</v>
      </c>
      <c r="F594">
        <v>0</v>
      </c>
      <c r="G594">
        <v>0</v>
      </c>
      <c r="H594">
        <v>0</v>
      </c>
      <c r="I594">
        <v>0</v>
      </c>
      <c r="J594">
        <v>0</v>
      </c>
      <c r="K594">
        <v>0</v>
      </c>
      <c r="L594">
        <v>0</v>
      </c>
      <c r="M594">
        <v>0</v>
      </c>
      <c r="N594">
        <v>0</v>
      </c>
      <c r="O594">
        <v>0</v>
      </c>
      <c r="P594">
        <v>0</v>
      </c>
      <c r="Q594">
        <v>0</v>
      </c>
      <c r="R594">
        <v>0</v>
      </c>
    </row>
    <row r="595" spans="1:18">
      <c r="A595" t="s">
        <v>1903</v>
      </c>
      <c r="B595" t="s">
        <v>195</v>
      </c>
      <c r="C595" t="s">
        <v>184</v>
      </c>
      <c r="D595">
        <v>0</v>
      </c>
      <c r="E595">
        <v>0</v>
      </c>
      <c r="F595">
        <v>0</v>
      </c>
      <c r="G595">
        <v>0</v>
      </c>
      <c r="H595">
        <v>0</v>
      </c>
      <c r="I595">
        <v>0</v>
      </c>
      <c r="J595">
        <v>0</v>
      </c>
      <c r="K595">
        <v>0</v>
      </c>
      <c r="L595">
        <v>0</v>
      </c>
      <c r="M595">
        <v>0</v>
      </c>
      <c r="N595">
        <v>0</v>
      </c>
      <c r="O595">
        <v>0</v>
      </c>
      <c r="P595">
        <v>0</v>
      </c>
      <c r="Q595">
        <v>0</v>
      </c>
      <c r="R595">
        <v>0</v>
      </c>
    </row>
    <row r="596" spans="1:18">
      <c r="A596" t="s">
        <v>1904</v>
      </c>
      <c r="B596" t="s">
        <v>195</v>
      </c>
      <c r="C596" s="4" t="s">
        <v>188</v>
      </c>
      <c r="D596">
        <v>4</v>
      </c>
      <c r="E596">
        <v>10</v>
      </c>
      <c r="F596">
        <v>22</v>
      </c>
      <c r="G596">
        <v>29</v>
      </c>
      <c r="H596">
        <v>29</v>
      </c>
      <c r="I596">
        <v>25</v>
      </c>
      <c r="J596">
        <v>20</v>
      </c>
      <c r="K596">
        <v>14</v>
      </c>
      <c r="L596">
        <v>17</v>
      </c>
      <c r="M596">
        <v>8</v>
      </c>
      <c r="N596">
        <v>8</v>
      </c>
      <c r="O596">
        <v>16</v>
      </c>
      <c r="P596">
        <v>13</v>
      </c>
      <c r="Q596">
        <v>12</v>
      </c>
      <c r="R596">
        <v>7</v>
      </c>
    </row>
    <row r="597" spans="1:18">
      <c r="A597" t="s">
        <v>1905</v>
      </c>
      <c r="B597" t="s">
        <v>195</v>
      </c>
      <c r="C597" s="35" t="s">
        <v>189</v>
      </c>
      <c r="D597">
        <v>13</v>
      </c>
      <c r="E597">
        <v>13</v>
      </c>
      <c r="F597">
        <v>9</v>
      </c>
      <c r="G597">
        <v>9</v>
      </c>
      <c r="H597">
        <v>17</v>
      </c>
      <c r="I597">
        <v>21</v>
      </c>
      <c r="J597">
        <v>25</v>
      </c>
      <c r="K597">
        <v>28</v>
      </c>
      <c r="L597">
        <v>25</v>
      </c>
      <c r="M597">
        <v>24</v>
      </c>
      <c r="N597">
        <v>20</v>
      </c>
      <c r="O597">
        <v>20</v>
      </c>
      <c r="P597">
        <v>20</v>
      </c>
      <c r="Q597">
        <v>17</v>
      </c>
      <c r="R597">
        <v>19</v>
      </c>
    </row>
    <row r="598" spans="1:18">
      <c r="A598" t="s">
        <v>1906</v>
      </c>
      <c r="B598" t="s">
        <v>195</v>
      </c>
      <c r="C598" t="s">
        <v>172</v>
      </c>
      <c r="D598">
        <v>5</v>
      </c>
      <c r="E598">
        <v>6</v>
      </c>
      <c r="F598">
        <v>1</v>
      </c>
      <c r="G598">
        <v>1</v>
      </c>
      <c r="H598">
        <v>2</v>
      </c>
      <c r="I598">
        <v>4</v>
      </c>
      <c r="J598">
        <v>8</v>
      </c>
      <c r="K598">
        <v>12</v>
      </c>
      <c r="L598">
        <v>11</v>
      </c>
      <c r="M598">
        <v>11</v>
      </c>
      <c r="N598">
        <v>7</v>
      </c>
      <c r="O598">
        <v>5</v>
      </c>
      <c r="P598">
        <v>4</v>
      </c>
      <c r="Q598">
        <v>2</v>
      </c>
      <c r="R598">
        <v>5</v>
      </c>
    </row>
    <row r="599" spans="1:18">
      <c r="A599" t="s">
        <v>1907</v>
      </c>
      <c r="B599" t="s">
        <v>195</v>
      </c>
      <c r="C599" t="s">
        <v>30</v>
      </c>
      <c r="D599">
        <v>8</v>
      </c>
      <c r="E599">
        <v>7</v>
      </c>
      <c r="F599">
        <v>8</v>
      </c>
      <c r="G599">
        <v>8</v>
      </c>
      <c r="H599">
        <v>15</v>
      </c>
      <c r="I599">
        <v>17</v>
      </c>
      <c r="J599">
        <v>17</v>
      </c>
      <c r="K599">
        <v>16</v>
      </c>
      <c r="L599">
        <v>14</v>
      </c>
      <c r="M599">
        <v>13</v>
      </c>
      <c r="N599">
        <v>13</v>
      </c>
      <c r="O599">
        <v>15</v>
      </c>
      <c r="P599">
        <v>16</v>
      </c>
      <c r="Q599">
        <v>15</v>
      </c>
      <c r="R599">
        <v>14</v>
      </c>
    </row>
    <row r="600" spans="1:18">
      <c r="A600" t="s">
        <v>1908</v>
      </c>
      <c r="B600" t="s">
        <v>196</v>
      </c>
      <c r="C600" t="s">
        <v>193</v>
      </c>
      <c r="D600">
        <v>2205</v>
      </c>
      <c r="E600">
        <v>2015</v>
      </c>
      <c r="F600">
        <v>1825</v>
      </c>
      <c r="G600">
        <v>1857</v>
      </c>
      <c r="H600">
        <v>1865</v>
      </c>
      <c r="I600">
        <v>1837</v>
      </c>
      <c r="J600">
        <v>1812</v>
      </c>
      <c r="K600">
        <v>1724</v>
      </c>
      <c r="L600">
        <v>1735</v>
      </c>
      <c r="M600">
        <v>1594</v>
      </c>
      <c r="N600">
        <v>1486</v>
      </c>
      <c r="O600">
        <v>1466</v>
      </c>
      <c r="P600">
        <v>1410</v>
      </c>
      <c r="Q600">
        <v>1396</v>
      </c>
      <c r="R600">
        <v>1468</v>
      </c>
    </row>
    <row r="601" spans="1:18">
      <c r="A601" t="s">
        <v>1909</v>
      </c>
      <c r="B601" t="s">
        <v>196</v>
      </c>
      <c r="C601" s="4" t="s">
        <v>34</v>
      </c>
      <c r="D601">
        <v>1227</v>
      </c>
      <c r="E601">
        <v>1011</v>
      </c>
      <c r="F601">
        <v>773</v>
      </c>
      <c r="G601">
        <v>787</v>
      </c>
      <c r="H601">
        <v>871</v>
      </c>
      <c r="I601">
        <v>944</v>
      </c>
      <c r="J601">
        <v>944</v>
      </c>
      <c r="K601">
        <v>942</v>
      </c>
      <c r="L601">
        <v>961</v>
      </c>
      <c r="M601">
        <v>903</v>
      </c>
      <c r="N601">
        <v>835</v>
      </c>
      <c r="O601">
        <v>809</v>
      </c>
      <c r="P601">
        <v>785</v>
      </c>
      <c r="Q601">
        <v>837</v>
      </c>
      <c r="R601">
        <v>996</v>
      </c>
    </row>
    <row r="602" spans="1:18">
      <c r="A602" t="s">
        <v>1910</v>
      </c>
      <c r="B602" t="s">
        <v>196</v>
      </c>
      <c r="C602" t="s">
        <v>169</v>
      </c>
      <c r="D602">
        <v>978</v>
      </c>
      <c r="E602">
        <v>1004</v>
      </c>
      <c r="F602">
        <v>1052</v>
      </c>
      <c r="G602">
        <v>1070</v>
      </c>
      <c r="H602">
        <v>994</v>
      </c>
      <c r="I602">
        <v>893</v>
      </c>
      <c r="J602">
        <v>868</v>
      </c>
      <c r="K602">
        <v>782</v>
      </c>
      <c r="L602">
        <v>774</v>
      </c>
      <c r="M602">
        <v>691</v>
      </c>
      <c r="N602">
        <v>651</v>
      </c>
      <c r="O602">
        <v>657</v>
      </c>
      <c r="P602">
        <v>625</v>
      </c>
      <c r="Q602">
        <v>559</v>
      </c>
      <c r="R602">
        <v>472</v>
      </c>
    </row>
    <row r="603" spans="1:18">
      <c r="A603" t="s">
        <v>1911</v>
      </c>
      <c r="B603" t="s">
        <v>196</v>
      </c>
      <c r="C603" t="s">
        <v>170</v>
      </c>
      <c r="D603">
        <v>0</v>
      </c>
      <c r="E603">
        <v>0</v>
      </c>
      <c r="F603">
        <v>0</v>
      </c>
      <c r="G603">
        <v>0</v>
      </c>
      <c r="H603">
        <v>0</v>
      </c>
      <c r="I603">
        <v>0</v>
      </c>
      <c r="J603">
        <v>0</v>
      </c>
      <c r="K603">
        <v>0</v>
      </c>
      <c r="L603">
        <v>0</v>
      </c>
      <c r="M603">
        <v>0</v>
      </c>
      <c r="N603">
        <v>0</v>
      </c>
      <c r="O603">
        <v>0</v>
      </c>
      <c r="P603">
        <v>0</v>
      </c>
      <c r="Q603">
        <v>0</v>
      </c>
      <c r="R603">
        <v>0</v>
      </c>
    </row>
    <row r="604" spans="1:18">
      <c r="A604" t="s">
        <v>1912</v>
      </c>
      <c r="B604" t="s">
        <v>196</v>
      </c>
      <c r="C604" t="s">
        <v>171</v>
      </c>
      <c r="D604">
        <v>0</v>
      </c>
      <c r="E604">
        <v>0</v>
      </c>
      <c r="F604">
        <v>0</v>
      </c>
      <c r="G604">
        <v>0</v>
      </c>
      <c r="H604">
        <v>0</v>
      </c>
      <c r="I604">
        <v>0</v>
      </c>
      <c r="J604">
        <v>0</v>
      </c>
      <c r="K604">
        <v>0</v>
      </c>
      <c r="L604">
        <v>0</v>
      </c>
      <c r="M604">
        <v>0</v>
      </c>
      <c r="N604">
        <v>0</v>
      </c>
      <c r="O604">
        <v>0</v>
      </c>
      <c r="P604">
        <v>0</v>
      </c>
      <c r="Q604">
        <v>0</v>
      </c>
      <c r="R604">
        <v>0</v>
      </c>
    </row>
    <row r="605" spans="1:18">
      <c r="A605" t="s">
        <v>1913</v>
      </c>
      <c r="B605" t="s">
        <v>196</v>
      </c>
      <c r="C605" t="s">
        <v>148</v>
      </c>
      <c r="D605">
        <v>0</v>
      </c>
      <c r="E605">
        <v>0</v>
      </c>
      <c r="F605">
        <v>0</v>
      </c>
      <c r="G605">
        <v>0</v>
      </c>
      <c r="H605">
        <v>0</v>
      </c>
      <c r="I605">
        <v>0</v>
      </c>
      <c r="J605">
        <v>0</v>
      </c>
      <c r="K605">
        <v>0</v>
      </c>
      <c r="L605">
        <v>0</v>
      </c>
      <c r="M605">
        <v>0</v>
      </c>
      <c r="N605">
        <v>0</v>
      </c>
      <c r="O605">
        <v>0</v>
      </c>
      <c r="P605">
        <v>0</v>
      </c>
      <c r="Q605">
        <v>0</v>
      </c>
      <c r="R605">
        <v>0</v>
      </c>
    </row>
    <row r="606" spans="1:18">
      <c r="A606" t="s">
        <v>1914</v>
      </c>
      <c r="B606" t="s">
        <v>196</v>
      </c>
      <c r="C606" t="s">
        <v>184</v>
      </c>
      <c r="D606">
        <v>0</v>
      </c>
      <c r="E606">
        <v>0</v>
      </c>
      <c r="F606">
        <v>0</v>
      </c>
      <c r="G606">
        <v>0</v>
      </c>
      <c r="H606">
        <v>0</v>
      </c>
      <c r="I606">
        <v>0</v>
      </c>
      <c r="J606">
        <v>0</v>
      </c>
      <c r="K606">
        <v>0</v>
      </c>
      <c r="L606">
        <v>0</v>
      </c>
      <c r="M606">
        <v>0</v>
      </c>
      <c r="N606">
        <v>0</v>
      </c>
      <c r="O606">
        <v>0</v>
      </c>
      <c r="P606">
        <v>0</v>
      </c>
      <c r="Q606">
        <v>0</v>
      </c>
      <c r="R606">
        <v>0</v>
      </c>
    </row>
    <row r="607" spans="1:18">
      <c r="A607" t="s">
        <v>1915</v>
      </c>
      <c r="B607" t="s">
        <v>196</v>
      </c>
      <c r="C607" s="4" t="s">
        <v>188</v>
      </c>
      <c r="D607">
        <v>702</v>
      </c>
      <c r="E607">
        <v>760</v>
      </c>
      <c r="F607">
        <v>811</v>
      </c>
      <c r="G607">
        <v>769</v>
      </c>
      <c r="H607">
        <v>593</v>
      </c>
      <c r="I607">
        <v>400</v>
      </c>
      <c r="J607">
        <v>331</v>
      </c>
      <c r="K607">
        <v>279</v>
      </c>
      <c r="L607">
        <v>312</v>
      </c>
      <c r="M607">
        <v>267</v>
      </c>
      <c r="N607">
        <v>278</v>
      </c>
      <c r="O607">
        <v>306</v>
      </c>
      <c r="P607">
        <v>265</v>
      </c>
      <c r="Q607">
        <v>214</v>
      </c>
      <c r="R607">
        <v>145</v>
      </c>
    </row>
    <row r="608" spans="1:18">
      <c r="A608" t="s">
        <v>1916</v>
      </c>
      <c r="B608" t="s">
        <v>196</v>
      </c>
      <c r="C608" s="35" t="s">
        <v>189</v>
      </c>
      <c r="D608">
        <v>276</v>
      </c>
      <c r="E608">
        <v>244</v>
      </c>
      <c r="F608">
        <v>241</v>
      </c>
      <c r="G608">
        <v>301</v>
      </c>
      <c r="H608">
        <v>401</v>
      </c>
      <c r="I608">
        <v>493</v>
      </c>
      <c r="J608">
        <v>537</v>
      </c>
      <c r="K608">
        <v>503</v>
      </c>
      <c r="L608">
        <v>462</v>
      </c>
      <c r="M608">
        <v>424</v>
      </c>
      <c r="N608">
        <v>373</v>
      </c>
      <c r="O608">
        <v>351</v>
      </c>
      <c r="P608">
        <v>360</v>
      </c>
      <c r="Q608">
        <v>345</v>
      </c>
      <c r="R608">
        <v>327</v>
      </c>
    </row>
    <row r="609" spans="1:18">
      <c r="A609" t="s">
        <v>1917</v>
      </c>
      <c r="B609" t="s">
        <v>196</v>
      </c>
      <c r="C609" t="s">
        <v>172</v>
      </c>
      <c r="D609">
        <v>151</v>
      </c>
      <c r="E609">
        <v>153</v>
      </c>
      <c r="F609">
        <v>147</v>
      </c>
      <c r="G609">
        <v>183</v>
      </c>
      <c r="H609">
        <v>223</v>
      </c>
      <c r="I609">
        <v>278</v>
      </c>
      <c r="J609">
        <v>302</v>
      </c>
      <c r="K609">
        <v>268</v>
      </c>
      <c r="L609">
        <v>228</v>
      </c>
      <c r="M609">
        <v>184</v>
      </c>
      <c r="N609">
        <v>139</v>
      </c>
      <c r="O609">
        <v>101</v>
      </c>
      <c r="P609">
        <v>96</v>
      </c>
      <c r="Q609">
        <v>74</v>
      </c>
      <c r="R609">
        <v>54</v>
      </c>
    </row>
    <row r="610" spans="1:18">
      <c r="A610" t="s">
        <v>1918</v>
      </c>
      <c r="B610" t="s">
        <v>196</v>
      </c>
      <c r="C610" t="s">
        <v>30</v>
      </c>
      <c r="D610">
        <v>125</v>
      </c>
      <c r="E610">
        <v>91</v>
      </c>
      <c r="F610">
        <v>94</v>
      </c>
      <c r="G610">
        <v>118</v>
      </c>
      <c r="H610">
        <v>178</v>
      </c>
      <c r="I610">
        <v>215</v>
      </c>
      <c r="J610">
        <v>235</v>
      </c>
      <c r="K610">
        <v>235</v>
      </c>
      <c r="L610">
        <v>234</v>
      </c>
      <c r="M610">
        <v>240</v>
      </c>
      <c r="N610">
        <v>234</v>
      </c>
      <c r="O610">
        <v>250</v>
      </c>
      <c r="P610">
        <v>264</v>
      </c>
      <c r="Q610">
        <v>271</v>
      </c>
      <c r="R610">
        <v>273</v>
      </c>
    </row>
    <row r="611" spans="1:18">
      <c r="A611" t="s">
        <v>1919</v>
      </c>
      <c r="B611" t="s">
        <v>196</v>
      </c>
      <c r="C611" t="s">
        <v>177</v>
      </c>
      <c r="D611">
        <v>0</v>
      </c>
      <c r="E611">
        <v>0</v>
      </c>
      <c r="F611">
        <v>0</v>
      </c>
      <c r="G611">
        <v>0</v>
      </c>
      <c r="H611">
        <v>0</v>
      </c>
      <c r="I611">
        <v>0</v>
      </c>
      <c r="J611">
        <v>0</v>
      </c>
      <c r="K611">
        <v>0</v>
      </c>
      <c r="L611">
        <v>0</v>
      </c>
      <c r="M611">
        <v>0</v>
      </c>
      <c r="N611">
        <v>0</v>
      </c>
      <c r="O611">
        <v>0</v>
      </c>
      <c r="P611">
        <v>0</v>
      </c>
      <c r="Q611">
        <v>0</v>
      </c>
      <c r="R611">
        <v>0</v>
      </c>
    </row>
    <row r="612" spans="1:18">
      <c r="A612" t="s">
        <v>1920</v>
      </c>
      <c r="B612" t="s">
        <v>196</v>
      </c>
      <c r="C612" t="s">
        <v>178</v>
      </c>
      <c r="D612">
        <v>0</v>
      </c>
      <c r="E612">
        <v>0</v>
      </c>
      <c r="F612">
        <v>0</v>
      </c>
      <c r="G612">
        <v>0</v>
      </c>
      <c r="H612">
        <v>0</v>
      </c>
      <c r="I612">
        <v>0</v>
      </c>
      <c r="J612">
        <v>0</v>
      </c>
      <c r="K612">
        <v>0</v>
      </c>
      <c r="L612">
        <v>0</v>
      </c>
      <c r="M612">
        <v>0</v>
      </c>
      <c r="N612">
        <v>0</v>
      </c>
      <c r="O612">
        <v>0</v>
      </c>
      <c r="P612">
        <v>0</v>
      </c>
      <c r="Q612">
        <v>0</v>
      </c>
      <c r="R612">
        <v>0</v>
      </c>
    </row>
    <row r="613" spans="1:18">
      <c r="A613" t="s">
        <v>1921</v>
      </c>
      <c r="B613" t="s">
        <v>197</v>
      </c>
      <c r="C613" t="s">
        <v>193</v>
      </c>
      <c r="D613">
        <v>2205</v>
      </c>
      <c r="E613">
        <v>2015</v>
      </c>
      <c r="F613">
        <v>1825</v>
      </c>
      <c r="G613">
        <v>1857</v>
      </c>
      <c r="H613">
        <v>1865</v>
      </c>
      <c r="I613">
        <v>1837</v>
      </c>
      <c r="J613">
        <v>1812</v>
      </c>
      <c r="K613">
        <v>1724</v>
      </c>
      <c r="L613">
        <v>1735</v>
      </c>
      <c r="M613">
        <v>1594</v>
      </c>
      <c r="N613">
        <v>1486</v>
      </c>
      <c r="O613">
        <v>1466</v>
      </c>
      <c r="P613">
        <v>1410</v>
      </c>
      <c r="Q613">
        <v>1396</v>
      </c>
      <c r="R613">
        <v>1468</v>
      </c>
    </row>
    <row r="614" spans="1:18">
      <c r="A614" t="s">
        <v>1922</v>
      </c>
      <c r="B614" t="s">
        <v>197</v>
      </c>
      <c r="C614" s="4" t="s">
        <v>34</v>
      </c>
      <c r="D614">
        <v>1227</v>
      </c>
      <c r="E614">
        <v>1011</v>
      </c>
      <c r="F614">
        <v>773</v>
      </c>
      <c r="G614">
        <v>787</v>
      </c>
      <c r="H614">
        <v>871</v>
      </c>
      <c r="I614">
        <v>944</v>
      </c>
      <c r="J614">
        <v>944</v>
      </c>
      <c r="K614">
        <v>942</v>
      </c>
      <c r="L614">
        <v>961</v>
      </c>
      <c r="M614">
        <v>903</v>
      </c>
      <c r="N614">
        <v>835</v>
      </c>
      <c r="O614">
        <v>809</v>
      </c>
      <c r="P614">
        <v>785</v>
      </c>
      <c r="Q614">
        <v>837</v>
      </c>
      <c r="R614">
        <v>996</v>
      </c>
    </row>
    <row r="615" spans="1:18">
      <c r="A615" t="s">
        <v>1923</v>
      </c>
      <c r="B615" t="s">
        <v>197</v>
      </c>
      <c r="C615" t="s">
        <v>169</v>
      </c>
      <c r="D615">
        <v>702</v>
      </c>
      <c r="E615">
        <v>760</v>
      </c>
      <c r="F615">
        <v>811</v>
      </c>
      <c r="G615">
        <v>769</v>
      </c>
      <c r="H615">
        <v>593</v>
      </c>
      <c r="I615">
        <v>400</v>
      </c>
      <c r="J615">
        <v>331</v>
      </c>
      <c r="K615">
        <v>279</v>
      </c>
      <c r="L615">
        <v>312</v>
      </c>
      <c r="M615">
        <v>267</v>
      </c>
      <c r="N615">
        <v>278</v>
      </c>
      <c r="O615">
        <v>306</v>
      </c>
      <c r="P615">
        <v>265</v>
      </c>
      <c r="Q615">
        <v>214</v>
      </c>
      <c r="R615">
        <v>145</v>
      </c>
    </row>
    <row r="616" spans="1:18">
      <c r="A616" t="s">
        <v>1924</v>
      </c>
      <c r="B616" t="s">
        <v>197</v>
      </c>
      <c r="C616" t="s">
        <v>170</v>
      </c>
      <c r="D616">
        <v>151</v>
      </c>
      <c r="E616">
        <v>153</v>
      </c>
      <c r="F616">
        <v>147</v>
      </c>
      <c r="G616">
        <v>183</v>
      </c>
      <c r="H616">
        <v>223</v>
      </c>
      <c r="I616">
        <v>278</v>
      </c>
      <c r="J616">
        <v>302</v>
      </c>
      <c r="K616">
        <v>268</v>
      </c>
      <c r="L616">
        <v>228</v>
      </c>
      <c r="M616">
        <v>184</v>
      </c>
      <c r="N616">
        <v>139</v>
      </c>
      <c r="O616">
        <v>101</v>
      </c>
      <c r="P616">
        <v>96</v>
      </c>
      <c r="Q616">
        <v>74</v>
      </c>
      <c r="R616">
        <v>54</v>
      </c>
    </row>
    <row r="617" spans="1:18">
      <c r="A617" t="s">
        <v>1925</v>
      </c>
      <c r="B617" t="s">
        <v>197</v>
      </c>
      <c r="C617" t="s">
        <v>171</v>
      </c>
      <c r="D617">
        <v>125</v>
      </c>
      <c r="E617">
        <v>91</v>
      </c>
      <c r="F617">
        <v>94</v>
      </c>
      <c r="G617">
        <v>118</v>
      </c>
      <c r="H617">
        <v>178</v>
      </c>
      <c r="I617">
        <v>215</v>
      </c>
      <c r="J617">
        <v>235</v>
      </c>
      <c r="K617">
        <v>235</v>
      </c>
      <c r="L617">
        <v>234</v>
      </c>
      <c r="M617">
        <v>240</v>
      </c>
      <c r="N617">
        <v>234</v>
      </c>
      <c r="O617">
        <v>250</v>
      </c>
      <c r="P617">
        <v>264</v>
      </c>
      <c r="Q617">
        <v>271</v>
      </c>
      <c r="R617">
        <v>273</v>
      </c>
    </row>
    <row r="618" spans="1:18">
      <c r="A618" t="s">
        <v>1926</v>
      </c>
      <c r="B618" t="s">
        <v>197</v>
      </c>
      <c r="C618" t="s">
        <v>148</v>
      </c>
      <c r="D618">
        <v>0</v>
      </c>
      <c r="E618">
        <v>0</v>
      </c>
      <c r="F618">
        <v>0</v>
      </c>
      <c r="G618">
        <v>0</v>
      </c>
      <c r="H618">
        <v>0</v>
      </c>
      <c r="I618">
        <v>0</v>
      </c>
      <c r="J618">
        <v>0</v>
      </c>
      <c r="K618">
        <v>0</v>
      </c>
      <c r="L618">
        <v>0</v>
      </c>
      <c r="M618">
        <v>0</v>
      </c>
      <c r="N618">
        <v>0</v>
      </c>
      <c r="O618">
        <v>0</v>
      </c>
      <c r="P618">
        <v>0</v>
      </c>
      <c r="Q618">
        <v>0</v>
      </c>
      <c r="R618">
        <v>0</v>
      </c>
    </row>
    <row r="619" spans="1:18">
      <c r="A619" t="s">
        <v>1927</v>
      </c>
      <c r="B619" t="s">
        <v>197</v>
      </c>
      <c r="C619" t="s">
        <v>184</v>
      </c>
      <c r="D619">
        <v>0</v>
      </c>
      <c r="E619">
        <v>0</v>
      </c>
      <c r="F619">
        <v>0</v>
      </c>
      <c r="G619">
        <v>0</v>
      </c>
      <c r="H619">
        <v>0</v>
      </c>
      <c r="I619">
        <v>0</v>
      </c>
      <c r="J619">
        <v>0</v>
      </c>
      <c r="K619">
        <v>0</v>
      </c>
      <c r="L619">
        <v>0</v>
      </c>
      <c r="M619">
        <v>0</v>
      </c>
      <c r="N619">
        <v>0</v>
      </c>
      <c r="O619">
        <v>0</v>
      </c>
      <c r="P619">
        <v>0</v>
      </c>
      <c r="Q619">
        <v>0</v>
      </c>
      <c r="R619">
        <v>0</v>
      </c>
    </row>
    <row r="620" spans="1:18">
      <c r="A620" t="s">
        <v>1928</v>
      </c>
      <c r="B620" t="s">
        <v>197</v>
      </c>
      <c r="C620" s="4" t="s">
        <v>188</v>
      </c>
      <c r="D620">
        <v>978</v>
      </c>
      <c r="E620">
        <v>1004</v>
      </c>
      <c r="F620">
        <v>1052</v>
      </c>
      <c r="G620">
        <v>1070</v>
      </c>
      <c r="H620">
        <v>994</v>
      </c>
      <c r="I620">
        <v>893</v>
      </c>
      <c r="J620">
        <v>868</v>
      </c>
      <c r="K620">
        <v>782</v>
      </c>
      <c r="L620">
        <v>774</v>
      </c>
      <c r="M620">
        <v>691</v>
      </c>
      <c r="N620">
        <v>651</v>
      </c>
      <c r="O620">
        <v>657</v>
      </c>
      <c r="P620">
        <v>625</v>
      </c>
      <c r="Q620">
        <v>559</v>
      </c>
      <c r="R620">
        <v>472</v>
      </c>
    </row>
    <row r="621" spans="1:18">
      <c r="A621" t="s">
        <v>1929</v>
      </c>
      <c r="B621" t="s">
        <v>197</v>
      </c>
      <c r="C621" s="35" t="s">
        <v>189</v>
      </c>
      <c r="D621">
        <v>276</v>
      </c>
      <c r="E621">
        <v>244</v>
      </c>
      <c r="F621">
        <v>241</v>
      </c>
      <c r="G621">
        <v>301</v>
      </c>
      <c r="H621">
        <v>401</v>
      </c>
      <c r="I621">
        <v>493</v>
      </c>
      <c r="J621">
        <v>537</v>
      </c>
      <c r="K621">
        <v>503</v>
      </c>
      <c r="L621">
        <v>462</v>
      </c>
      <c r="M621">
        <v>424</v>
      </c>
      <c r="N621">
        <v>373</v>
      </c>
      <c r="O621">
        <v>351</v>
      </c>
      <c r="P621">
        <v>360</v>
      </c>
      <c r="Q621">
        <v>345</v>
      </c>
      <c r="R621">
        <v>327</v>
      </c>
    </row>
    <row r="622" spans="1:18">
      <c r="A622" t="s">
        <v>1930</v>
      </c>
      <c r="B622" t="s">
        <v>197</v>
      </c>
      <c r="C622" t="s">
        <v>172</v>
      </c>
      <c r="D622">
        <v>0</v>
      </c>
      <c r="E622">
        <v>0</v>
      </c>
      <c r="F622">
        <v>0</v>
      </c>
      <c r="G622">
        <v>0</v>
      </c>
      <c r="H622">
        <v>0</v>
      </c>
      <c r="I622">
        <v>0</v>
      </c>
      <c r="J622">
        <v>0</v>
      </c>
      <c r="K622">
        <v>0</v>
      </c>
      <c r="L622">
        <v>0</v>
      </c>
      <c r="M622">
        <v>0</v>
      </c>
      <c r="N622">
        <v>0</v>
      </c>
      <c r="O622">
        <v>0</v>
      </c>
      <c r="P622">
        <v>0</v>
      </c>
      <c r="Q622">
        <v>0</v>
      </c>
      <c r="R622">
        <v>0</v>
      </c>
    </row>
    <row r="623" spans="1:18">
      <c r="A623" t="s">
        <v>1931</v>
      </c>
      <c r="B623" t="s">
        <v>197</v>
      </c>
      <c r="C623" t="s">
        <v>30</v>
      </c>
      <c r="D623">
        <v>0</v>
      </c>
      <c r="E623">
        <v>0</v>
      </c>
      <c r="F623">
        <v>0</v>
      </c>
      <c r="G623">
        <v>0</v>
      </c>
      <c r="H623">
        <v>0</v>
      </c>
      <c r="I623">
        <v>0</v>
      </c>
      <c r="J623">
        <v>0</v>
      </c>
      <c r="K623">
        <v>0</v>
      </c>
      <c r="L623">
        <v>0</v>
      </c>
      <c r="M623">
        <v>0</v>
      </c>
      <c r="N623">
        <v>0</v>
      </c>
      <c r="O623">
        <v>0</v>
      </c>
      <c r="P623">
        <v>0</v>
      </c>
      <c r="Q623">
        <v>0</v>
      </c>
      <c r="R623">
        <v>0</v>
      </c>
    </row>
    <row r="624" spans="1:18">
      <c r="A624" t="s">
        <v>1932</v>
      </c>
      <c r="B624" t="s">
        <v>197</v>
      </c>
      <c r="C624" t="s">
        <v>177</v>
      </c>
      <c r="D624">
        <v>0</v>
      </c>
      <c r="E624">
        <v>0</v>
      </c>
      <c r="F624">
        <v>0</v>
      </c>
      <c r="G624">
        <v>0</v>
      </c>
      <c r="H624">
        <v>0</v>
      </c>
      <c r="I624">
        <v>0</v>
      </c>
      <c r="J624">
        <v>0</v>
      </c>
      <c r="K624">
        <v>0</v>
      </c>
      <c r="L624">
        <v>0</v>
      </c>
      <c r="M624">
        <v>0</v>
      </c>
      <c r="N624">
        <v>0</v>
      </c>
      <c r="O624">
        <v>0</v>
      </c>
      <c r="P624">
        <v>0</v>
      </c>
      <c r="Q624">
        <v>0</v>
      </c>
      <c r="R624">
        <v>0</v>
      </c>
    </row>
    <row r="625" spans="1:18">
      <c r="A625" t="s">
        <v>1933</v>
      </c>
      <c r="B625" t="s">
        <v>197</v>
      </c>
      <c r="C625" t="s">
        <v>178</v>
      </c>
      <c r="D625">
        <v>0</v>
      </c>
      <c r="E625">
        <v>0</v>
      </c>
      <c r="F625">
        <v>0</v>
      </c>
      <c r="G625">
        <v>0</v>
      </c>
      <c r="H625">
        <v>0</v>
      </c>
      <c r="I625">
        <v>0</v>
      </c>
      <c r="J625">
        <v>0</v>
      </c>
      <c r="K625">
        <v>0</v>
      </c>
      <c r="L625">
        <v>0</v>
      </c>
      <c r="M625">
        <v>0</v>
      </c>
      <c r="N625">
        <v>0</v>
      </c>
      <c r="O625">
        <v>0</v>
      </c>
      <c r="P625">
        <v>0</v>
      </c>
      <c r="Q625">
        <v>0</v>
      </c>
      <c r="R625">
        <v>0</v>
      </c>
    </row>
    <row r="626" spans="1:18">
      <c r="A626" t="s">
        <v>1934</v>
      </c>
      <c r="B626" t="s">
        <v>194</v>
      </c>
      <c r="C626" t="s">
        <v>193</v>
      </c>
      <c r="D626">
        <v>59</v>
      </c>
      <c r="E626">
        <v>62</v>
      </c>
      <c r="F626">
        <v>63</v>
      </c>
      <c r="G626">
        <v>66</v>
      </c>
      <c r="H626">
        <v>75</v>
      </c>
      <c r="I626">
        <v>81</v>
      </c>
      <c r="J626">
        <v>86</v>
      </c>
      <c r="K626">
        <v>84</v>
      </c>
      <c r="L626">
        <v>81</v>
      </c>
      <c r="M626">
        <v>82</v>
      </c>
      <c r="N626">
        <v>82</v>
      </c>
      <c r="O626">
        <v>82</v>
      </c>
      <c r="P626">
        <v>80</v>
      </c>
      <c r="Q626">
        <v>84</v>
      </c>
      <c r="R626">
        <v>53</v>
      </c>
    </row>
    <row r="627" spans="1:18">
      <c r="A627" t="s">
        <v>1935</v>
      </c>
      <c r="B627" t="s">
        <v>194</v>
      </c>
      <c r="C627" s="4" t="s">
        <v>34</v>
      </c>
      <c r="D627">
        <v>26</v>
      </c>
      <c r="E627">
        <v>32</v>
      </c>
      <c r="F627">
        <v>24</v>
      </c>
      <c r="G627">
        <v>23</v>
      </c>
      <c r="H627">
        <v>35</v>
      </c>
      <c r="I627">
        <v>29</v>
      </c>
      <c r="J627">
        <v>35</v>
      </c>
      <c r="K627">
        <v>31</v>
      </c>
      <c r="L627">
        <v>30</v>
      </c>
      <c r="M627">
        <v>15</v>
      </c>
      <c r="N627">
        <v>14</v>
      </c>
      <c r="O627">
        <v>13</v>
      </c>
      <c r="P627">
        <v>12</v>
      </c>
      <c r="Q627">
        <v>13</v>
      </c>
      <c r="R627">
        <v>1</v>
      </c>
    </row>
    <row r="628" spans="1:18">
      <c r="A628" t="s">
        <v>1936</v>
      </c>
      <c r="B628" t="s">
        <v>194</v>
      </c>
      <c r="C628" t="s">
        <v>169</v>
      </c>
      <c r="D628">
        <v>33</v>
      </c>
      <c r="E628">
        <v>30</v>
      </c>
      <c r="F628">
        <v>39</v>
      </c>
      <c r="G628">
        <v>43</v>
      </c>
      <c r="H628">
        <v>40</v>
      </c>
      <c r="I628">
        <v>52</v>
      </c>
      <c r="J628">
        <v>51</v>
      </c>
      <c r="K628">
        <v>53</v>
      </c>
      <c r="L628">
        <v>51</v>
      </c>
      <c r="M628">
        <v>67</v>
      </c>
      <c r="N628">
        <v>68</v>
      </c>
      <c r="O628">
        <v>69</v>
      </c>
      <c r="P628">
        <v>68</v>
      </c>
      <c r="Q628">
        <v>71</v>
      </c>
      <c r="R628">
        <v>52</v>
      </c>
    </row>
    <row r="629" spans="1:18">
      <c r="A629" t="s">
        <v>1937</v>
      </c>
      <c r="B629" t="s">
        <v>194</v>
      </c>
      <c r="C629" t="s">
        <v>170</v>
      </c>
      <c r="D629">
        <v>0</v>
      </c>
      <c r="E629">
        <v>0</v>
      </c>
      <c r="F629">
        <v>0</v>
      </c>
      <c r="G629">
        <v>0</v>
      </c>
      <c r="H629">
        <v>0</v>
      </c>
      <c r="I629">
        <v>0</v>
      </c>
      <c r="J629">
        <v>0</v>
      </c>
      <c r="K629">
        <v>0</v>
      </c>
      <c r="L629">
        <v>0</v>
      </c>
      <c r="M629">
        <v>0</v>
      </c>
      <c r="N629">
        <v>0</v>
      </c>
      <c r="O629">
        <v>0</v>
      </c>
      <c r="P629">
        <v>0</v>
      </c>
      <c r="Q629">
        <v>0</v>
      </c>
      <c r="R629">
        <v>0</v>
      </c>
    </row>
    <row r="630" spans="1:18">
      <c r="A630" t="s">
        <v>1938</v>
      </c>
      <c r="B630" t="s">
        <v>194</v>
      </c>
      <c r="C630" t="s">
        <v>171</v>
      </c>
      <c r="D630">
        <v>0</v>
      </c>
      <c r="E630">
        <v>0</v>
      </c>
      <c r="F630">
        <v>0</v>
      </c>
      <c r="G630">
        <v>0</v>
      </c>
      <c r="H630">
        <v>0</v>
      </c>
      <c r="I630">
        <v>0</v>
      </c>
      <c r="J630">
        <v>0</v>
      </c>
      <c r="K630">
        <v>0</v>
      </c>
      <c r="L630">
        <v>0</v>
      </c>
      <c r="M630">
        <v>0</v>
      </c>
      <c r="N630">
        <v>0</v>
      </c>
      <c r="O630">
        <v>0</v>
      </c>
      <c r="P630">
        <v>0</v>
      </c>
      <c r="Q630">
        <v>0</v>
      </c>
      <c r="R630">
        <v>0</v>
      </c>
    </row>
    <row r="631" spans="1:18">
      <c r="A631" t="s">
        <v>1939</v>
      </c>
      <c r="B631" t="s">
        <v>194</v>
      </c>
      <c r="C631" t="s">
        <v>148</v>
      </c>
      <c r="D631">
        <v>0</v>
      </c>
      <c r="E631">
        <v>0</v>
      </c>
      <c r="F631">
        <v>0</v>
      </c>
      <c r="G631">
        <v>0</v>
      </c>
      <c r="H631">
        <v>0</v>
      </c>
      <c r="I631">
        <v>0</v>
      </c>
      <c r="J631">
        <v>0</v>
      </c>
      <c r="K631">
        <v>0</v>
      </c>
      <c r="L631">
        <v>0</v>
      </c>
      <c r="M631">
        <v>0</v>
      </c>
      <c r="N631">
        <v>0</v>
      </c>
      <c r="O631">
        <v>0</v>
      </c>
      <c r="P631">
        <v>0</v>
      </c>
      <c r="Q631">
        <v>0</v>
      </c>
      <c r="R631">
        <v>0</v>
      </c>
    </row>
    <row r="632" spans="1:18">
      <c r="A632" t="s">
        <v>1940</v>
      </c>
      <c r="B632" t="s">
        <v>194</v>
      </c>
      <c r="C632" t="s">
        <v>184</v>
      </c>
      <c r="D632">
        <v>0</v>
      </c>
      <c r="E632">
        <v>0</v>
      </c>
      <c r="F632">
        <v>0</v>
      </c>
      <c r="G632">
        <v>0</v>
      </c>
      <c r="H632">
        <v>0</v>
      </c>
      <c r="I632">
        <v>0</v>
      </c>
      <c r="J632">
        <v>0</v>
      </c>
      <c r="K632">
        <v>0</v>
      </c>
      <c r="L632">
        <v>0</v>
      </c>
      <c r="M632">
        <v>0</v>
      </c>
      <c r="N632">
        <v>0</v>
      </c>
      <c r="O632">
        <v>0</v>
      </c>
      <c r="P632">
        <v>0</v>
      </c>
      <c r="Q632">
        <v>0</v>
      </c>
      <c r="R632">
        <v>0</v>
      </c>
    </row>
    <row r="633" spans="1:18">
      <c r="A633" t="s">
        <v>1941</v>
      </c>
      <c r="B633" t="s">
        <v>194</v>
      </c>
      <c r="C633" s="4" t="s">
        <v>188</v>
      </c>
      <c r="D633">
        <v>7</v>
      </c>
      <c r="E633">
        <v>13</v>
      </c>
      <c r="F633">
        <v>21</v>
      </c>
      <c r="G633">
        <v>23</v>
      </c>
      <c r="H633">
        <v>21</v>
      </c>
      <c r="I633">
        <v>25</v>
      </c>
      <c r="J633">
        <v>19</v>
      </c>
      <c r="K633">
        <v>19</v>
      </c>
      <c r="L633">
        <v>18</v>
      </c>
      <c r="M633">
        <v>25</v>
      </c>
      <c r="N633">
        <v>26</v>
      </c>
      <c r="O633">
        <v>25</v>
      </c>
      <c r="P633">
        <v>18</v>
      </c>
      <c r="Q633">
        <v>15</v>
      </c>
      <c r="R633">
        <v>7</v>
      </c>
    </row>
    <row r="634" spans="1:18">
      <c r="A634" t="s">
        <v>1942</v>
      </c>
      <c r="B634" t="s">
        <v>194</v>
      </c>
      <c r="C634" s="35" t="s">
        <v>189</v>
      </c>
      <c r="D634">
        <v>26</v>
      </c>
      <c r="E634">
        <v>17</v>
      </c>
      <c r="F634">
        <v>18</v>
      </c>
      <c r="G634">
        <v>20</v>
      </c>
      <c r="H634">
        <v>19</v>
      </c>
      <c r="I634">
        <v>27</v>
      </c>
      <c r="J634">
        <v>32</v>
      </c>
      <c r="K634">
        <v>34</v>
      </c>
      <c r="L634">
        <v>33</v>
      </c>
      <c r="M634">
        <v>42</v>
      </c>
      <c r="N634">
        <v>42</v>
      </c>
      <c r="O634">
        <v>44</v>
      </c>
      <c r="P634">
        <v>50</v>
      </c>
      <c r="Q634">
        <v>56</v>
      </c>
      <c r="R634">
        <v>45</v>
      </c>
    </row>
    <row r="635" spans="1:18">
      <c r="A635" t="s">
        <v>1943</v>
      </c>
      <c r="B635" t="s">
        <v>194</v>
      </c>
      <c r="C635" t="s">
        <v>172</v>
      </c>
      <c r="D635">
        <v>7</v>
      </c>
      <c r="E635">
        <v>6</v>
      </c>
      <c r="F635">
        <v>5</v>
      </c>
      <c r="G635">
        <v>6</v>
      </c>
      <c r="H635">
        <v>3</v>
      </c>
      <c r="I635">
        <v>11</v>
      </c>
      <c r="J635">
        <v>15</v>
      </c>
      <c r="K635">
        <v>16</v>
      </c>
      <c r="L635">
        <v>15</v>
      </c>
      <c r="M635">
        <v>17</v>
      </c>
      <c r="N635">
        <v>14</v>
      </c>
      <c r="O635">
        <v>13</v>
      </c>
      <c r="P635">
        <v>21</v>
      </c>
      <c r="Q635">
        <v>21</v>
      </c>
      <c r="R635">
        <v>11</v>
      </c>
    </row>
    <row r="636" spans="1:18">
      <c r="A636" t="s">
        <v>1944</v>
      </c>
      <c r="B636" t="s">
        <v>194</v>
      </c>
      <c r="C636" t="s">
        <v>30</v>
      </c>
      <c r="D636">
        <v>19</v>
      </c>
      <c r="E636">
        <v>11</v>
      </c>
      <c r="F636">
        <v>13</v>
      </c>
      <c r="G636">
        <v>14</v>
      </c>
      <c r="H636">
        <v>16</v>
      </c>
      <c r="I636">
        <v>16</v>
      </c>
      <c r="J636">
        <v>17</v>
      </c>
      <c r="K636">
        <v>18</v>
      </c>
      <c r="L636">
        <v>18</v>
      </c>
      <c r="M636">
        <v>25</v>
      </c>
      <c r="N636">
        <v>28</v>
      </c>
      <c r="O636">
        <v>31</v>
      </c>
      <c r="P636">
        <v>29</v>
      </c>
      <c r="Q636">
        <v>35</v>
      </c>
      <c r="R636">
        <v>34</v>
      </c>
    </row>
    <row r="637" spans="1:18">
      <c r="A637" t="s">
        <v>1945</v>
      </c>
      <c r="B637" t="s">
        <v>195</v>
      </c>
      <c r="C637" t="s">
        <v>193</v>
      </c>
      <c r="D637">
        <v>1</v>
      </c>
      <c r="E637">
        <v>2</v>
      </c>
      <c r="F637">
        <v>3</v>
      </c>
      <c r="G637">
        <v>5</v>
      </c>
      <c r="H637">
        <v>6</v>
      </c>
      <c r="I637">
        <v>5</v>
      </c>
      <c r="J637">
        <v>6</v>
      </c>
      <c r="K637">
        <v>7</v>
      </c>
      <c r="L637">
        <v>6</v>
      </c>
      <c r="M637">
        <v>5</v>
      </c>
      <c r="N637">
        <v>5</v>
      </c>
      <c r="O637">
        <v>4</v>
      </c>
      <c r="P637">
        <v>5</v>
      </c>
      <c r="Q637">
        <v>7</v>
      </c>
      <c r="R637">
        <v>6</v>
      </c>
    </row>
    <row r="638" spans="1:18">
      <c r="A638" t="s">
        <v>1946</v>
      </c>
      <c r="B638" t="s">
        <v>195</v>
      </c>
      <c r="C638" s="4" t="s">
        <v>34</v>
      </c>
      <c r="D638">
        <v>0</v>
      </c>
      <c r="E638">
        <v>2</v>
      </c>
      <c r="F638">
        <v>3</v>
      </c>
      <c r="G638">
        <v>5</v>
      </c>
      <c r="H638">
        <v>5</v>
      </c>
      <c r="I638">
        <v>3</v>
      </c>
      <c r="J638">
        <v>4</v>
      </c>
      <c r="K638">
        <v>2</v>
      </c>
      <c r="L638">
        <v>1</v>
      </c>
      <c r="M638">
        <v>1</v>
      </c>
      <c r="N638">
        <v>1</v>
      </c>
      <c r="O638">
        <v>0</v>
      </c>
      <c r="P638">
        <v>1</v>
      </c>
      <c r="Q638">
        <v>1</v>
      </c>
      <c r="R638">
        <v>0</v>
      </c>
    </row>
    <row r="639" spans="1:18">
      <c r="A639" t="s">
        <v>1947</v>
      </c>
      <c r="B639" t="s">
        <v>195</v>
      </c>
      <c r="C639" t="s">
        <v>169</v>
      </c>
      <c r="D639">
        <v>1</v>
      </c>
      <c r="E639">
        <v>0</v>
      </c>
      <c r="F639">
        <v>0</v>
      </c>
      <c r="G639">
        <v>0</v>
      </c>
      <c r="H639">
        <v>1</v>
      </c>
      <c r="I639">
        <v>2</v>
      </c>
      <c r="J639">
        <v>2</v>
      </c>
      <c r="K639">
        <v>5</v>
      </c>
      <c r="L639">
        <v>5</v>
      </c>
      <c r="M639">
        <v>4</v>
      </c>
      <c r="N639">
        <v>4</v>
      </c>
      <c r="O639">
        <v>4</v>
      </c>
      <c r="P639">
        <v>4</v>
      </c>
      <c r="Q639">
        <v>6</v>
      </c>
      <c r="R639">
        <v>6</v>
      </c>
    </row>
    <row r="640" spans="1:18">
      <c r="A640" t="s">
        <v>1948</v>
      </c>
      <c r="B640" t="s">
        <v>195</v>
      </c>
      <c r="C640" t="s">
        <v>170</v>
      </c>
      <c r="D640">
        <v>0</v>
      </c>
      <c r="E640">
        <v>0</v>
      </c>
      <c r="F640">
        <v>0</v>
      </c>
      <c r="G640">
        <v>0</v>
      </c>
      <c r="H640">
        <v>0</v>
      </c>
      <c r="I640">
        <v>0</v>
      </c>
      <c r="J640">
        <v>0</v>
      </c>
      <c r="K640">
        <v>0</v>
      </c>
      <c r="L640">
        <v>0</v>
      </c>
      <c r="M640">
        <v>0</v>
      </c>
      <c r="N640">
        <v>0</v>
      </c>
      <c r="O640">
        <v>0</v>
      </c>
      <c r="P640">
        <v>0</v>
      </c>
      <c r="Q640">
        <v>0</v>
      </c>
      <c r="R640">
        <v>0</v>
      </c>
    </row>
    <row r="641" spans="1:18">
      <c r="A641" t="s">
        <v>1949</v>
      </c>
      <c r="B641" t="s">
        <v>195</v>
      </c>
      <c r="C641" t="s">
        <v>171</v>
      </c>
      <c r="D641">
        <v>0</v>
      </c>
      <c r="E641">
        <v>0</v>
      </c>
      <c r="F641">
        <v>0</v>
      </c>
      <c r="G641">
        <v>0</v>
      </c>
      <c r="H641">
        <v>0</v>
      </c>
      <c r="I641">
        <v>0</v>
      </c>
      <c r="J641">
        <v>0</v>
      </c>
      <c r="K641">
        <v>0</v>
      </c>
      <c r="L641">
        <v>0</v>
      </c>
      <c r="M641">
        <v>0</v>
      </c>
      <c r="N641">
        <v>0</v>
      </c>
      <c r="O641">
        <v>0</v>
      </c>
      <c r="P641">
        <v>0</v>
      </c>
      <c r="Q641">
        <v>0</v>
      </c>
      <c r="R641">
        <v>0</v>
      </c>
    </row>
    <row r="642" spans="1:18">
      <c r="A642" t="s">
        <v>1950</v>
      </c>
      <c r="B642" t="s">
        <v>195</v>
      </c>
      <c r="C642" t="s">
        <v>148</v>
      </c>
      <c r="D642">
        <v>0</v>
      </c>
      <c r="E642">
        <v>0</v>
      </c>
      <c r="F642">
        <v>0</v>
      </c>
      <c r="G642">
        <v>0</v>
      </c>
      <c r="H642">
        <v>0</v>
      </c>
      <c r="I642">
        <v>0</v>
      </c>
      <c r="J642">
        <v>0</v>
      </c>
      <c r="K642">
        <v>0</v>
      </c>
      <c r="L642">
        <v>0</v>
      </c>
      <c r="M642">
        <v>0</v>
      </c>
      <c r="N642">
        <v>0</v>
      </c>
      <c r="O642">
        <v>0</v>
      </c>
      <c r="P642">
        <v>0</v>
      </c>
      <c r="Q642">
        <v>0</v>
      </c>
      <c r="R642">
        <v>0</v>
      </c>
    </row>
    <row r="643" spans="1:18">
      <c r="A643" t="s">
        <v>1951</v>
      </c>
      <c r="B643" t="s">
        <v>195</v>
      </c>
      <c r="C643" t="s">
        <v>184</v>
      </c>
      <c r="D643">
        <v>0</v>
      </c>
      <c r="E643">
        <v>0</v>
      </c>
      <c r="F643">
        <v>0</v>
      </c>
      <c r="G643">
        <v>0</v>
      </c>
      <c r="H643">
        <v>0</v>
      </c>
      <c r="I643">
        <v>0</v>
      </c>
      <c r="J643">
        <v>0</v>
      </c>
      <c r="K643">
        <v>0</v>
      </c>
      <c r="L643">
        <v>0</v>
      </c>
      <c r="M643">
        <v>0</v>
      </c>
      <c r="N643">
        <v>0</v>
      </c>
      <c r="O643">
        <v>0</v>
      </c>
      <c r="P643">
        <v>0</v>
      </c>
      <c r="Q643">
        <v>0</v>
      </c>
      <c r="R643">
        <v>0</v>
      </c>
    </row>
    <row r="644" spans="1:18">
      <c r="A644" t="s">
        <v>1952</v>
      </c>
      <c r="B644" t="s">
        <v>195</v>
      </c>
      <c r="C644" s="4" t="s">
        <v>188</v>
      </c>
      <c r="D644">
        <v>1</v>
      </c>
      <c r="E644">
        <v>0</v>
      </c>
      <c r="F644">
        <v>0</v>
      </c>
      <c r="G644">
        <v>0</v>
      </c>
      <c r="H644">
        <v>0</v>
      </c>
      <c r="I644">
        <v>2</v>
      </c>
      <c r="J644">
        <v>2</v>
      </c>
      <c r="K644">
        <v>5</v>
      </c>
      <c r="L644">
        <v>5</v>
      </c>
      <c r="M644">
        <v>2</v>
      </c>
      <c r="N644">
        <v>3</v>
      </c>
      <c r="O644">
        <v>1</v>
      </c>
      <c r="P644">
        <v>1</v>
      </c>
      <c r="Q644">
        <v>2</v>
      </c>
      <c r="R644">
        <v>1</v>
      </c>
    </row>
    <row r="645" spans="1:18">
      <c r="A645" t="s">
        <v>1953</v>
      </c>
      <c r="B645" t="s">
        <v>195</v>
      </c>
      <c r="C645" s="35" t="s">
        <v>189</v>
      </c>
      <c r="D645">
        <v>0</v>
      </c>
      <c r="E645">
        <v>0</v>
      </c>
      <c r="F645">
        <v>0</v>
      </c>
      <c r="G645">
        <v>0</v>
      </c>
      <c r="H645">
        <v>1</v>
      </c>
      <c r="I645">
        <v>0</v>
      </c>
      <c r="J645">
        <v>0</v>
      </c>
      <c r="K645">
        <v>0</v>
      </c>
      <c r="L645">
        <v>0</v>
      </c>
      <c r="M645">
        <v>2</v>
      </c>
      <c r="N645">
        <v>1</v>
      </c>
      <c r="O645">
        <v>3</v>
      </c>
      <c r="P645">
        <v>3</v>
      </c>
      <c r="Q645">
        <v>4</v>
      </c>
      <c r="R645">
        <v>5</v>
      </c>
    </row>
    <row r="646" spans="1:18">
      <c r="A646" t="s">
        <v>1954</v>
      </c>
      <c r="B646" t="s">
        <v>195</v>
      </c>
      <c r="C646" t="s">
        <v>172</v>
      </c>
      <c r="D646">
        <v>0</v>
      </c>
      <c r="E646">
        <v>0</v>
      </c>
      <c r="F646">
        <v>0</v>
      </c>
      <c r="G646">
        <v>0</v>
      </c>
      <c r="H646">
        <v>0</v>
      </c>
      <c r="I646">
        <v>0</v>
      </c>
      <c r="J646">
        <v>0</v>
      </c>
      <c r="K646">
        <v>0</v>
      </c>
      <c r="L646">
        <v>0</v>
      </c>
      <c r="M646">
        <v>2</v>
      </c>
      <c r="N646">
        <v>1</v>
      </c>
      <c r="O646">
        <v>3</v>
      </c>
      <c r="P646">
        <v>3</v>
      </c>
      <c r="Q646">
        <v>2</v>
      </c>
      <c r="R646">
        <v>2</v>
      </c>
    </row>
    <row r="647" spans="1:18">
      <c r="A647" t="s">
        <v>1955</v>
      </c>
      <c r="B647" t="s">
        <v>195</v>
      </c>
      <c r="C647" t="s">
        <v>30</v>
      </c>
      <c r="D647">
        <v>0</v>
      </c>
      <c r="E647">
        <v>0</v>
      </c>
      <c r="F647">
        <v>0</v>
      </c>
      <c r="G647">
        <v>0</v>
      </c>
      <c r="H647">
        <v>1</v>
      </c>
      <c r="I647">
        <v>0</v>
      </c>
      <c r="J647">
        <v>0</v>
      </c>
      <c r="K647">
        <v>0</v>
      </c>
      <c r="L647">
        <v>0</v>
      </c>
      <c r="M647">
        <v>0</v>
      </c>
      <c r="N647">
        <v>0</v>
      </c>
      <c r="O647">
        <v>0</v>
      </c>
      <c r="P647">
        <v>0</v>
      </c>
      <c r="Q647">
        <v>2</v>
      </c>
      <c r="R647">
        <v>3</v>
      </c>
    </row>
    <row r="648" spans="1:18">
      <c r="A648" t="s">
        <v>1956</v>
      </c>
      <c r="B648" t="s">
        <v>196</v>
      </c>
      <c r="C648" t="s">
        <v>193</v>
      </c>
      <c r="D648">
        <v>59</v>
      </c>
      <c r="E648">
        <v>62</v>
      </c>
      <c r="F648">
        <v>63</v>
      </c>
      <c r="G648">
        <v>66</v>
      </c>
      <c r="H648">
        <v>75</v>
      </c>
      <c r="I648">
        <v>81</v>
      </c>
      <c r="J648">
        <v>86</v>
      </c>
      <c r="K648">
        <v>84</v>
      </c>
      <c r="L648">
        <v>81</v>
      </c>
      <c r="M648">
        <v>82</v>
      </c>
      <c r="N648">
        <v>82</v>
      </c>
      <c r="O648">
        <v>82</v>
      </c>
      <c r="P648">
        <v>80</v>
      </c>
      <c r="Q648">
        <v>84</v>
      </c>
      <c r="R648">
        <v>53</v>
      </c>
    </row>
    <row r="649" spans="1:18">
      <c r="A649" t="s">
        <v>1957</v>
      </c>
      <c r="B649" t="s">
        <v>196</v>
      </c>
      <c r="C649" s="4" t="s">
        <v>34</v>
      </c>
      <c r="D649">
        <v>26</v>
      </c>
      <c r="E649">
        <v>32</v>
      </c>
      <c r="F649">
        <v>24</v>
      </c>
      <c r="G649">
        <v>23</v>
      </c>
      <c r="H649">
        <v>35</v>
      </c>
      <c r="I649">
        <v>29</v>
      </c>
      <c r="J649">
        <v>35</v>
      </c>
      <c r="K649">
        <v>31</v>
      </c>
      <c r="L649">
        <v>30</v>
      </c>
      <c r="M649">
        <v>15</v>
      </c>
      <c r="N649">
        <v>15</v>
      </c>
      <c r="O649">
        <v>13</v>
      </c>
      <c r="P649">
        <v>12</v>
      </c>
      <c r="Q649">
        <v>13</v>
      </c>
      <c r="R649">
        <v>1</v>
      </c>
    </row>
    <row r="650" spans="1:18">
      <c r="A650" t="s">
        <v>1958</v>
      </c>
      <c r="B650" t="s">
        <v>196</v>
      </c>
      <c r="C650" t="s">
        <v>169</v>
      </c>
      <c r="D650">
        <v>33</v>
      </c>
      <c r="E650">
        <v>30</v>
      </c>
      <c r="F650">
        <v>39</v>
      </c>
      <c r="G650">
        <v>43</v>
      </c>
      <c r="H650">
        <v>40</v>
      </c>
      <c r="I650">
        <v>52</v>
      </c>
      <c r="J650">
        <v>51</v>
      </c>
      <c r="K650">
        <v>53</v>
      </c>
      <c r="L650">
        <v>51</v>
      </c>
      <c r="M650">
        <v>67</v>
      </c>
      <c r="N650">
        <v>67</v>
      </c>
      <c r="O650">
        <v>69</v>
      </c>
      <c r="P650">
        <v>68</v>
      </c>
      <c r="Q650">
        <v>71</v>
      </c>
      <c r="R650">
        <v>52</v>
      </c>
    </row>
    <row r="651" spans="1:18">
      <c r="A651" t="s">
        <v>1959</v>
      </c>
      <c r="B651" t="s">
        <v>196</v>
      </c>
      <c r="C651" t="s">
        <v>170</v>
      </c>
      <c r="D651">
        <v>0</v>
      </c>
      <c r="E651">
        <v>0</v>
      </c>
      <c r="F651">
        <v>0</v>
      </c>
      <c r="G651">
        <v>0</v>
      </c>
      <c r="H651">
        <v>0</v>
      </c>
      <c r="I651">
        <v>0</v>
      </c>
      <c r="J651">
        <v>0</v>
      </c>
      <c r="K651">
        <v>0</v>
      </c>
      <c r="L651">
        <v>0</v>
      </c>
      <c r="M651">
        <v>0</v>
      </c>
      <c r="N651">
        <v>0</v>
      </c>
      <c r="O651">
        <v>0</v>
      </c>
      <c r="P651">
        <v>0</v>
      </c>
      <c r="Q651">
        <v>0</v>
      </c>
      <c r="R651">
        <v>0</v>
      </c>
    </row>
    <row r="652" spans="1:18">
      <c r="A652" t="s">
        <v>1960</v>
      </c>
      <c r="B652" t="s">
        <v>196</v>
      </c>
      <c r="C652" t="s">
        <v>171</v>
      </c>
      <c r="D652">
        <v>0</v>
      </c>
      <c r="E652">
        <v>0</v>
      </c>
      <c r="F652">
        <v>0</v>
      </c>
      <c r="G652">
        <v>0</v>
      </c>
      <c r="H652">
        <v>0</v>
      </c>
      <c r="I652">
        <v>0</v>
      </c>
      <c r="J652">
        <v>0</v>
      </c>
      <c r="K652">
        <v>0</v>
      </c>
      <c r="L652">
        <v>0</v>
      </c>
      <c r="M652">
        <v>0</v>
      </c>
      <c r="N652">
        <v>0</v>
      </c>
      <c r="O652">
        <v>0</v>
      </c>
      <c r="P652">
        <v>0</v>
      </c>
      <c r="Q652">
        <v>0</v>
      </c>
      <c r="R652">
        <v>0</v>
      </c>
    </row>
    <row r="653" spans="1:18">
      <c r="A653" t="s">
        <v>1961</v>
      </c>
      <c r="B653" t="s">
        <v>196</v>
      </c>
      <c r="C653" t="s">
        <v>148</v>
      </c>
      <c r="D653">
        <v>0</v>
      </c>
      <c r="E653">
        <v>0</v>
      </c>
      <c r="F653">
        <v>0</v>
      </c>
      <c r="G653">
        <v>0</v>
      </c>
      <c r="H653">
        <v>0</v>
      </c>
      <c r="I653">
        <v>0</v>
      </c>
      <c r="J653">
        <v>0</v>
      </c>
      <c r="K653">
        <v>0</v>
      </c>
      <c r="L653">
        <v>0</v>
      </c>
      <c r="M653">
        <v>0</v>
      </c>
      <c r="N653">
        <v>0</v>
      </c>
      <c r="O653">
        <v>0</v>
      </c>
      <c r="P653">
        <v>0</v>
      </c>
      <c r="Q653">
        <v>0</v>
      </c>
      <c r="R653">
        <v>0</v>
      </c>
    </row>
    <row r="654" spans="1:18">
      <c r="A654" t="s">
        <v>1962</v>
      </c>
      <c r="B654" t="s">
        <v>196</v>
      </c>
      <c r="C654" t="s">
        <v>184</v>
      </c>
      <c r="D654">
        <v>0</v>
      </c>
      <c r="E654">
        <v>0</v>
      </c>
      <c r="F654">
        <v>0</v>
      </c>
      <c r="G654">
        <v>0</v>
      </c>
      <c r="H654">
        <v>0</v>
      </c>
      <c r="I654">
        <v>0</v>
      </c>
      <c r="J654">
        <v>0</v>
      </c>
      <c r="K654">
        <v>0</v>
      </c>
      <c r="L654">
        <v>0</v>
      </c>
      <c r="M654">
        <v>0</v>
      </c>
      <c r="N654">
        <v>0</v>
      </c>
      <c r="O654">
        <v>0</v>
      </c>
      <c r="P654">
        <v>0</v>
      </c>
      <c r="Q654">
        <v>0</v>
      </c>
      <c r="R654">
        <v>0</v>
      </c>
    </row>
    <row r="655" spans="1:18">
      <c r="A655" t="s">
        <v>1963</v>
      </c>
      <c r="B655" t="s">
        <v>196</v>
      </c>
      <c r="C655" s="4" t="s">
        <v>188</v>
      </c>
      <c r="D655">
        <v>7</v>
      </c>
      <c r="E655">
        <v>14</v>
      </c>
      <c r="F655">
        <v>21</v>
      </c>
      <c r="G655">
        <v>23</v>
      </c>
      <c r="H655">
        <v>21</v>
      </c>
      <c r="I655">
        <v>25</v>
      </c>
      <c r="J655">
        <v>19</v>
      </c>
      <c r="K655">
        <v>19</v>
      </c>
      <c r="L655">
        <v>18</v>
      </c>
      <c r="M655">
        <v>25</v>
      </c>
      <c r="N655">
        <v>26</v>
      </c>
      <c r="O655">
        <v>24</v>
      </c>
      <c r="P655">
        <v>18</v>
      </c>
      <c r="Q655">
        <v>15</v>
      </c>
      <c r="R655">
        <v>7</v>
      </c>
    </row>
    <row r="656" spans="1:18">
      <c r="A656" t="s">
        <v>1964</v>
      </c>
      <c r="B656" t="s">
        <v>196</v>
      </c>
      <c r="C656" s="35" t="s">
        <v>189</v>
      </c>
      <c r="D656">
        <v>26</v>
      </c>
      <c r="E656">
        <v>16</v>
      </c>
      <c r="F656">
        <v>18</v>
      </c>
      <c r="G656">
        <v>20</v>
      </c>
      <c r="H656">
        <v>19</v>
      </c>
      <c r="I656">
        <v>27</v>
      </c>
      <c r="J656">
        <v>32</v>
      </c>
      <c r="K656">
        <v>34</v>
      </c>
      <c r="L656">
        <v>33</v>
      </c>
      <c r="M656">
        <v>42</v>
      </c>
      <c r="N656">
        <v>41</v>
      </c>
      <c r="O656">
        <v>45</v>
      </c>
      <c r="P656">
        <v>50</v>
      </c>
      <c r="Q656">
        <v>56</v>
      </c>
      <c r="R656">
        <v>45</v>
      </c>
    </row>
    <row r="657" spans="1:18">
      <c r="A657" t="s">
        <v>1965</v>
      </c>
      <c r="B657" t="s">
        <v>196</v>
      </c>
      <c r="C657" t="s">
        <v>172</v>
      </c>
      <c r="D657">
        <v>7</v>
      </c>
      <c r="E657">
        <v>5</v>
      </c>
      <c r="F657">
        <v>5</v>
      </c>
      <c r="G657">
        <v>6</v>
      </c>
      <c r="H657">
        <v>3</v>
      </c>
      <c r="I657">
        <v>11</v>
      </c>
      <c r="J657">
        <v>15</v>
      </c>
      <c r="K657">
        <v>16</v>
      </c>
      <c r="L657">
        <v>15</v>
      </c>
      <c r="M657">
        <v>17</v>
      </c>
      <c r="N657">
        <v>13</v>
      </c>
      <c r="O657">
        <v>14</v>
      </c>
      <c r="P657">
        <v>21</v>
      </c>
      <c r="Q657">
        <v>21</v>
      </c>
      <c r="R657">
        <v>11</v>
      </c>
    </row>
    <row r="658" spans="1:18">
      <c r="A658" t="s">
        <v>1966</v>
      </c>
      <c r="B658" t="s">
        <v>196</v>
      </c>
      <c r="C658" t="s">
        <v>30</v>
      </c>
      <c r="D658">
        <v>19</v>
      </c>
      <c r="E658">
        <v>11</v>
      </c>
      <c r="F658">
        <v>13</v>
      </c>
      <c r="G658">
        <v>14</v>
      </c>
      <c r="H658">
        <v>16</v>
      </c>
      <c r="I658">
        <v>16</v>
      </c>
      <c r="J658">
        <v>17</v>
      </c>
      <c r="K658">
        <v>18</v>
      </c>
      <c r="L658">
        <v>18</v>
      </c>
      <c r="M658">
        <v>25</v>
      </c>
      <c r="N658">
        <v>28</v>
      </c>
      <c r="O658">
        <v>31</v>
      </c>
      <c r="P658">
        <v>29</v>
      </c>
      <c r="Q658">
        <v>35</v>
      </c>
      <c r="R658">
        <v>34</v>
      </c>
    </row>
    <row r="659" spans="1:18">
      <c r="A659" t="s">
        <v>1967</v>
      </c>
      <c r="B659" t="s">
        <v>196</v>
      </c>
      <c r="C659" t="s">
        <v>177</v>
      </c>
      <c r="D659">
        <v>0</v>
      </c>
      <c r="E659">
        <v>0</v>
      </c>
      <c r="F659">
        <v>0</v>
      </c>
      <c r="G659">
        <v>0</v>
      </c>
      <c r="H659">
        <v>0</v>
      </c>
      <c r="I659">
        <v>0</v>
      </c>
      <c r="J659">
        <v>0</v>
      </c>
      <c r="K659">
        <v>0</v>
      </c>
      <c r="L659">
        <v>0</v>
      </c>
      <c r="M659">
        <v>0</v>
      </c>
      <c r="N659">
        <v>0</v>
      </c>
      <c r="O659">
        <v>0</v>
      </c>
      <c r="P659">
        <v>0</v>
      </c>
      <c r="Q659">
        <v>0</v>
      </c>
      <c r="R659">
        <v>0</v>
      </c>
    </row>
    <row r="660" spans="1:18">
      <c r="A660" t="s">
        <v>1968</v>
      </c>
      <c r="B660" t="s">
        <v>196</v>
      </c>
      <c r="C660" t="s">
        <v>178</v>
      </c>
      <c r="D660">
        <v>0</v>
      </c>
      <c r="E660">
        <v>0</v>
      </c>
      <c r="F660">
        <v>0</v>
      </c>
      <c r="G660">
        <v>0</v>
      </c>
      <c r="H660">
        <v>0</v>
      </c>
      <c r="I660">
        <v>0</v>
      </c>
      <c r="J660">
        <v>0</v>
      </c>
      <c r="K660">
        <v>0</v>
      </c>
      <c r="L660">
        <v>0</v>
      </c>
      <c r="M660">
        <v>0</v>
      </c>
      <c r="N660">
        <v>0</v>
      </c>
      <c r="O660">
        <v>0</v>
      </c>
      <c r="P660">
        <v>0</v>
      </c>
      <c r="Q660">
        <v>0</v>
      </c>
      <c r="R660">
        <v>0</v>
      </c>
    </row>
    <row r="661" spans="1:18">
      <c r="A661" t="s">
        <v>1969</v>
      </c>
      <c r="B661" t="s">
        <v>197</v>
      </c>
      <c r="C661" t="s">
        <v>193</v>
      </c>
      <c r="D661">
        <v>59</v>
      </c>
      <c r="E661">
        <v>62</v>
      </c>
      <c r="F661">
        <v>63</v>
      </c>
      <c r="G661">
        <v>66</v>
      </c>
      <c r="H661">
        <v>75</v>
      </c>
      <c r="I661">
        <v>81</v>
      </c>
      <c r="J661">
        <v>86</v>
      </c>
      <c r="K661">
        <v>84</v>
      </c>
      <c r="L661">
        <v>81</v>
      </c>
      <c r="M661">
        <v>82</v>
      </c>
      <c r="N661">
        <v>82</v>
      </c>
      <c r="O661">
        <v>82</v>
      </c>
      <c r="P661">
        <v>80</v>
      </c>
      <c r="Q661">
        <v>84</v>
      </c>
      <c r="R661">
        <v>53</v>
      </c>
    </row>
    <row r="662" spans="1:18">
      <c r="A662" t="s">
        <v>1970</v>
      </c>
      <c r="B662" t="s">
        <v>197</v>
      </c>
      <c r="C662" s="4" t="s">
        <v>34</v>
      </c>
      <c r="D662">
        <v>26</v>
      </c>
      <c r="E662">
        <v>32</v>
      </c>
      <c r="F662">
        <v>24</v>
      </c>
      <c r="G662">
        <v>23</v>
      </c>
      <c r="H662">
        <v>35</v>
      </c>
      <c r="I662">
        <v>29</v>
      </c>
      <c r="J662">
        <v>35</v>
      </c>
      <c r="K662">
        <v>31</v>
      </c>
      <c r="L662">
        <v>30</v>
      </c>
      <c r="M662">
        <v>15</v>
      </c>
      <c r="N662">
        <v>15</v>
      </c>
      <c r="O662">
        <v>13</v>
      </c>
      <c r="P662">
        <v>12</v>
      </c>
      <c r="Q662">
        <v>13</v>
      </c>
      <c r="R662">
        <v>1</v>
      </c>
    </row>
    <row r="663" spans="1:18">
      <c r="A663" t="s">
        <v>1971</v>
      </c>
      <c r="B663" t="s">
        <v>197</v>
      </c>
      <c r="C663" t="s">
        <v>169</v>
      </c>
      <c r="D663">
        <v>7</v>
      </c>
      <c r="E663">
        <v>14</v>
      </c>
      <c r="F663">
        <v>21</v>
      </c>
      <c r="G663">
        <v>23</v>
      </c>
      <c r="H663">
        <v>21</v>
      </c>
      <c r="I663">
        <v>25</v>
      </c>
      <c r="J663">
        <v>19</v>
      </c>
      <c r="K663">
        <v>19</v>
      </c>
      <c r="L663">
        <v>18</v>
      </c>
      <c r="M663">
        <v>25</v>
      </c>
      <c r="N663">
        <v>26</v>
      </c>
      <c r="O663">
        <v>24</v>
      </c>
      <c r="P663">
        <v>18</v>
      </c>
      <c r="Q663">
        <v>15</v>
      </c>
      <c r="R663">
        <v>7</v>
      </c>
    </row>
    <row r="664" spans="1:18">
      <c r="A664" t="s">
        <v>1972</v>
      </c>
      <c r="B664" t="s">
        <v>197</v>
      </c>
      <c r="C664" t="s">
        <v>170</v>
      </c>
      <c r="D664">
        <v>7</v>
      </c>
      <c r="E664">
        <v>5</v>
      </c>
      <c r="F664">
        <v>5</v>
      </c>
      <c r="G664">
        <v>6</v>
      </c>
      <c r="H664">
        <v>3</v>
      </c>
      <c r="I664">
        <v>11</v>
      </c>
      <c r="J664">
        <v>15</v>
      </c>
      <c r="K664">
        <v>16</v>
      </c>
      <c r="L664">
        <v>15</v>
      </c>
      <c r="M664">
        <v>17</v>
      </c>
      <c r="N664">
        <v>13</v>
      </c>
      <c r="O664">
        <v>14</v>
      </c>
      <c r="P664">
        <v>21</v>
      </c>
      <c r="Q664">
        <v>21</v>
      </c>
      <c r="R664">
        <v>11</v>
      </c>
    </row>
    <row r="665" spans="1:18">
      <c r="A665" t="s">
        <v>1973</v>
      </c>
      <c r="B665" t="s">
        <v>197</v>
      </c>
      <c r="C665" t="s">
        <v>171</v>
      </c>
      <c r="D665">
        <v>19</v>
      </c>
      <c r="E665">
        <v>11</v>
      </c>
      <c r="F665">
        <v>13</v>
      </c>
      <c r="G665">
        <v>14</v>
      </c>
      <c r="H665">
        <v>16</v>
      </c>
      <c r="I665">
        <v>16</v>
      </c>
      <c r="J665">
        <v>17</v>
      </c>
      <c r="K665">
        <v>18</v>
      </c>
      <c r="L665">
        <v>18</v>
      </c>
      <c r="M665">
        <v>25</v>
      </c>
      <c r="N665">
        <v>28</v>
      </c>
      <c r="O665">
        <v>31</v>
      </c>
      <c r="P665">
        <v>29</v>
      </c>
      <c r="Q665">
        <v>35</v>
      </c>
      <c r="R665">
        <v>34</v>
      </c>
    </row>
    <row r="666" spans="1:18">
      <c r="A666" t="s">
        <v>1974</v>
      </c>
      <c r="B666" t="s">
        <v>197</v>
      </c>
      <c r="C666" t="s">
        <v>148</v>
      </c>
      <c r="D666">
        <v>0</v>
      </c>
      <c r="E666">
        <v>0</v>
      </c>
      <c r="F666">
        <v>0</v>
      </c>
      <c r="G666">
        <v>0</v>
      </c>
      <c r="H666">
        <v>0</v>
      </c>
      <c r="I666">
        <v>0</v>
      </c>
      <c r="J666">
        <v>0</v>
      </c>
      <c r="K666">
        <v>0</v>
      </c>
      <c r="L666">
        <v>0</v>
      </c>
      <c r="M666">
        <v>0</v>
      </c>
      <c r="N666">
        <v>0</v>
      </c>
      <c r="O666">
        <v>0</v>
      </c>
      <c r="P666">
        <v>0</v>
      </c>
      <c r="Q666">
        <v>0</v>
      </c>
      <c r="R666">
        <v>0</v>
      </c>
    </row>
    <row r="667" spans="1:18">
      <c r="A667" t="s">
        <v>1975</v>
      </c>
      <c r="B667" t="s">
        <v>197</v>
      </c>
      <c r="C667" t="s">
        <v>184</v>
      </c>
      <c r="D667">
        <v>0</v>
      </c>
      <c r="E667">
        <v>0</v>
      </c>
      <c r="F667">
        <v>0</v>
      </c>
      <c r="G667">
        <v>0</v>
      </c>
      <c r="H667">
        <v>0</v>
      </c>
      <c r="I667">
        <v>0</v>
      </c>
      <c r="J667">
        <v>0</v>
      </c>
      <c r="K667">
        <v>0</v>
      </c>
      <c r="L667">
        <v>0</v>
      </c>
      <c r="M667">
        <v>0</v>
      </c>
      <c r="N667">
        <v>0</v>
      </c>
      <c r="O667">
        <v>0</v>
      </c>
      <c r="P667">
        <v>0</v>
      </c>
      <c r="Q667">
        <v>0</v>
      </c>
      <c r="R667">
        <v>0</v>
      </c>
    </row>
    <row r="668" spans="1:18">
      <c r="A668" t="s">
        <v>1976</v>
      </c>
      <c r="B668" t="s">
        <v>197</v>
      </c>
      <c r="C668" s="4" t="s">
        <v>188</v>
      </c>
      <c r="D668">
        <v>33</v>
      </c>
      <c r="E668">
        <v>30</v>
      </c>
      <c r="F668">
        <v>39</v>
      </c>
      <c r="G668">
        <v>43</v>
      </c>
      <c r="H668">
        <v>40</v>
      </c>
      <c r="I668">
        <v>52</v>
      </c>
      <c r="J668">
        <v>51</v>
      </c>
      <c r="K668">
        <v>53</v>
      </c>
      <c r="L668">
        <v>51</v>
      </c>
      <c r="M668">
        <v>67</v>
      </c>
      <c r="N668">
        <v>67</v>
      </c>
      <c r="O668">
        <v>69</v>
      </c>
      <c r="P668">
        <v>68</v>
      </c>
      <c r="Q668">
        <v>71</v>
      </c>
      <c r="R668">
        <v>52</v>
      </c>
    </row>
    <row r="669" spans="1:18">
      <c r="A669" t="s">
        <v>1977</v>
      </c>
      <c r="B669" t="s">
        <v>197</v>
      </c>
      <c r="C669" s="35" t="s">
        <v>189</v>
      </c>
      <c r="D669">
        <v>26</v>
      </c>
      <c r="E669">
        <v>16</v>
      </c>
      <c r="F669">
        <v>18</v>
      </c>
      <c r="G669">
        <v>20</v>
      </c>
      <c r="H669">
        <v>19</v>
      </c>
      <c r="I669">
        <v>27</v>
      </c>
      <c r="J669">
        <v>32</v>
      </c>
      <c r="K669">
        <v>34</v>
      </c>
      <c r="L669">
        <v>33</v>
      </c>
      <c r="M669">
        <v>42</v>
      </c>
      <c r="N669">
        <v>41</v>
      </c>
      <c r="O669">
        <v>45</v>
      </c>
      <c r="P669">
        <v>50</v>
      </c>
      <c r="Q669">
        <v>56</v>
      </c>
      <c r="R669">
        <v>45</v>
      </c>
    </row>
    <row r="670" spans="1:18">
      <c r="A670" t="s">
        <v>1978</v>
      </c>
      <c r="B670" t="s">
        <v>197</v>
      </c>
      <c r="C670" t="s">
        <v>172</v>
      </c>
      <c r="D670">
        <v>0</v>
      </c>
      <c r="E670">
        <v>0</v>
      </c>
      <c r="F670">
        <v>0</v>
      </c>
      <c r="G670">
        <v>0</v>
      </c>
      <c r="H670">
        <v>0</v>
      </c>
      <c r="I670">
        <v>0</v>
      </c>
      <c r="J670">
        <v>0</v>
      </c>
      <c r="K670">
        <v>0</v>
      </c>
      <c r="L670">
        <v>0</v>
      </c>
      <c r="M670">
        <v>0</v>
      </c>
      <c r="N670">
        <v>0</v>
      </c>
      <c r="O670">
        <v>0</v>
      </c>
      <c r="P670">
        <v>0</v>
      </c>
      <c r="Q670">
        <v>0</v>
      </c>
      <c r="R670">
        <v>0</v>
      </c>
    </row>
    <row r="671" spans="1:18">
      <c r="A671" t="s">
        <v>1979</v>
      </c>
      <c r="B671" t="s">
        <v>197</v>
      </c>
      <c r="C671" t="s">
        <v>30</v>
      </c>
      <c r="D671">
        <v>0</v>
      </c>
      <c r="E671">
        <v>0</v>
      </c>
      <c r="F671">
        <v>0</v>
      </c>
      <c r="G671">
        <v>0</v>
      </c>
      <c r="H671">
        <v>0</v>
      </c>
      <c r="I671">
        <v>0</v>
      </c>
      <c r="J671">
        <v>0</v>
      </c>
      <c r="K671">
        <v>0</v>
      </c>
      <c r="L671">
        <v>0</v>
      </c>
      <c r="M671">
        <v>0</v>
      </c>
      <c r="N671">
        <v>0</v>
      </c>
      <c r="O671">
        <v>0</v>
      </c>
      <c r="P671">
        <v>0</v>
      </c>
      <c r="Q671">
        <v>0</v>
      </c>
      <c r="R671">
        <v>0</v>
      </c>
    </row>
    <row r="672" spans="1:18">
      <c r="A672" t="s">
        <v>1980</v>
      </c>
      <c r="B672" t="s">
        <v>197</v>
      </c>
      <c r="C672" t="s">
        <v>177</v>
      </c>
      <c r="D672">
        <v>0</v>
      </c>
      <c r="E672">
        <v>0</v>
      </c>
      <c r="F672">
        <v>0</v>
      </c>
      <c r="G672">
        <v>0</v>
      </c>
      <c r="H672">
        <v>0</v>
      </c>
      <c r="I672">
        <v>0</v>
      </c>
      <c r="J672">
        <v>0</v>
      </c>
      <c r="K672">
        <v>0</v>
      </c>
      <c r="L672">
        <v>0</v>
      </c>
      <c r="M672">
        <v>0</v>
      </c>
      <c r="N672">
        <v>0</v>
      </c>
      <c r="O672">
        <v>0</v>
      </c>
      <c r="P672">
        <v>0</v>
      </c>
      <c r="Q672">
        <v>0</v>
      </c>
      <c r="R672">
        <v>0</v>
      </c>
    </row>
    <row r="673" spans="1:18">
      <c r="A673" t="s">
        <v>1981</v>
      </c>
      <c r="B673" t="s">
        <v>197</v>
      </c>
      <c r="C673" t="s">
        <v>178</v>
      </c>
      <c r="D673">
        <v>0</v>
      </c>
      <c r="E673">
        <v>0</v>
      </c>
      <c r="F673">
        <v>0</v>
      </c>
      <c r="G673">
        <v>0</v>
      </c>
      <c r="H673">
        <v>0</v>
      </c>
      <c r="I673">
        <v>0</v>
      </c>
      <c r="J673">
        <v>0</v>
      </c>
      <c r="K673">
        <v>0</v>
      </c>
      <c r="L673">
        <v>0</v>
      </c>
      <c r="M673">
        <v>0</v>
      </c>
      <c r="N673">
        <v>0</v>
      </c>
      <c r="O673">
        <v>0</v>
      </c>
      <c r="P673">
        <v>0</v>
      </c>
      <c r="Q673">
        <v>0</v>
      </c>
      <c r="R673">
        <v>0</v>
      </c>
    </row>
    <row r="674" spans="1:18">
      <c r="A674" t="s">
        <v>1982</v>
      </c>
      <c r="B674" t="s">
        <v>194</v>
      </c>
      <c r="C674" t="s">
        <v>193</v>
      </c>
      <c r="D674">
        <v>26017</v>
      </c>
      <c r="E674">
        <v>24778</v>
      </c>
      <c r="F674">
        <v>24049</v>
      </c>
      <c r="G674">
        <v>23804</v>
      </c>
      <c r="H674">
        <v>23673</v>
      </c>
      <c r="I674">
        <v>23652</v>
      </c>
      <c r="J674">
        <v>23859</v>
      </c>
      <c r="K674">
        <v>23760</v>
      </c>
      <c r="L674">
        <v>23780</v>
      </c>
      <c r="M674">
        <v>22662</v>
      </c>
      <c r="N674">
        <v>22091</v>
      </c>
      <c r="O674">
        <v>22599</v>
      </c>
      <c r="P674">
        <v>21167</v>
      </c>
      <c r="Q674">
        <v>21308</v>
      </c>
      <c r="R674">
        <v>22401</v>
      </c>
    </row>
    <row r="675" spans="1:18">
      <c r="A675" t="s">
        <v>1983</v>
      </c>
      <c r="B675" t="s">
        <v>194</v>
      </c>
      <c r="C675" s="4" t="s">
        <v>34</v>
      </c>
      <c r="D675">
        <v>13065</v>
      </c>
      <c r="E675">
        <v>11052</v>
      </c>
      <c r="F675">
        <v>9017</v>
      </c>
      <c r="G675">
        <v>7850</v>
      </c>
      <c r="H675">
        <v>8853</v>
      </c>
      <c r="I675">
        <v>9965</v>
      </c>
      <c r="J675">
        <v>11104</v>
      </c>
      <c r="K675">
        <v>11911</v>
      </c>
      <c r="L675">
        <v>12070</v>
      </c>
      <c r="M675">
        <v>11250</v>
      </c>
      <c r="N675">
        <v>11248</v>
      </c>
      <c r="O675">
        <v>11981</v>
      </c>
      <c r="P675">
        <v>11649</v>
      </c>
      <c r="Q675">
        <v>12576</v>
      </c>
      <c r="R675">
        <v>13666</v>
      </c>
    </row>
    <row r="676" spans="1:18">
      <c r="A676" t="s">
        <v>1984</v>
      </c>
      <c r="B676" t="s">
        <v>194</v>
      </c>
      <c r="C676" t="s">
        <v>169</v>
      </c>
      <c r="D676">
        <v>12952</v>
      </c>
      <c r="E676">
        <v>13726</v>
      </c>
      <c r="F676">
        <v>15032</v>
      </c>
      <c r="G676">
        <v>15954</v>
      </c>
      <c r="H676">
        <v>14820</v>
      </c>
      <c r="I676">
        <v>13687</v>
      </c>
      <c r="J676">
        <v>12755</v>
      </c>
      <c r="K676">
        <v>11849</v>
      </c>
      <c r="L676">
        <v>11710</v>
      </c>
      <c r="M676">
        <v>11412</v>
      </c>
      <c r="N676">
        <v>10843</v>
      </c>
      <c r="O676">
        <v>10618</v>
      </c>
      <c r="P676">
        <v>9518</v>
      </c>
      <c r="Q676">
        <v>8732</v>
      </c>
      <c r="R676">
        <v>8735</v>
      </c>
    </row>
    <row r="677" spans="1:18">
      <c r="A677" t="s">
        <v>1985</v>
      </c>
      <c r="B677" t="s">
        <v>194</v>
      </c>
      <c r="C677" t="s">
        <v>170</v>
      </c>
      <c r="D677">
        <v>0</v>
      </c>
      <c r="E677">
        <v>0</v>
      </c>
      <c r="F677">
        <v>0</v>
      </c>
      <c r="G677">
        <v>0</v>
      </c>
      <c r="H677">
        <v>0</v>
      </c>
      <c r="I677">
        <v>0</v>
      </c>
      <c r="J677">
        <v>0</v>
      </c>
      <c r="K677">
        <v>0</v>
      </c>
      <c r="L677">
        <v>0</v>
      </c>
      <c r="M677">
        <v>0</v>
      </c>
      <c r="N677">
        <v>0</v>
      </c>
      <c r="O677">
        <v>0</v>
      </c>
      <c r="P677">
        <v>0</v>
      </c>
      <c r="Q677">
        <v>0</v>
      </c>
      <c r="R677">
        <v>0</v>
      </c>
    </row>
    <row r="678" spans="1:18">
      <c r="A678" t="s">
        <v>1986</v>
      </c>
      <c r="B678" t="s">
        <v>194</v>
      </c>
      <c r="C678" t="s">
        <v>171</v>
      </c>
      <c r="D678">
        <v>0</v>
      </c>
      <c r="E678">
        <v>0</v>
      </c>
      <c r="F678">
        <v>0</v>
      </c>
      <c r="G678">
        <v>0</v>
      </c>
      <c r="H678">
        <v>0</v>
      </c>
      <c r="I678">
        <v>0</v>
      </c>
      <c r="J678">
        <v>0</v>
      </c>
      <c r="K678">
        <v>0</v>
      </c>
      <c r="L678">
        <v>0</v>
      </c>
      <c r="M678">
        <v>0</v>
      </c>
      <c r="N678">
        <v>0</v>
      </c>
      <c r="O678">
        <v>0</v>
      </c>
      <c r="P678">
        <v>0</v>
      </c>
      <c r="Q678">
        <v>0</v>
      </c>
      <c r="R678">
        <v>0</v>
      </c>
    </row>
    <row r="679" spans="1:18">
      <c r="A679" t="s">
        <v>1987</v>
      </c>
      <c r="B679" t="s">
        <v>194</v>
      </c>
      <c r="C679" t="s">
        <v>148</v>
      </c>
      <c r="D679">
        <v>0</v>
      </c>
      <c r="E679">
        <v>0</v>
      </c>
      <c r="F679">
        <v>0</v>
      </c>
      <c r="G679">
        <v>0</v>
      </c>
      <c r="H679">
        <v>0</v>
      </c>
      <c r="I679">
        <v>0</v>
      </c>
      <c r="J679">
        <v>0</v>
      </c>
      <c r="K679">
        <v>0</v>
      </c>
      <c r="L679">
        <v>0</v>
      </c>
      <c r="M679">
        <v>0</v>
      </c>
      <c r="N679">
        <v>0</v>
      </c>
      <c r="O679">
        <v>0</v>
      </c>
      <c r="P679">
        <v>0</v>
      </c>
      <c r="Q679">
        <v>0</v>
      </c>
      <c r="R679">
        <v>0</v>
      </c>
    </row>
    <row r="680" spans="1:18">
      <c r="A680" t="s">
        <v>1988</v>
      </c>
      <c r="B680" t="s">
        <v>194</v>
      </c>
      <c r="C680" t="s">
        <v>184</v>
      </c>
      <c r="D680">
        <v>0</v>
      </c>
      <c r="E680">
        <v>0</v>
      </c>
      <c r="F680">
        <v>0</v>
      </c>
      <c r="G680">
        <v>0</v>
      </c>
      <c r="H680">
        <v>0</v>
      </c>
      <c r="I680">
        <v>0</v>
      </c>
      <c r="J680">
        <v>0</v>
      </c>
      <c r="K680">
        <v>0</v>
      </c>
      <c r="L680">
        <v>0</v>
      </c>
      <c r="M680">
        <v>0</v>
      </c>
      <c r="N680">
        <v>0</v>
      </c>
      <c r="O680">
        <v>0</v>
      </c>
      <c r="P680">
        <v>0</v>
      </c>
      <c r="Q680">
        <v>0</v>
      </c>
      <c r="R680">
        <v>0</v>
      </c>
    </row>
    <row r="681" spans="1:18">
      <c r="A681" t="s">
        <v>1989</v>
      </c>
      <c r="B681" t="s">
        <v>194</v>
      </c>
      <c r="C681" s="4" t="s">
        <v>188</v>
      </c>
      <c r="D681">
        <v>6890</v>
      </c>
      <c r="E681">
        <v>7265</v>
      </c>
      <c r="F681">
        <v>8278</v>
      </c>
      <c r="G681">
        <v>8625</v>
      </c>
      <c r="H681">
        <v>7013</v>
      </c>
      <c r="I681">
        <v>5421</v>
      </c>
      <c r="J681">
        <v>3947</v>
      </c>
      <c r="K681">
        <v>3093</v>
      </c>
      <c r="L681">
        <v>3561</v>
      </c>
      <c r="M681">
        <v>3988</v>
      </c>
      <c r="N681">
        <v>4137</v>
      </c>
      <c r="O681">
        <v>4316</v>
      </c>
      <c r="P681">
        <v>3829</v>
      </c>
      <c r="Q681">
        <v>3243</v>
      </c>
      <c r="R681">
        <v>3072</v>
      </c>
    </row>
    <row r="682" spans="1:18">
      <c r="A682" t="s">
        <v>1990</v>
      </c>
      <c r="B682" t="s">
        <v>194</v>
      </c>
      <c r="C682" s="35" t="s">
        <v>189</v>
      </c>
      <c r="D682">
        <v>6062</v>
      </c>
      <c r="E682">
        <v>6461</v>
      </c>
      <c r="F682">
        <v>6754</v>
      </c>
      <c r="G682">
        <v>7329</v>
      </c>
      <c r="H682">
        <v>7807</v>
      </c>
      <c r="I682">
        <v>8266</v>
      </c>
      <c r="J682">
        <v>8808</v>
      </c>
      <c r="K682">
        <v>8756</v>
      </c>
      <c r="L682">
        <v>8149</v>
      </c>
      <c r="M682">
        <v>7424</v>
      </c>
      <c r="N682">
        <v>6706</v>
      </c>
      <c r="O682">
        <v>6302</v>
      </c>
      <c r="P682">
        <v>5689</v>
      </c>
      <c r="Q682">
        <v>5489</v>
      </c>
      <c r="R682">
        <v>5663</v>
      </c>
    </row>
    <row r="683" spans="1:18">
      <c r="A683" t="s">
        <v>1991</v>
      </c>
      <c r="B683" t="s">
        <v>194</v>
      </c>
      <c r="C683" t="s">
        <v>172</v>
      </c>
      <c r="D683">
        <v>3025</v>
      </c>
      <c r="E683">
        <v>3276</v>
      </c>
      <c r="F683">
        <v>3493</v>
      </c>
      <c r="G683">
        <v>3933</v>
      </c>
      <c r="H683">
        <v>4213</v>
      </c>
      <c r="I683">
        <v>4453</v>
      </c>
      <c r="J683">
        <v>4912</v>
      </c>
      <c r="K683">
        <v>4812</v>
      </c>
      <c r="L683">
        <v>3844</v>
      </c>
      <c r="M683">
        <v>2989</v>
      </c>
      <c r="N683">
        <v>2091</v>
      </c>
      <c r="O683">
        <v>1707</v>
      </c>
      <c r="P683">
        <v>1677</v>
      </c>
      <c r="Q683">
        <v>1751</v>
      </c>
      <c r="R683">
        <v>1783</v>
      </c>
    </row>
    <row r="684" spans="1:18">
      <c r="A684" t="s">
        <v>1992</v>
      </c>
      <c r="B684" t="s">
        <v>194</v>
      </c>
      <c r="C684" t="s">
        <v>30</v>
      </c>
      <c r="D684">
        <v>3037</v>
      </c>
      <c r="E684">
        <v>3185</v>
      </c>
      <c r="F684">
        <v>3261</v>
      </c>
      <c r="G684">
        <v>3396</v>
      </c>
      <c r="H684">
        <v>3594</v>
      </c>
      <c r="I684">
        <v>3813</v>
      </c>
      <c r="J684">
        <v>3896</v>
      </c>
      <c r="K684">
        <v>3944</v>
      </c>
      <c r="L684">
        <v>4305</v>
      </c>
      <c r="M684">
        <v>4435</v>
      </c>
      <c r="N684">
        <v>4615</v>
      </c>
      <c r="O684">
        <v>4595</v>
      </c>
      <c r="P684">
        <v>4012</v>
      </c>
      <c r="Q684">
        <v>3738</v>
      </c>
      <c r="R684">
        <v>3880</v>
      </c>
    </row>
    <row r="685" spans="1:18">
      <c r="A685" t="s">
        <v>1993</v>
      </c>
      <c r="B685" t="s">
        <v>195</v>
      </c>
      <c r="C685" t="s">
        <v>193</v>
      </c>
      <c r="D685">
        <v>1140</v>
      </c>
      <c r="E685">
        <v>1084</v>
      </c>
      <c r="F685">
        <v>1072</v>
      </c>
      <c r="G685">
        <v>1051</v>
      </c>
      <c r="H685">
        <v>1012</v>
      </c>
      <c r="I685">
        <v>1054</v>
      </c>
      <c r="J685">
        <v>1075</v>
      </c>
      <c r="K685">
        <v>963</v>
      </c>
      <c r="L685">
        <v>903</v>
      </c>
      <c r="M685">
        <v>826</v>
      </c>
      <c r="N685">
        <v>850</v>
      </c>
      <c r="O685">
        <v>918</v>
      </c>
      <c r="P685">
        <v>966</v>
      </c>
      <c r="Q685">
        <v>1023</v>
      </c>
      <c r="R685">
        <v>1136</v>
      </c>
    </row>
    <row r="686" spans="1:18">
      <c r="A686" t="s">
        <v>1994</v>
      </c>
      <c r="B686" t="s">
        <v>195</v>
      </c>
      <c r="C686" s="4" t="s">
        <v>34</v>
      </c>
      <c r="D686">
        <v>769</v>
      </c>
      <c r="E686">
        <v>622</v>
      </c>
      <c r="F686">
        <v>486</v>
      </c>
      <c r="G686">
        <v>425</v>
      </c>
      <c r="H686">
        <v>457</v>
      </c>
      <c r="I686">
        <v>541</v>
      </c>
      <c r="J686">
        <v>601</v>
      </c>
      <c r="K686">
        <v>587</v>
      </c>
      <c r="L686">
        <v>578</v>
      </c>
      <c r="M686">
        <v>543</v>
      </c>
      <c r="N686">
        <v>582</v>
      </c>
      <c r="O686">
        <v>649</v>
      </c>
      <c r="P686">
        <v>672</v>
      </c>
      <c r="Q686">
        <v>745</v>
      </c>
      <c r="R686">
        <v>879</v>
      </c>
    </row>
    <row r="687" spans="1:18">
      <c r="A687" t="s">
        <v>1995</v>
      </c>
      <c r="B687" t="s">
        <v>195</v>
      </c>
      <c r="C687" t="s">
        <v>169</v>
      </c>
      <c r="D687">
        <v>371</v>
      </c>
      <c r="E687">
        <v>462</v>
      </c>
      <c r="F687">
        <v>586</v>
      </c>
      <c r="G687">
        <v>626</v>
      </c>
      <c r="H687">
        <v>555</v>
      </c>
      <c r="I687">
        <v>513</v>
      </c>
      <c r="J687">
        <v>474</v>
      </c>
      <c r="K687">
        <v>376</v>
      </c>
      <c r="L687">
        <v>325</v>
      </c>
      <c r="M687">
        <v>283</v>
      </c>
      <c r="N687">
        <v>268</v>
      </c>
      <c r="O687">
        <v>269</v>
      </c>
      <c r="P687">
        <v>294</v>
      </c>
      <c r="Q687">
        <v>278</v>
      </c>
      <c r="R687">
        <v>257</v>
      </c>
    </row>
    <row r="688" spans="1:18">
      <c r="A688" t="s">
        <v>1996</v>
      </c>
      <c r="B688" t="s">
        <v>195</v>
      </c>
      <c r="C688" t="s">
        <v>170</v>
      </c>
      <c r="D688">
        <v>0</v>
      </c>
      <c r="E688">
        <v>0</v>
      </c>
      <c r="F688">
        <v>0</v>
      </c>
      <c r="G688">
        <v>0</v>
      </c>
      <c r="H688">
        <v>0</v>
      </c>
      <c r="I688">
        <v>0</v>
      </c>
      <c r="J688">
        <v>0</v>
      </c>
      <c r="K688">
        <v>0</v>
      </c>
      <c r="L688">
        <v>0</v>
      </c>
      <c r="M688">
        <v>0</v>
      </c>
      <c r="N688">
        <v>0</v>
      </c>
      <c r="O688">
        <v>0</v>
      </c>
      <c r="P688">
        <v>0</v>
      </c>
      <c r="Q688">
        <v>0</v>
      </c>
      <c r="R688">
        <v>0</v>
      </c>
    </row>
    <row r="689" spans="1:18">
      <c r="A689" t="s">
        <v>1997</v>
      </c>
      <c r="B689" t="s">
        <v>195</v>
      </c>
      <c r="C689" t="s">
        <v>171</v>
      </c>
      <c r="D689">
        <v>0</v>
      </c>
      <c r="E689">
        <v>0</v>
      </c>
      <c r="F689">
        <v>0</v>
      </c>
      <c r="G689">
        <v>0</v>
      </c>
      <c r="H689">
        <v>0</v>
      </c>
      <c r="I689">
        <v>0</v>
      </c>
      <c r="J689">
        <v>0</v>
      </c>
      <c r="K689">
        <v>0</v>
      </c>
      <c r="L689">
        <v>0</v>
      </c>
      <c r="M689">
        <v>0</v>
      </c>
      <c r="N689">
        <v>0</v>
      </c>
      <c r="O689">
        <v>0</v>
      </c>
      <c r="P689">
        <v>0</v>
      </c>
      <c r="Q689">
        <v>0</v>
      </c>
      <c r="R689">
        <v>0</v>
      </c>
    </row>
    <row r="690" spans="1:18">
      <c r="A690" t="s">
        <v>1998</v>
      </c>
      <c r="B690" t="s">
        <v>195</v>
      </c>
      <c r="C690" t="s">
        <v>148</v>
      </c>
      <c r="D690">
        <v>0</v>
      </c>
      <c r="E690">
        <v>0</v>
      </c>
      <c r="F690">
        <v>0</v>
      </c>
      <c r="G690">
        <v>0</v>
      </c>
      <c r="H690">
        <v>0</v>
      </c>
      <c r="I690">
        <v>0</v>
      </c>
      <c r="J690">
        <v>0</v>
      </c>
      <c r="K690">
        <v>0</v>
      </c>
      <c r="L690">
        <v>0</v>
      </c>
      <c r="M690">
        <v>0</v>
      </c>
      <c r="N690">
        <v>0</v>
      </c>
      <c r="O690">
        <v>0</v>
      </c>
      <c r="P690">
        <v>0</v>
      </c>
      <c r="Q690">
        <v>0</v>
      </c>
      <c r="R690">
        <v>0</v>
      </c>
    </row>
    <row r="691" spans="1:18">
      <c r="A691" t="s">
        <v>1999</v>
      </c>
      <c r="B691" t="s">
        <v>195</v>
      </c>
      <c r="C691" t="s">
        <v>184</v>
      </c>
      <c r="D691">
        <v>0</v>
      </c>
      <c r="E691">
        <v>0</v>
      </c>
      <c r="F691">
        <v>0</v>
      </c>
      <c r="G691">
        <v>0</v>
      </c>
      <c r="H691">
        <v>0</v>
      </c>
      <c r="I691">
        <v>0</v>
      </c>
      <c r="J691">
        <v>0</v>
      </c>
      <c r="K691">
        <v>0</v>
      </c>
      <c r="L691">
        <v>0</v>
      </c>
      <c r="M691">
        <v>0</v>
      </c>
      <c r="N691">
        <v>0</v>
      </c>
      <c r="O691">
        <v>0</v>
      </c>
      <c r="P691">
        <v>0</v>
      </c>
      <c r="Q691">
        <v>0</v>
      </c>
      <c r="R691">
        <v>0</v>
      </c>
    </row>
    <row r="692" spans="1:18">
      <c r="A692" t="s">
        <v>2000</v>
      </c>
      <c r="B692" t="s">
        <v>195</v>
      </c>
      <c r="C692" s="4" t="s">
        <v>188</v>
      </c>
      <c r="D692">
        <v>205</v>
      </c>
      <c r="E692">
        <v>296</v>
      </c>
      <c r="F692">
        <v>419</v>
      </c>
      <c r="G692">
        <v>437</v>
      </c>
      <c r="H692">
        <v>334</v>
      </c>
      <c r="I692">
        <v>245</v>
      </c>
      <c r="J692">
        <v>154</v>
      </c>
      <c r="K692">
        <v>97</v>
      </c>
      <c r="L692">
        <v>102</v>
      </c>
      <c r="M692">
        <v>104</v>
      </c>
      <c r="N692">
        <v>121</v>
      </c>
      <c r="O692">
        <v>131</v>
      </c>
      <c r="P692">
        <v>144</v>
      </c>
      <c r="Q692">
        <v>133</v>
      </c>
      <c r="R692">
        <v>116</v>
      </c>
    </row>
    <row r="693" spans="1:18">
      <c r="A693" t="s">
        <v>2001</v>
      </c>
      <c r="B693" t="s">
        <v>195</v>
      </c>
      <c r="C693" s="35" t="s">
        <v>189</v>
      </c>
      <c r="D693">
        <v>166</v>
      </c>
      <c r="E693">
        <v>166</v>
      </c>
      <c r="F693">
        <v>167</v>
      </c>
      <c r="G693">
        <v>189</v>
      </c>
      <c r="H693">
        <v>221</v>
      </c>
      <c r="I693">
        <v>268</v>
      </c>
      <c r="J693">
        <v>320</v>
      </c>
      <c r="K693">
        <v>279</v>
      </c>
      <c r="L693">
        <v>223</v>
      </c>
      <c r="M693">
        <v>179</v>
      </c>
      <c r="N693">
        <v>147</v>
      </c>
      <c r="O693">
        <v>138</v>
      </c>
      <c r="P693">
        <v>150</v>
      </c>
      <c r="Q693">
        <v>145</v>
      </c>
      <c r="R693">
        <v>141</v>
      </c>
    </row>
    <row r="694" spans="1:18">
      <c r="A694" t="s">
        <v>2002</v>
      </c>
      <c r="B694" t="s">
        <v>195</v>
      </c>
      <c r="C694" t="s">
        <v>172</v>
      </c>
      <c r="D694">
        <v>99</v>
      </c>
      <c r="E694">
        <v>96</v>
      </c>
      <c r="F694">
        <v>92</v>
      </c>
      <c r="G694">
        <v>110</v>
      </c>
      <c r="H694">
        <v>122</v>
      </c>
      <c r="I694">
        <v>158</v>
      </c>
      <c r="J694">
        <v>199</v>
      </c>
      <c r="K694">
        <v>173</v>
      </c>
      <c r="L694">
        <v>120</v>
      </c>
      <c r="M694">
        <v>77</v>
      </c>
      <c r="N694">
        <v>39</v>
      </c>
      <c r="O694">
        <v>35</v>
      </c>
      <c r="P694">
        <v>40</v>
      </c>
      <c r="Q694">
        <v>46</v>
      </c>
      <c r="R694">
        <v>45</v>
      </c>
    </row>
    <row r="695" spans="1:18">
      <c r="A695" t="s">
        <v>2003</v>
      </c>
      <c r="B695" t="s">
        <v>195</v>
      </c>
      <c r="C695" t="s">
        <v>30</v>
      </c>
      <c r="D695">
        <v>67</v>
      </c>
      <c r="E695">
        <v>70</v>
      </c>
      <c r="F695">
        <v>75</v>
      </c>
      <c r="G695">
        <v>79</v>
      </c>
      <c r="H695">
        <v>99</v>
      </c>
      <c r="I695">
        <v>110</v>
      </c>
      <c r="J695">
        <v>121</v>
      </c>
      <c r="K695">
        <v>106</v>
      </c>
      <c r="L695">
        <v>103</v>
      </c>
      <c r="M695">
        <v>102</v>
      </c>
      <c r="N695">
        <v>108</v>
      </c>
      <c r="O695">
        <v>103</v>
      </c>
      <c r="P695">
        <v>110</v>
      </c>
      <c r="Q695">
        <v>99</v>
      </c>
      <c r="R695">
        <v>96</v>
      </c>
    </row>
    <row r="696" spans="1:18">
      <c r="A696" t="s">
        <v>2004</v>
      </c>
      <c r="B696" t="s">
        <v>196</v>
      </c>
      <c r="C696" t="s">
        <v>193</v>
      </c>
      <c r="D696">
        <v>26017</v>
      </c>
      <c r="E696">
        <v>24778</v>
      </c>
      <c r="F696">
        <v>24049</v>
      </c>
      <c r="G696">
        <v>23804</v>
      </c>
      <c r="H696">
        <v>23673</v>
      </c>
      <c r="I696">
        <v>23652</v>
      </c>
      <c r="J696">
        <v>23859</v>
      </c>
      <c r="K696">
        <v>23760</v>
      </c>
      <c r="L696">
        <v>23780</v>
      </c>
      <c r="M696">
        <v>22662</v>
      </c>
      <c r="N696">
        <v>22091</v>
      </c>
      <c r="O696">
        <v>22599</v>
      </c>
      <c r="P696">
        <v>21167</v>
      </c>
      <c r="Q696">
        <v>21308</v>
      </c>
      <c r="R696">
        <v>22401</v>
      </c>
    </row>
    <row r="697" spans="1:18">
      <c r="A697" t="s">
        <v>2005</v>
      </c>
      <c r="B697" t="s">
        <v>196</v>
      </c>
      <c r="C697" s="4" t="s">
        <v>34</v>
      </c>
      <c r="D697">
        <v>12611</v>
      </c>
      <c r="E697">
        <v>10524</v>
      </c>
      <c r="F697">
        <v>8473</v>
      </c>
      <c r="G697">
        <v>7363</v>
      </c>
      <c r="H697">
        <v>8490</v>
      </c>
      <c r="I697">
        <v>9645</v>
      </c>
      <c r="J697">
        <v>10827</v>
      </c>
      <c r="K697">
        <v>11633</v>
      </c>
      <c r="L697">
        <v>11799</v>
      </c>
      <c r="M697">
        <v>10952</v>
      </c>
      <c r="N697">
        <v>10966</v>
      </c>
      <c r="O697">
        <v>11742</v>
      </c>
      <c r="P697">
        <v>11411</v>
      </c>
      <c r="Q697">
        <v>12356</v>
      </c>
      <c r="R697">
        <v>13407</v>
      </c>
    </row>
    <row r="698" spans="1:18">
      <c r="A698" t="s">
        <v>2006</v>
      </c>
      <c r="B698" t="s">
        <v>196</v>
      </c>
      <c r="C698" t="s">
        <v>169</v>
      </c>
      <c r="D698">
        <v>13406</v>
      </c>
      <c r="E698">
        <v>14254</v>
      </c>
      <c r="F698">
        <v>15576</v>
      </c>
      <c r="G698">
        <v>16441</v>
      </c>
      <c r="H698">
        <v>15183</v>
      </c>
      <c r="I698">
        <v>14007</v>
      </c>
      <c r="J698">
        <v>13032</v>
      </c>
      <c r="K698">
        <v>12127</v>
      </c>
      <c r="L698">
        <v>11981</v>
      </c>
      <c r="M698">
        <v>11710</v>
      </c>
      <c r="N698">
        <v>11125</v>
      </c>
      <c r="O698">
        <v>10857</v>
      </c>
      <c r="P698">
        <v>9756</v>
      </c>
      <c r="Q698">
        <v>8952</v>
      </c>
      <c r="R698">
        <v>8994</v>
      </c>
    </row>
    <row r="699" spans="1:18">
      <c r="A699" t="s">
        <v>2007</v>
      </c>
      <c r="B699" t="s">
        <v>196</v>
      </c>
      <c r="C699" t="s">
        <v>170</v>
      </c>
      <c r="D699">
        <v>0</v>
      </c>
      <c r="E699">
        <v>0</v>
      </c>
      <c r="F699">
        <v>0</v>
      </c>
      <c r="G699">
        <v>0</v>
      </c>
      <c r="H699">
        <v>0</v>
      </c>
      <c r="I699">
        <v>0</v>
      </c>
      <c r="J699">
        <v>0</v>
      </c>
      <c r="K699">
        <v>0</v>
      </c>
      <c r="L699">
        <v>0</v>
      </c>
      <c r="M699">
        <v>0</v>
      </c>
      <c r="N699">
        <v>0</v>
      </c>
      <c r="O699">
        <v>0</v>
      </c>
      <c r="P699">
        <v>0</v>
      </c>
      <c r="Q699">
        <v>0</v>
      </c>
      <c r="R699">
        <v>0</v>
      </c>
    </row>
    <row r="700" spans="1:18">
      <c r="A700" t="s">
        <v>2008</v>
      </c>
      <c r="B700" t="s">
        <v>196</v>
      </c>
      <c r="C700" t="s">
        <v>171</v>
      </c>
      <c r="D700">
        <v>0</v>
      </c>
      <c r="E700">
        <v>0</v>
      </c>
      <c r="F700">
        <v>0</v>
      </c>
      <c r="G700">
        <v>0</v>
      </c>
      <c r="H700">
        <v>0</v>
      </c>
      <c r="I700">
        <v>0</v>
      </c>
      <c r="J700">
        <v>0</v>
      </c>
      <c r="K700">
        <v>0</v>
      </c>
      <c r="L700">
        <v>0</v>
      </c>
      <c r="M700">
        <v>0</v>
      </c>
      <c r="N700">
        <v>0</v>
      </c>
      <c r="O700">
        <v>0</v>
      </c>
      <c r="P700">
        <v>0</v>
      </c>
      <c r="Q700">
        <v>0</v>
      </c>
      <c r="R700">
        <v>0</v>
      </c>
    </row>
    <row r="701" spans="1:18">
      <c r="A701" t="s">
        <v>2009</v>
      </c>
      <c r="B701" t="s">
        <v>196</v>
      </c>
      <c r="C701" t="s">
        <v>148</v>
      </c>
      <c r="D701">
        <v>0</v>
      </c>
      <c r="E701">
        <v>0</v>
      </c>
      <c r="F701">
        <v>0</v>
      </c>
      <c r="G701">
        <v>0</v>
      </c>
      <c r="H701">
        <v>0</v>
      </c>
      <c r="I701">
        <v>0</v>
      </c>
      <c r="J701">
        <v>0</v>
      </c>
      <c r="K701">
        <v>0</v>
      </c>
      <c r="L701">
        <v>0</v>
      </c>
      <c r="M701">
        <v>0</v>
      </c>
      <c r="N701">
        <v>0</v>
      </c>
      <c r="O701">
        <v>0</v>
      </c>
      <c r="P701">
        <v>0</v>
      </c>
      <c r="Q701">
        <v>0</v>
      </c>
      <c r="R701">
        <v>0</v>
      </c>
    </row>
    <row r="702" spans="1:18">
      <c r="A702" t="s">
        <v>2010</v>
      </c>
      <c r="B702" t="s">
        <v>196</v>
      </c>
      <c r="C702" t="s">
        <v>184</v>
      </c>
      <c r="D702">
        <v>0</v>
      </c>
      <c r="E702">
        <v>0</v>
      </c>
      <c r="F702">
        <v>0</v>
      </c>
      <c r="G702">
        <v>0</v>
      </c>
      <c r="H702">
        <v>0</v>
      </c>
      <c r="I702">
        <v>0</v>
      </c>
      <c r="J702">
        <v>0</v>
      </c>
      <c r="K702">
        <v>0</v>
      </c>
      <c r="L702">
        <v>0</v>
      </c>
      <c r="M702">
        <v>0</v>
      </c>
      <c r="N702">
        <v>0</v>
      </c>
      <c r="O702">
        <v>0</v>
      </c>
      <c r="P702">
        <v>0</v>
      </c>
      <c r="Q702">
        <v>0</v>
      </c>
      <c r="R702">
        <v>0</v>
      </c>
    </row>
    <row r="703" spans="1:18">
      <c r="A703" t="s">
        <v>2011</v>
      </c>
      <c r="B703" t="s">
        <v>196</v>
      </c>
      <c r="C703" s="4" t="s">
        <v>188</v>
      </c>
      <c r="D703">
        <v>7128</v>
      </c>
      <c r="E703">
        <v>7544</v>
      </c>
      <c r="F703">
        <v>8522</v>
      </c>
      <c r="G703">
        <v>8749</v>
      </c>
      <c r="H703">
        <v>7071</v>
      </c>
      <c r="I703">
        <v>5372</v>
      </c>
      <c r="J703">
        <v>3855</v>
      </c>
      <c r="K703">
        <v>3080</v>
      </c>
      <c r="L703">
        <v>3595</v>
      </c>
      <c r="M703">
        <v>4071</v>
      </c>
      <c r="N703">
        <v>4218</v>
      </c>
      <c r="O703">
        <v>4364</v>
      </c>
      <c r="P703">
        <v>3882</v>
      </c>
      <c r="Q703">
        <v>3276</v>
      </c>
      <c r="R703">
        <v>3138</v>
      </c>
    </row>
    <row r="704" spans="1:18">
      <c r="A704" t="s">
        <v>2012</v>
      </c>
      <c r="B704" t="s">
        <v>196</v>
      </c>
      <c r="C704" s="35" t="s">
        <v>189</v>
      </c>
      <c r="D704">
        <v>6278</v>
      </c>
      <c r="E704">
        <v>6710</v>
      </c>
      <c r="F704">
        <v>7054</v>
      </c>
      <c r="G704">
        <v>7692</v>
      </c>
      <c r="H704">
        <v>8112</v>
      </c>
      <c r="I704">
        <v>8635</v>
      </c>
      <c r="J704">
        <v>9177</v>
      </c>
      <c r="K704">
        <v>9047</v>
      </c>
      <c r="L704">
        <v>8386</v>
      </c>
      <c r="M704">
        <v>7639</v>
      </c>
      <c r="N704">
        <v>6907</v>
      </c>
      <c r="O704">
        <v>6493</v>
      </c>
      <c r="P704">
        <v>5874</v>
      </c>
      <c r="Q704">
        <v>5676</v>
      </c>
      <c r="R704">
        <v>5856</v>
      </c>
    </row>
    <row r="705" spans="1:18">
      <c r="A705" t="s">
        <v>2013</v>
      </c>
      <c r="B705" t="s">
        <v>196</v>
      </c>
      <c r="C705" t="s">
        <v>172</v>
      </c>
      <c r="D705">
        <v>3150</v>
      </c>
      <c r="E705">
        <v>3424</v>
      </c>
      <c r="F705">
        <v>3679</v>
      </c>
      <c r="G705">
        <v>4175</v>
      </c>
      <c r="H705">
        <v>4393</v>
      </c>
      <c r="I705">
        <v>4660</v>
      </c>
      <c r="J705">
        <v>5105</v>
      </c>
      <c r="K705">
        <v>4914</v>
      </c>
      <c r="L705">
        <v>3911</v>
      </c>
      <c r="M705">
        <v>3012</v>
      </c>
      <c r="N705">
        <v>2096</v>
      </c>
      <c r="O705">
        <v>1726</v>
      </c>
      <c r="P705">
        <v>1710</v>
      </c>
      <c r="Q705">
        <v>1802</v>
      </c>
      <c r="R705">
        <v>1861</v>
      </c>
    </row>
    <row r="706" spans="1:18">
      <c r="A706" t="s">
        <v>2014</v>
      </c>
      <c r="B706" t="s">
        <v>196</v>
      </c>
      <c r="C706" t="s">
        <v>30</v>
      </c>
      <c r="D706">
        <v>3128</v>
      </c>
      <c r="E706">
        <v>3286</v>
      </c>
      <c r="F706">
        <v>3375</v>
      </c>
      <c r="G706">
        <v>3517</v>
      </c>
      <c r="H706">
        <v>3719</v>
      </c>
      <c r="I706">
        <v>3975</v>
      </c>
      <c r="J706">
        <v>4072</v>
      </c>
      <c r="K706">
        <v>4133</v>
      </c>
      <c r="L706">
        <v>4475</v>
      </c>
      <c r="M706">
        <v>4627</v>
      </c>
      <c r="N706">
        <v>4811</v>
      </c>
      <c r="O706">
        <v>4767</v>
      </c>
      <c r="P706">
        <v>4164</v>
      </c>
      <c r="Q706">
        <v>3874</v>
      </c>
      <c r="R706">
        <v>3995</v>
      </c>
    </row>
    <row r="707" spans="1:18">
      <c r="A707" t="s">
        <v>2015</v>
      </c>
      <c r="B707" t="s">
        <v>196</v>
      </c>
      <c r="C707" t="s">
        <v>177</v>
      </c>
      <c r="D707">
        <v>0</v>
      </c>
      <c r="E707">
        <v>0</v>
      </c>
      <c r="F707">
        <v>0</v>
      </c>
      <c r="G707">
        <v>0</v>
      </c>
      <c r="H707">
        <v>0</v>
      </c>
      <c r="I707">
        <v>0</v>
      </c>
      <c r="J707">
        <v>0</v>
      </c>
      <c r="K707">
        <v>0</v>
      </c>
      <c r="L707">
        <v>0</v>
      </c>
      <c r="M707">
        <v>0</v>
      </c>
      <c r="N707">
        <v>0</v>
      </c>
      <c r="O707">
        <v>0</v>
      </c>
      <c r="P707">
        <v>0</v>
      </c>
      <c r="Q707">
        <v>0</v>
      </c>
      <c r="R707">
        <v>0</v>
      </c>
    </row>
    <row r="708" spans="1:18">
      <c r="A708" t="s">
        <v>2016</v>
      </c>
      <c r="B708" t="s">
        <v>196</v>
      </c>
      <c r="C708" t="s">
        <v>178</v>
      </c>
      <c r="D708">
        <v>0</v>
      </c>
      <c r="E708">
        <v>0</v>
      </c>
      <c r="F708">
        <v>0</v>
      </c>
      <c r="G708">
        <v>0</v>
      </c>
      <c r="H708">
        <v>0</v>
      </c>
      <c r="I708">
        <v>0</v>
      </c>
      <c r="J708">
        <v>0</v>
      </c>
      <c r="K708">
        <v>0</v>
      </c>
      <c r="L708">
        <v>0</v>
      </c>
      <c r="M708">
        <v>0</v>
      </c>
      <c r="N708">
        <v>0</v>
      </c>
      <c r="O708">
        <v>0</v>
      </c>
      <c r="P708">
        <v>0</v>
      </c>
      <c r="Q708">
        <v>0</v>
      </c>
      <c r="R708">
        <v>0</v>
      </c>
    </row>
    <row r="709" spans="1:18">
      <c r="A709" t="s">
        <v>2017</v>
      </c>
      <c r="B709" t="s">
        <v>197</v>
      </c>
      <c r="C709" t="s">
        <v>193</v>
      </c>
      <c r="D709">
        <v>26017</v>
      </c>
      <c r="E709">
        <v>24778</v>
      </c>
      <c r="F709">
        <v>24049</v>
      </c>
      <c r="G709">
        <v>23804</v>
      </c>
      <c r="H709">
        <v>23673</v>
      </c>
      <c r="I709">
        <v>23652</v>
      </c>
      <c r="J709">
        <v>23859</v>
      </c>
      <c r="K709">
        <v>23760</v>
      </c>
      <c r="L709">
        <v>23780</v>
      </c>
      <c r="M709">
        <v>22662</v>
      </c>
      <c r="N709">
        <v>22091</v>
      </c>
      <c r="O709">
        <v>22599</v>
      </c>
      <c r="P709">
        <v>21167</v>
      </c>
      <c r="Q709">
        <v>21308</v>
      </c>
      <c r="R709">
        <v>22401</v>
      </c>
    </row>
    <row r="710" spans="1:18">
      <c r="A710" t="s">
        <v>2018</v>
      </c>
      <c r="B710" t="s">
        <v>197</v>
      </c>
      <c r="C710" s="4" t="s">
        <v>34</v>
      </c>
      <c r="D710">
        <v>12611</v>
      </c>
      <c r="E710">
        <v>10524</v>
      </c>
      <c r="F710">
        <v>8473</v>
      </c>
      <c r="G710">
        <v>7363</v>
      </c>
      <c r="H710">
        <v>8490</v>
      </c>
      <c r="I710">
        <v>9645</v>
      </c>
      <c r="J710">
        <v>10827</v>
      </c>
      <c r="K710">
        <v>11633</v>
      </c>
      <c r="L710">
        <v>11799</v>
      </c>
      <c r="M710">
        <v>10952</v>
      </c>
      <c r="N710">
        <v>10966</v>
      </c>
      <c r="O710">
        <v>11742</v>
      </c>
      <c r="P710">
        <v>11411</v>
      </c>
      <c r="Q710">
        <v>12356</v>
      </c>
      <c r="R710">
        <v>13407</v>
      </c>
    </row>
    <row r="711" spans="1:18">
      <c r="A711" t="s">
        <v>2019</v>
      </c>
      <c r="B711" t="s">
        <v>197</v>
      </c>
      <c r="C711" t="s">
        <v>169</v>
      </c>
      <c r="D711">
        <v>7128</v>
      </c>
      <c r="E711">
        <v>7544</v>
      </c>
      <c r="F711">
        <v>8522</v>
      </c>
      <c r="G711">
        <v>8749</v>
      </c>
      <c r="H711">
        <v>7071</v>
      </c>
      <c r="I711">
        <v>5372</v>
      </c>
      <c r="J711">
        <v>3855</v>
      </c>
      <c r="K711">
        <v>3080</v>
      </c>
      <c r="L711">
        <v>3595</v>
      </c>
      <c r="M711">
        <v>4071</v>
      </c>
      <c r="N711">
        <v>4218</v>
      </c>
      <c r="O711">
        <v>4364</v>
      </c>
      <c r="P711">
        <v>3882</v>
      </c>
      <c r="Q711">
        <v>3276</v>
      </c>
      <c r="R711">
        <v>3138</v>
      </c>
    </row>
    <row r="712" spans="1:18">
      <c r="A712" t="s">
        <v>2020</v>
      </c>
      <c r="B712" t="s">
        <v>197</v>
      </c>
      <c r="C712" t="s">
        <v>170</v>
      </c>
      <c r="D712">
        <v>3150</v>
      </c>
      <c r="E712">
        <v>3424</v>
      </c>
      <c r="F712">
        <v>3679</v>
      </c>
      <c r="G712">
        <v>4175</v>
      </c>
      <c r="H712">
        <v>4393</v>
      </c>
      <c r="I712">
        <v>4660</v>
      </c>
      <c r="J712">
        <v>5105</v>
      </c>
      <c r="K712">
        <v>4914</v>
      </c>
      <c r="L712">
        <v>3911</v>
      </c>
      <c r="M712">
        <v>3012</v>
      </c>
      <c r="N712">
        <v>2096</v>
      </c>
      <c r="O712">
        <v>1726</v>
      </c>
      <c r="P712">
        <v>1710</v>
      </c>
      <c r="Q712">
        <v>1802</v>
      </c>
      <c r="R712">
        <v>1861</v>
      </c>
    </row>
    <row r="713" spans="1:18">
      <c r="A713" t="s">
        <v>2021</v>
      </c>
      <c r="B713" t="s">
        <v>197</v>
      </c>
      <c r="C713" t="s">
        <v>171</v>
      </c>
      <c r="D713">
        <v>3128</v>
      </c>
      <c r="E713">
        <v>3286</v>
      </c>
      <c r="F713">
        <v>3375</v>
      </c>
      <c r="G713">
        <v>3517</v>
      </c>
      <c r="H713">
        <v>3719</v>
      </c>
      <c r="I713">
        <v>3975</v>
      </c>
      <c r="J713">
        <v>4072</v>
      </c>
      <c r="K713">
        <v>4133</v>
      </c>
      <c r="L713">
        <v>4475</v>
      </c>
      <c r="M713">
        <v>4627</v>
      </c>
      <c r="N713">
        <v>4811</v>
      </c>
      <c r="O713">
        <v>4767</v>
      </c>
      <c r="P713">
        <v>4164</v>
      </c>
      <c r="Q713">
        <v>3874</v>
      </c>
      <c r="R713">
        <v>3995</v>
      </c>
    </row>
    <row r="714" spans="1:18">
      <c r="A714" t="s">
        <v>2022</v>
      </c>
      <c r="B714" t="s">
        <v>197</v>
      </c>
      <c r="C714" t="s">
        <v>148</v>
      </c>
      <c r="D714">
        <v>0</v>
      </c>
      <c r="E714">
        <v>0</v>
      </c>
      <c r="F714">
        <v>0</v>
      </c>
      <c r="G714">
        <v>0</v>
      </c>
      <c r="H714">
        <v>0</v>
      </c>
      <c r="I714">
        <v>0</v>
      </c>
      <c r="J714">
        <v>0</v>
      </c>
      <c r="K714">
        <v>0</v>
      </c>
      <c r="L714">
        <v>0</v>
      </c>
      <c r="M714">
        <v>0</v>
      </c>
      <c r="N714">
        <v>0</v>
      </c>
      <c r="O714">
        <v>0</v>
      </c>
      <c r="P714">
        <v>0</v>
      </c>
      <c r="Q714">
        <v>0</v>
      </c>
      <c r="R714">
        <v>0</v>
      </c>
    </row>
    <row r="715" spans="1:18">
      <c r="A715" t="s">
        <v>2023</v>
      </c>
      <c r="B715" t="s">
        <v>197</v>
      </c>
      <c r="C715" t="s">
        <v>184</v>
      </c>
      <c r="D715">
        <v>0</v>
      </c>
      <c r="E715">
        <v>0</v>
      </c>
      <c r="F715">
        <v>0</v>
      </c>
      <c r="G715">
        <v>0</v>
      </c>
      <c r="H715">
        <v>0</v>
      </c>
      <c r="I715">
        <v>0</v>
      </c>
      <c r="J715">
        <v>0</v>
      </c>
      <c r="K715">
        <v>0</v>
      </c>
      <c r="L715">
        <v>0</v>
      </c>
      <c r="M715">
        <v>0</v>
      </c>
      <c r="N715">
        <v>0</v>
      </c>
      <c r="O715">
        <v>0</v>
      </c>
      <c r="P715">
        <v>0</v>
      </c>
      <c r="Q715">
        <v>0</v>
      </c>
      <c r="R715">
        <v>0</v>
      </c>
    </row>
    <row r="716" spans="1:18">
      <c r="A716" t="s">
        <v>2024</v>
      </c>
      <c r="B716" t="s">
        <v>197</v>
      </c>
      <c r="C716" s="4" t="s">
        <v>188</v>
      </c>
      <c r="D716">
        <v>13406</v>
      </c>
      <c r="E716">
        <v>14254</v>
      </c>
      <c r="F716">
        <v>15576</v>
      </c>
      <c r="G716">
        <v>16441</v>
      </c>
      <c r="H716">
        <v>15183</v>
      </c>
      <c r="I716">
        <v>14007</v>
      </c>
      <c r="J716">
        <v>13032</v>
      </c>
      <c r="K716">
        <v>12127</v>
      </c>
      <c r="L716">
        <v>11981</v>
      </c>
      <c r="M716">
        <v>11710</v>
      </c>
      <c r="N716">
        <v>11125</v>
      </c>
      <c r="O716">
        <v>10857</v>
      </c>
      <c r="P716">
        <v>9756</v>
      </c>
      <c r="Q716">
        <v>8952</v>
      </c>
      <c r="R716">
        <v>8994</v>
      </c>
    </row>
    <row r="717" spans="1:18">
      <c r="A717" t="s">
        <v>2025</v>
      </c>
      <c r="B717" t="s">
        <v>197</v>
      </c>
      <c r="C717" s="35" t="s">
        <v>189</v>
      </c>
      <c r="D717">
        <v>6278</v>
      </c>
      <c r="E717">
        <v>6710</v>
      </c>
      <c r="F717">
        <v>7054</v>
      </c>
      <c r="G717">
        <v>7692</v>
      </c>
      <c r="H717">
        <v>8112</v>
      </c>
      <c r="I717">
        <v>8635</v>
      </c>
      <c r="J717">
        <v>9177</v>
      </c>
      <c r="K717">
        <v>9047</v>
      </c>
      <c r="L717">
        <v>8386</v>
      </c>
      <c r="M717">
        <v>7639</v>
      </c>
      <c r="N717">
        <v>6907</v>
      </c>
      <c r="O717">
        <v>6493</v>
      </c>
      <c r="P717">
        <v>5874</v>
      </c>
      <c r="Q717">
        <v>5676</v>
      </c>
      <c r="R717">
        <v>5856</v>
      </c>
    </row>
    <row r="718" spans="1:18">
      <c r="A718" t="s">
        <v>2026</v>
      </c>
      <c r="B718" t="s">
        <v>197</v>
      </c>
      <c r="C718" t="s">
        <v>172</v>
      </c>
      <c r="D718">
        <v>0</v>
      </c>
      <c r="E718">
        <v>0</v>
      </c>
      <c r="F718">
        <v>0</v>
      </c>
      <c r="G718">
        <v>0</v>
      </c>
      <c r="H718">
        <v>0</v>
      </c>
      <c r="I718">
        <v>0</v>
      </c>
      <c r="J718">
        <v>0</v>
      </c>
      <c r="K718">
        <v>0</v>
      </c>
      <c r="L718">
        <v>0</v>
      </c>
      <c r="M718">
        <v>0</v>
      </c>
      <c r="N718">
        <v>0</v>
      </c>
      <c r="O718">
        <v>0</v>
      </c>
      <c r="P718">
        <v>0</v>
      </c>
      <c r="Q718">
        <v>0</v>
      </c>
      <c r="R718">
        <v>0</v>
      </c>
    </row>
    <row r="719" spans="1:18">
      <c r="A719" t="s">
        <v>2027</v>
      </c>
      <c r="B719" t="s">
        <v>197</v>
      </c>
      <c r="C719" t="s">
        <v>30</v>
      </c>
      <c r="D719">
        <v>0</v>
      </c>
      <c r="E719">
        <v>0</v>
      </c>
      <c r="F719">
        <v>0</v>
      </c>
      <c r="G719">
        <v>0</v>
      </c>
      <c r="H719">
        <v>0</v>
      </c>
      <c r="I719">
        <v>0</v>
      </c>
      <c r="J719">
        <v>0</v>
      </c>
      <c r="K719">
        <v>0</v>
      </c>
      <c r="L719">
        <v>0</v>
      </c>
      <c r="M719">
        <v>0</v>
      </c>
      <c r="N719">
        <v>0</v>
      </c>
      <c r="O719">
        <v>0</v>
      </c>
      <c r="P719">
        <v>0</v>
      </c>
      <c r="Q719">
        <v>0</v>
      </c>
      <c r="R719">
        <v>0</v>
      </c>
    </row>
    <row r="720" spans="1:18">
      <c r="A720" t="s">
        <v>2028</v>
      </c>
      <c r="B720" t="s">
        <v>197</v>
      </c>
      <c r="C720" t="s">
        <v>177</v>
      </c>
      <c r="D720">
        <v>0</v>
      </c>
      <c r="E720">
        <v>0</v>
      </c>
      <c r="F720">
        <v>0</v>
      </c>
      <c r="G720">
        <v>0</v>
      </c>
      <c r="H720">
        <v>0</v>
      </c>
      <c r="I720">
        <v>0</v>
      </c>
      <c r="J720">
        <v>0</v>
      </c>
      <c r="K720">
        <v>0</v>
      </c>
      <c r="L720">
        <v>0</v>
      </c>
      <c r="M720">
        <v>0</v>
      </c>
      <c r="N720">
        <v>0</v>
      </c>
      <c r="O720">
        <v>0</v>
      </c>
      <c r="P720">
        <v>0</v>
      </c>
      <c r="Q720">
        <v>0</v>
      </c>
      <c r="R720">
        <v>0</v>
      </c>
    </row>
    <row r="721" spans="1:18">
      <c r="A721" t="s">
        <v>2029</v>
      </c>
      <c r="B721" t="s">
        <v>197</v>
      </c>
      <c r="C721" t="s">
        <v>178</v>
      </c>
      <c r="D721">
        <v>0</v>
      </c>
      <c r="E721">
        <v>0</v>
      </c>
      <c r="F721">
        <v>0</v>
      </c>
      <c r="G721">
        <v>0</v>
      </c>
      <c r="H721">
        <v>0</v>
      </c>
      <c r="I721">
        <v>0</v>
      </c>
      <c r="J721">
        <v>0</v>
      </c>
      <c r="K721">
        <v>0</v>
      </c>
      <c r="L721">
        <v>0</v>
      </c>
      <c r="M721">
        <v>0</v>
      </c>
      <c r="N721">
        <v>0</v>
      </c>
      <c r="O721">
        <v>0</v>
      </c>
      <c r="P721">
        <v>0</v>
      </c>
      <c r="Q721">
        <v>0</v>
      </c>
      <c r="R721">
        <v>0</v>
      </c>
    </row>
    <row r="722" spans="1:18">
      <c r="A722" t="s">
        <v>2030</v>
      </c>
      <c r="B722" t="s">
        <v>194</v>
      </c>
      <c r="C722" t="s">
        <v>193</v>
      </c>
      <c r="D722">
        <v>16</v>
      </c>
      <c r="E722">
        <v>5</v>
      </c>
      <c r="F722">
        <v>23</v>
      </c>
      <c r="G722">
        <v>14</v>
      </c>
      <c r="H722">
        <v>13</v>
      </c>
      <c r="I722">
        <v>18</v>
      </c>
      <c r="J722" t="s">
        <v>315</v>
      </c>
      <c r="K722">
        <v>12</v>
      </c>
      <c r="L722">
        <v>16</v>
      </c>
      <c r="M722">
        <v>10</v>
      </c>
      <c r="N722" t="s">
        <v>315</v>
      </c>
      <c r="O722">
        <v>62</v>
      </c>
      <c r="P722">
        <v>52</v>
      </c>
      <c r="Q722">
        <v>26</v>
      </c>
      <c r="R722" t="s">
        <v>315</v>
      </c>
    </row>
    <row r="723" spans="1:18">
      <c r="A723" t="s">
        <v>2031</v>
      </c>
      <c r="B723" t="s">
        <v>194</v>
      </c>
      <c r="C723" s="4" t="s">
        <v>34</v>
      </c>
      <c r="D723">
        <v>15</v>
      </c>
      <c r="E723">
        <v>4</v>
      </c>
      <c r="F723">
        <v>22</v>
      </c>
      <c r="G723">
        <v>12</v>
      </c>
      <c r="H723">
        <v>12</v>
      </c>
      <c r="I723">
        <v>18</v>
      </c>
      <c r="J723" t="s">
        <v>315</v>
      </c>
      <c r="K723">
        <v>12</v>
      </c>
      <c r="L723">
        <v>16</v>
      </c>
      <c r="M723">
        <v>10</v>
      </c>
      <c r="N723" t="s">
        <v>315</v>
      </c>
      <c r="O723">
        <v>20</v>
      </c>
      <c r="P723">
        <v>18</v>
      </c>
      <c r="Q723">
        <v>25</v>
      </c>
      <c r="R723" t="s">
        <v>315</v>
      </c>
    </row>
    <row r="724" spans="1:18">
      <c r="A724" t="s">
        <v>2032</v>
      </c>
      <c r="B724" t="s">
        <v>194</v>
      </c>
      <c r="C724" t="s">
        <v>169</v>
      </c>
      <c r="D724">
        <v>1</v>
      </c>
      <c r="E724">
        <v>1</v>
      </c>
      <c r="F724">
        <v>1</v>
      </c>
      <c r="G724">
        <v>2</v>
      </c>
      <c r="H724">
        <v>1</v>
      </c>
      <c r="I724">
        <v>0</v>
      </c>
      <c r="J724" t="s">
        <v>315</v>
      </c>
      <c r="K724">
        <v>0</v>
      </c>
      <c r="L724">
        <v>0</v>
      </c>
      <c r="M724">
        <v>0</v>
      </c>
      <c r="N724" t="s">
        <v>315</v>
      </c>
      <c r="O724">
        <v>42</v>
      </c>
      <c r="P724">
        <v>34</v>
      </c>
      <c r="Q724">
        <v>1</v>
      </c>
      <c r="R724" t="s">
        <v>315</v>
      </c>
    </row>
    <row r="725" spans="1:18">
      <c r="A725" t="s">
        <v>2033</v>
      </c>
      <c r="B725" t="s">
        <v>194</v>
      </c>
      <c r="C725" t="s">
        <v>170</v>
      </c>
      <c r="D725">
        <v>0</v>
      </c>
      <c r="E725">
        <v>0</v>
      </c>
      <c r="F725">
        <v>0</v>
      </c>
      <c r="G725">
        <v>0</v>
      </c>
      <c r="H725">
        <v>0</v>
      </c>
      <c r="I725">
        <v>0</v>
      </c>
      <c r="J725" t="s">
        <v>315</v>
      </c>
      <c r="K725">
        <v>0</v>
      </c>
      <c r="L725">
        <v>0</v>
      </c>
      <c r="M725">
        <v>0</v>
      </c>
      <c r="N725" t="s">
        <v>315</v>
      </c>
      <c r="O725">
        <v>0</v>
      </c>
      <c r="P725">
        <v>0</v>
      </c>
      <c r="Q725">
        <v>0</v>
      </c>
      <c r="R725" t="s">
        <v>315</v>
      </c>
    </row>
    <row r="726" spans="1:18">
      <c r="A726" t="s">
        <v>2034</v>
      </c>
      <c r="B726" t="s">
        <v>194</v>
      </c>
      <c r="C726" t="s">
        <v>171</v>
      </c>
      <c r="D726">
        <v>0</v>
      </c>
      <c r="E726">
        <v>0</v>
      </c>
      <c r="F726">
        <v>0</v>
      </c>
      <c r="G726">
        <v>0</v>
      </c>
      <c r="H726">
        <v>0</v>
      </c>
      <c r="I726">
        <v>0</v>
      </c>
      <c r="J726" t="s">
        <v>315</v>
      </c>
      <c r="K726">
        <v>0</v>
      </c>
      <c r="L726">
        <v>0</v>
      </c>
      <c r="M726">
        <v>0</v>
      </c>
      <c r="N726" t="s">
        <v>315</v>
      </c>
      <c r="O726">
        <v>0</v>
      </c>
      <c r="P726">
        <v>0</v>
      </c>
      <c r="Q726">
        <v>0</v>
      </c>
      <c r="R726" t="s">
        <v>315</v>
      </c>
    </row>
    <row r="727" spans="1:18">
      <c r="A727" t="s">
        <v>2035</v>
      </c>
      <c r="B727" t="s">
        <v>194</v>
      </c>
      <c r="C727" t="s">
        <v>148</v>
      </c>
      <c r="D727">
        <v>0</v>
      </c>
      <c r="E727">
        <v>0</v>
      </c>
      <c r="F727">
        <v>0</v>
      </c>
      <c r="G727">
        <v>0</v>
      </c>
      <c r="H727">
        <v>0</v>
      </c>
      <c r="I727">
        <v>0</v>
      </c>
      <c r="J727" t="s">
        <v>315</v>
      </c>
      <c r="K727">
        <v>0</v>
      </c>
      <c r="L727">
        <v>0</v>
      </c>
      <c r="M727">
        <v>0</v>
      </c>
      <c r="N727" t="s">
        <v>315</v>
      </c>
      <c r="O727">
        <v>0</v>
      </c>
      <c r="P727">
        <v>0</v>
      </c>
      <c r="Q727">
        <v>0</v>
      </c>
      <c r="R727" t="s">
        <v>315</v>
      </c>
    </row>
    <row r="728" spans="1:18">
      <c r="A728" t="s">
        <v>2036</v>
      </c>
      <c r="B728" t="s">
        <v>194</v>
      </c>
      <c r="C728" t="s">
        <v>184</v>
      </c>
      <c r="D728">
        <v>0</v>
      </c>
      <c r="E728">
        <v>0</v>
      </c>
      <c r="F728">
        <v>0</v>
      </c>
      <c r="G728">
        <v>0</v>
      </c>
      <c r="H728">
        <v>0</v>
      </c>
      <c r="I728">
        <v>0</v>
      </c>
      <c r="J728" t="s">
        <v>315</v>
      </c>
      <c r="K728">
        <v>0</v>
      </c>
      <c r="L728">
        <v>0</v>
      </c>
      <c r="M728">
        <v>0</v>
      </c>
      <c r="N728" t="s">
        <v>315</v>
      </c>
      <c r="O728">
        <v>0</v>
      </c>
      <c r="P728">
        <v>0</v>
      </c>
      <c r="Q728">
        <v>0</v>
      </c>
      <c r="R728" t="s">
        <v>315</v>
      </c>
    </row>
    <row r="729" spans="1:18">
      <c r="A729" t="s">
        <v>2037</v>
      </c>
      <c r="B729" t="s">
        <v>194</v>
      </c>
      <c r="C729" s="4" t="s">
        <v>188</v>
      </c>
      <c r="D729">
        <v>1</v>
      </c>
      <c r="E729">
        <v>1</v>
      </c>
      <c r="F729">
        <v>1</v>
      </c>
      <c r="G729">
        <v>1</v>
      </c>
      <c r="H729">
        <v>0</v>
      </c>
      <c r="I729">
        <v>0</v>
      </c>
      <c r="J729" t="s">
        <v>315</v>
      </c>
      <c r="K729">
        <v>0</v>
      </c>
      <c r="L729">
        <v>0</v>
      </c>
      <c r="M729">
        <v>0</v>
      </c>
      <c r="N729" t="s">
        <v>315</v>
      </c>
      <c r="O729">
        <v>42</v>
      </c>
      <c r="P729">
        <v>34</v>
      </c>
      <c r="Q729">
        <v>1</v>
      </c>
      <c r="R729" t="s">
        <v>315</v>
      </c>
    </row>
    <row r="730" spans="1:18">
      <c r="A730" t="s">
        <v>2038</v>
      </c>
      <c r="B730" t="s">
        <v>194</v>
      </c>
      <c r="C730" s="35" t="s">
        <v>189</v>
      </c>
      <c r="D730">
        <v>0</v>
      </c>
      <c r="E730">
        <v>0</v>
      </c>
      <c r="F730">
        <v>0</v>
      </c>
      <c r="G730">
        <v>1</v>
      </c>
      <c r="H730">
        <v>1</v>
      </c>
      <c r="I730">
        <v>0</v>
      </c>
      <c r="J730" t="s">
        <v>315</v>
      </c>
      <c r="K730">
        <v>0</v>
      </c>
      <c r="L730">
        <v>0</v>
      </c>
      <c r="M730">
        <v>0</v>
      </c>
      <c r="N730" t="s">
        <v>315</v>
      </c>
      <c r="O730">
        <v>0</v>
      </c>
      <c r="P730">
        <v>0</v>
      </c>
      <c r="Q730">
        <v>0</v>
      </c>
      <c r="R730" t="s">
        <v>315</v>
      </c>
    </row>
    <row r="731" spans="1:18">
      <c r="A731" t="s">
        <v>2039</v>
      </c>
      <c r="B731" t="s">
        <v>194</v>
      </c>
      <c r="C731" t="s">
        <v>172</v>
      </c>
      <c r="D731">
        <v>0</v>
      </c>
      <c r="E731">
        <v>0</v>
      </c>
      <c r="F731">
        <v>0</v>
      </c>
      <c r="G731">
        <v>1</v>
      </c>
      <c r="H731">
        <v>1</v>
      </c>
      <c r="I731">
        <v>0</v>
      </c>
      <c r="J731" t="s">
        <v>315</v>
      </c>
      <c r="K731">
        <v>0</v>
      </c>
      <c r="L731">
        <v>0</v>
      </c>
      <c r="M731">
        <v>0</v>
      </c>
      <c r="N731" t="s">
        <v>315</v>
      </c>
      <c r="O731">
        <v>0</v>
      </c>
      <c r="P731">
        <v>0</v>
      </c>
      <c r="Q731">
        <v>0</v>
      </c>
      <c r="R731" t="s">
        <v>315</v>
      </c>
    </row>
    <row r="732" spans="1:18">
      <c r="A732" t="s">
        <v>2040</v>
      </c>
      <c r="B732" t="s">
        <v>194</v>
      </c>
      <c r="C732" t="s">
        <v>30</v>
      </c>
      <c r="D732">
        <v>0</v>
      </c>
      <c r="E732">
        <v>0</v>
      </c>
      <c r="F732">
        <v>0</v>
      </c>
      <c r="G732">
        <v>0</v>
      </c>
      <c r="H732">
        <v>0</v>
      </c>
      <c r="I732">
        <v>0</v>
      </c>
      <c r="J732" t="s">
        <v>315</v>
      </c>
      <c r="K732">
        <v>0</v>
      </c>
      <c r="L732">
        <v>0</v>
      </c>
      <c r="M732">
        <v>0</v>
      </c>
      <c r="N732" t="s">
        <v>315</v>
      </c>
      <c r="O732">
        <v>0</v>
      </c>
      <c r="P732">
        <v>0</v>
      </c>
      <c r="Q732">
        <v>0</v>
      </c>
      <c r="R732" t="s">
        <v>315</v>
      </c>
    </row>
    <row r="733" spans="1:18">
      <c r="A733" t="s">
        <v>2041</v>
      </c>
      <c r="B733" t="s">
        <v>195</v>
      </c>
      <c r="C733" t="s">
        <v>193</v>
      </c>
      <c r="D733">
        <v>0</v>
      </c>
      <c r="E733">
        <v>0</v>
      </c>
      <c r="F733">
        <v>0</v>
      </c>
      <c r="G733">
        <v>0</v>
      </c>
      <c r="H733">
        <v>0</v>
      </c>
      <c r="I733">
        <v>1</v>
      </c>
      <c r="J733" t="s">
        <v>315</v>
      </c>
      <c r="K733">
        <v>1</v>
      </c>
      <c r="L733">
        <v>0</v>
      </c>
      <c r="M733">
        <v>0</v>
      </c>
      <c r="N733" t="s">
        <v>315</v>
      </c>
      <c r="O733">
        <v>2</v>
      </c>
      <c r="P733">
        <v>0</v>
      </c>
      <c r="Q733">
        <v>2</v>
      </c>
      <c r="R733" t="s">
        <v>315</v>
      </c>
    </row>
    <row r="734" spans="1:18">
      <c r="A734" t="s">
        <v>2042</v>
      </c>
      <c r="B734" t="s">
        <v>195</v>
      </c>
      <c r="C734" s="4" t="s">
        <v>34</v>
      </c>
      <c r="D734">
        <v>0</v>
      </c>
      <c r="E734">
        <v>0</v>
      </c>
      <c r="F734">
        <v>0</v>
      </c>
      <c r="G734">
        <v>0</v>
      </c>
      <c r="H734">
        <v>0</v>
      </c>
      <c r="I734">
        <v>1</v>
      </c>
      <c r="J734" t="s">
        <v>315</v>
      </c>
      <c r="K734">
        <v>1</v>
      </c>
      <c r="L734">
        <v>0</v>
      </c>
      <c r="M734">
        <v>0</v>
      </c>
      <c r="N734" t="s">
        <v>315</v>
      </c>
      <c r="O734">
        <v>0</v>
      </c>
      <c r="P734">
        <v>0</v>
      </c>
      <c r="Q734">
        <v>2</v>
      </c>
      <c r="R734" t="s">
        <v>315</v>
      </c>
    </row>
    <row r="735" spans="1:18">
      <c r="A735" t="s">
        <v>2043</v>
      </c>
      <c r="B735" t="s">
        <v>195</v>
      </c>
      <c r="C735" t="s">
        <v>169</v>
      </c>
      <c r="D735">
        <v>0</v>
      </c>
      <c r="E735">
        <v>0</v>
      </c>
      <c r="F735">
        <v>0</v>
      </c>
      <c r="G735">
        <v>0</v>
      </c>
      <c r="H735">
        <v>0</v>
      </c>
      <c r="I735">
        <v>0</v>
      </c>
      <c r="J735" t="s">
        <v>315</v>
      </c>
      <c r="K735">
        <v>0</v>
      </c>
      <c r="L735">
        <v>0</v>
      </c>
      <c r="M735">
        <v>0</v>
      </c>
      <c r="N735" t="s">
        <v>315</v>
      </c>
      <c r="O735">
        <v>2</v>
      </c>
      <c r="P735">
        <v>0</v>
      </c>
      <c r="Q735">
        <v>0</v>
      </c>
      <c r="R735" t="s">
        <v>315</v>
      </c>
    </row>
    <row r="736" spans="1:18">
      <c r="A736" t="s">
        <v>2044</v>
      </c>
      <c r="B736" t="s">
        <v>195</v>
      </c>
      <c r="C736" t="s">
        <v>170</v>
      </c>
      <c r="D736">
        <v>0</v>
      </c>
      <c r="E736">
        <v>0</v>
      </c>
      <c r="F736">
        <v>0</v>
      </c>
      <c r="G736">
        <v>0</v>
      </c>
      <c r="H736">
        <v>0</v>
      </c>
      <c r="I736">
        <v>0</v>
      </c>
      <c r="J736" t="s">
        <v>315</v>
      </c>
      <c r="K736">
        <v>0</v>
      </c>
      <c r="L736">
        <v>0</v>
      </c>
      <c r="M736">
        <v>0</v>
      </c>
      <c r="N736" t="s">
        <v>315</v>
      </c>
      <c r="O736">
        <v>0</v>
      </c>
      <c r="P736">
        <v>0</v>
      </c>
      <c r="Q736">
        <v>0</v>
      </c>
      <c r="R736" t="s">
        <v>315</v>
      </c>
    </row>
    <row r="737" spans="1:18">
      <c r="A737" t="s">
        <v>2045</v>
      </c>
      <c r="B737" t="s">
        <v>195</v>
      </c>
      <c r="C737" t="s">
        <v>171</v>
      </c>
      <c r="D737">
        <v>0</v>
      </c>
      <c r="E737">
        <v>0</v>
      </c>
      <c r="F737">
        <v>0</v>
      </c>
      <c r="G737">
        <v>0</v>
      </c>
      <c r="H737">
        <v>0</v>
      </c>
      <c r="I737">
        <v>0</v>
      </c>
      <c r="J737" t="s">
        <v>315</v>
      </c>
      <c r="K737">
        <v>0</v>
      </c>
      <c r="L737">
        <v>0</v>
      </c>
      <c r="M737">
        <v>0</v>
      </c>
      <c r="N737" t="s">
        <v>315</v>
      </c>
      <c r="O737">
        <v>0</v>
      </c>
      <c r="P737">
        <v>0</v>
      </c>
      <c r="Q737">
        <v>0</v>
      </c>
      <c r="R737" t="s">
        <v>315</v>
      </c>
    </row>
    <row r="738" spans="1:18">
      <c r="A738" t="s">
        <v>2046</v>
      </c>
      <c r="B738" t="s">
        <v>195</v>
      </c>
      <c r="C738" t="s">
        <v>148</v>
      </c>
      <c r="D738">
        <v>0</v>
      </c>
      <c r="E738">
        <v>0</v>
      </c>
      <c r="F738">
        <v>0</v>
      </c>
      <c r="G738">
        <v>0</v>
      </c>
      <c r="H738">
        <v>0</v>
      </c>
      <c r="I738">
        <v>0</v>
      </c>
      <c r="J738" t="s">
        <v>315</v>
      </c>
      <c r="K738">
        <v>0</v>
      </c>
      <c r="L738">
        <v>0</v>
      </c>
      <c r="M738">
        <v>0</v>
      </c>
      <c r="N738" t="s">
        <v>315</v>
      </c>
      <c r="O738">
        <v>0</v>
      </c>
      <c r="P738">
        <v>0</v>
      </c>
      <c r="Q738">
        <v>0</v>
      </c>
      <c r="R738" t="s">
        <v>315</v>
      </c>
    </row>
    <row r="739" spans="1:18">
      <c r="A739" t="s">
        <v>2047</v>
      </c>
      <c r="B739" t="s">
        <v>195</v>
      </c>
      <c r="C739" t="s">
        <v>184</v>
      </c>
      <c r="D739">
        <v>0</v>
      </c>
      <c r="E739">
        <v>0</v>
      </c>
      <c r="F739">
        <v>0</v>
      </c>
      <c r="G739">
        <v>0</v>
      </c>
      <c r="H739">
        <v>0</v>
      </c>
      <c r="I739">
        <v>0</v>
      </c>
      <c r="J739" t="s">
        <v>315</v>
      </c>
      <c r="K739">
        <v>0</v>
      </c>
      <c r="L739">
        <v>0</v>
      </c>
      <c r="M739">
        <v>0</v>
      </c>
      <c r="N739" t="s">
        <v>315</v>
      </c>
      <c r="O739">
        <v>0</v>
      </c>
      <c r="P739">
        <v>0</v>
      </c>
      <c r="Q739">
        <v>0</v>
      </c>
      <c r="R739" t="s">
        <v>315</v>
      </c>
    </row>
    <row r="740" spans="1:18">
      <c r="A740" t="s">
        <v>2048</v>
      </c>
      <c r="B740" t="s">
        <v>195</v>
      </c>
      <c r="C740" s="4" t="s">
        <v>188</v>
      </c>
      <c r="D740">
        <v>0</v>
      </c>
      <c r="E740">
        <v>0</v>
      </c>
      <c r="F740">
        <v>0</v>
      </c>
      <c r="G740">
        <v>0</v>
      </c>
      <c r="H740">
        <v>0</v>
      </c>
      <c r="I740">
        <v>0</v>
      </c>
      <c r="J740" t="s">
        <v>315</v>
      </c>
      <c r="K740">
        <v>0</v>
      </c>
      <c r="L740">
        <v>0</v>
      </c>
      <c r="M740">
        <v>0</v>
      </c>
      <c r="N740" t="s">
        <v>315</v>
      </c>
      <c r="O740">
        <v>2</v>
      </c>
      <c r="P740">
        <v>0</v>
      </c>
      <c r="Q740">
        <v>0</v>
      </c>
      <c r="R740" t="s">
        <v>315</v>
      </c>
    </row>
    <row r="741" spans="1:18">
      <c r="A741" t="s">
        <v>2049</v>
      </c>
      <c r="B741" t="s">
        <v>195</v>
      </c>
      <c r="C741" s="35" t="s">
        <v>189</v>
      </c>
      <c r="D741">
        <v>0</v>
      </c>
      <c r="E741">
        <v>0</v>
      </c>
      <c r="F741">
        <v>0</v>
      </c>
      <c r="G741">
        <v>0</v>
      </c>
      <c r="H741">
        <v>0</v>
      </c>
      <c r="I741">
        <v>0</v>
      </c>
      <c r="J741" t="s">
        <v>315</v>
      </c>
      <c r="K741">
        <v>0</v>
      </c>
      <c r="L741">
        <v>0</v>
      </c>
      <c r="M741">
        <v>0</v>
      </c>
      <c r="N741" t="s">
        <v>315</v>
      </c>
      <c r="O741">
        <v>0</v>
      </c>
      <c r="P741">
        <v>0</v>
      </c>
      <c r="Q741">
        <v>0</v>
      </c>
      <c r="R741" t="s">
        <v>315</v>
      </c>
    </row>
    <row r="742" spans="1:18">
      <c r="A742" t="s">
        <v>2050</v>
      </c>
      <c r="B742" t="s">
        <v>195</v>
      </c>
      <c r="C742" t="s">
        <v>172</v>
      </c>
      <c r="D742">
        <v>0</v>
      </c>
      <c r="E742">
        <v>0</v>
      </c>
      <c r="F742">
        <v>0</v>
      </c>
      <c r="G742">
        <v>0</v>
      </c>
      <c r="H742">
        <v>0</v>
      </c>
      <c r="I742">
        <v>0</v>
      </c>
      <c r="J742" t="s">
        <v>315</v>
      </c>
      <c r="K742">
        <v>0</v>
      </c>
      <c r="L742">
        <v>0</v>
      </c>
      <c r="M742">
        <v>0</v>
      </c>
      <c r="N742" t="s">
        <v>315</v>
      </c>
      <c r="O742">
        <v>0</v>
      </c>
      <c r="P742">
        <v>0</v>
      </c>
      <c r="Q742">
        <v>0</v>
      </c>
      <c r="R742" t="s">
        <v>315</v>
      </c>
    </row>
    <row r="743" spans="1:18">
      <c r="A743" t="s">
        <v>2051</v>
      </c>
      <c r="B743" t="s">
        <v>195</v>
      </c>
      <c r="C743" t="s">
        <v>30</v>
      </c>
      <c r="D743">
        <v>0</v>
      </c>
      <c r="E743">
        <v>0</v>
      </c>
      <c r="F743">
        <v>0</v>
      </c>
      <c r="G743">
        <v>0</v>
      </c>
      <c r="H743">
        <v>0</v>
      </c>
      <c r="I743">
        <v>0</v>
      </c>
      <c r="J743" t="s">
        <v>315</v>
      </c>
      <c r="K743">
        <v>0</v>
      </c>
      <c r="L743">
        <v>0</v>
      </c>
      <c r="M743">
        <v>0</v>
      </c>
      <c r="N743" t="s">
        <v>315</v>
      </c>
      <c r="O743">
        <v>0</v>
      </c>
      <c r="P743">
        <v>0</v>
      </c>
      <c r="Q743">
        <v>0</v>
      </c>
      <c r="R743" t="s">
        <v>315</v>
      </c>
    </row>
    <row r="744" spans="1:18">
      <c r="A744" t="s">
        <v>2052</v>
      </c>
      <c r="B744" t="s">
        <v>196</v>
      </c>
      <c r="C744" t="s">
        <v>193</v>
      </c>
      <c r="D744">
        <v>16</v>
      </c>
      <c r="E744">
        <v>5</v>
      </c>
      <c r="F744">
        <v>23</v>
      </c>
      <c r="G744">
        <v>14</v>
      </c>
      <c r="H744">
        <v>13</v>
      </c>
      <c r="I744">
        <v>18</v>
      </c>
      <c r="J744" t="s">
        <v>315</v>
      </c>
      <c r="K744">
        <v>12</v>
      </c>
      <c r="L744">
        <v>16</v>
      </c>
      <c r="M744">
        <v>10</v>
      </c>
      <c r="N744" t="s">
        <v>315</v>
      </c>
      <c r="O744">
        <v>62</v>
      </c>
      <c r="P744">
        <v>52</v>
      </c>
      <c r="Q744">
        <v>26</v>
      </c>
      <c r="R744" t="s">
        <v>315</v>
      </c>
    </row>
    <row r="745" spans="1:18">
      <c r="A745" t="s">
        <v>2053</v>
      </c>
      <c r="B745" t="s">
        <v>196</v>
      </c>
      <c r="C745" s="4" t="s">
        <v>34</v>
      </c>
      <c r="D745">
        <v>15</v>
      </c>
      <c r="E745">
        <v>4</v>
      </c>
      <c r="F745">
        <v>22</v>
      </c>
      <c r="G745">
        <v>12</v>
      </c>
      <c r="H745">
        <v>12</v>
      </c>
      <c r="I745">
        <v>18</v>
      </c>
      <c r="J745" t="s">
        <v>315</v>
      </c>
      <c r="K745">
        <v>12</v>
      </c>
      <c r="L745">
        <v>16</v>
      </c>
      <c r="M745">
        <v>10</v>
      </c>
      <c r="N745" t="s">
        <v>315</v>
      </c>
      <c r="O745">
        <v>20</v>
      </c>
      <c r="P745">
        <v>18</v>
      </c>
      <c r="Q745">
        <v>25</v>
      </c>
      <c r="R745" t="s">
        <v>315</v>
      </c>
    </row>
    <row r="746" spans="1:18">
      <c r="A746" t="s">
        <v>2054</v>
      </c>
      <c r="B746" t="s">
        <v>196</v>
      </c>
      <c r="C746" t="s">
        <v>169</v>
      </c>
      <c r="D746">
        <v>1</v>
      </c>
      <c r="E746">
        <v>1</v>
      </c>
      <c r="F746">
        <v>1</v>
      </c>
      <c r="G746">
        <v>2</v>
      </c>
      <c r="H746">
        <v>1</v>
      </c>
      <c r="I746">
        <v>0</v>
      </c>
      <c r="J746" t="s">
        <v>315</v>
      </c>
      <c r="K746">
        <v>0</v>
      </c>
      <c r="L746">
        <v>0</v>
      </c>
      <c r="M746">
        <v>0</v>
      </c>
      <c r="N746" t="s">
        <v>315</v>
      </c>
      <c r="O746">
        <v>42</v>
      </c>
      <c r="P746">
        <v>34</v>
      </c>
      <c r="Q746">
        <v>1</v>
      </c>
      <c r="R746" t="s">
        <v>315</v>
      </c>
    </row>
    <row r="747" spans="1:18">
      <c r="A747" t="s">
        <v>2055</v>
      </c>
      <c r="B747" t="s">
        <v>196</v>
      </c>
      <c r="C747" t="s">
        <v>170</v>
      </c>
      <c r="D747">
        <v>0</v>
      </c>
      <c r="E747">
        <v>0</v>
      </c>
      <c r="F747">
        <v>0</v>
      </c>
      <c r="G747">
        <v>0</v>
      </c>
      <c r="H747">
        <v>0</v>
      </c>
      <c r="I747">
        <v>0</v>
      </c>
      <c r="J747" t="s">
        <v>315</v>
      </c>
      <c r="K747">
        <v>0</v>
      </c>
      <c r="L747">
        <v>0</v>
      </c>
      <c r="M747">
        <v>0</v>
      </c>
      <c r="N747" t="s">
        <v>315</v>
      </c>
      <c r="O747">
        <v>0</v>
      </c>
      <c r="P747">
        <v>0</v>
      </c>
      <c r="Q747">
        <v>0</v>
      </c>
      <c r="R747" t="s">
        <v>315</v>
      </c>
    </row>
    <row r="748" spans="1:18">
      <c r="A748" t="s">
        <v>2056</v>
      </c>
      <c r="B748" t="s">
        <v>196</v>
      </c>
      <c r="C748" t="s">
        <v>171</v>
      </c>
      <c r="D748">
        <v>0</v>
      </c>
      <c r="E748">
        <v>0</v>
      </c>
      <c r="F748">
        <v>0</v>
      </c>
      <c r="G748">
        <v>0</v>
      </c>
      <c r="H748">
        <v>0</v>
      </c>
      <c r="I748">
        <v>0</v>
      </c>
      <c r="J748" t="s">
        <v>315</v>
      </c>
      <c r="K748">
        <v>0</v>
      </c>
      <c r="L748">
        <v>0</v>
      </c>
      <c r="M748">
        <v>0</v>
      </c>
      <c r="N748" t="s">
        <v>315</v>
      </c>
      <c r="O748">
        <v>0</v>
      </c>
      <c r="P748">
        <v>0</v>
      </c>
      <c r="Q748">
        <v>0</v>
      </c>
      <c r="R748" t="s">
        <v>315</v>
      </c>
    </row>
    <row r="749" spans="1:18">
      <c r="A749" t="s">
        <v>2057</v>
      </c>
      <c r="B749" t="s">
        <v>196</v>
      </c>
      <c r="C749" t="s">
        <v>148</v>
      </c>
      <c r="D749">
        <v>0</v>
      </c>
      <c r="E749">
        <v>0</v>
      </c>
      <c r="F749">
        <v>0</v>
      </c>
      <c r="G749">
        <v>0</v>
      </c>
      <c r="H749">
        <v>0</v>
      </c>
      <c r="I749">
        <v>0</v>
      </c>
      <c r="J749" t="s">
        <v>315</v>
      </c>
      <c r="K749">
        <v>0</v>
      </c>
      <c r="L749">
        <v>0</v>
      </c>
      <c r="M749">
        <v>0</v>
      </c>
      <c r="N749" t="s">
        <v>315</v>
      </c>
      <c r="O749">
        <v>0</v>
      </c>
      <c r="P749">
        <v>0</v>
      </c>
      <c r="Q749">
        <v>0</v>
      </c>
      <c r="R749" t="s">
        <v>315</v>
      </c>
    </row>
    <row r="750" spans="1:18">
      <c r="A750" t="s">
        <v>2058</v>
      </c>
      <c r="B750" t="s">
        <v>196</v>
      </c>
      <c r="C750" t="s">
        <v>184</v>
      </c>
      <c r="D750">
        <v>0</v>
      </c>
      <c r="E750">
        <v>0</v>
      </c>
      <c r="F750">
        <v>0</v>
      </c>
      <c r="G750">
        <v>0</v>
      </c>
      <c r="H750">
        <v>0</v>
      </c>
      <c r="I750">
        <v>0</v>
      </c>
      <c r="J750" t="s">
        <v>315</v>
      </c>
      <c r="K750">
        <v>0</v>
      </c>
      <c r="L750">
        <v>0</v>
      </c>
      <c r="M750">
        <v>0</v>
      </c>
      <c r="N750" t="s">
        <v>315</v>
      </c>
      <c r="O750">
        <v>0</v>
      </c>
      <c r="P750">
        <v>0</v>
      </c>
      <c r="Q750">
        <v>0</v>
      </c>
      <c r="R750" t="s">
        <v>315</v>
      </c>
    </row>
    <row r="751" spans="1:18">
      <c r="A751" t="s">
        <v>2059</v>
      </c>
      <c r="B751" t="s">
        <v>196</v>
      </c>
      <c r="C751" s="4" t="s">
        <v>188</v>
      </c>
      <c r="D751">
        <v>1</v>
      </c>
      <c r="E751">
        <v>1</v>
      </c>
      <c r="F751">
        <v>1</v>
      </c>
      <c r="G751">
        <v>1</v>
      </c>
      <c r="H751">
        <v>0</v>
      </c>
      <c r="I751">
        <v>0</v>
      </c>
      <c r="J751" t="s">
        <v>315</v>
      </c>
      <c r="K751">
        <v>0</v>
      </c>
      <c r="L751">
        <v>0</v>
      </c>
      <c r="M751">
        <v>0</v>
      </c>
      <c r="N751" t="s">
        <v>315</v>
      </c>
      <c r="O751">
        <v>42</v>
      </c>
      <c r="P751">
        <v>34</v>
      </c>
      <c r="Q751">
        <v>1</v>
      </c>
      <c r="R751" t="s">
        <v>315</v>
      </c>
    </row>
    <row r="752" spans="1:18">
      <c r="A752" t="s">
        <v>2060</v>
      </c>
      <c r="B752" t="s">
        <v>196</v>
      </c>
      <c r="C752" s="35" t="s">
        <v>189</v>
      </c>
      <c r="D752">
        <v>0</v>
      </c>
      <c r="E752">
        <v>0</v>
      </c>
      <c r="F752">
        <v>0</v>
      </c>
      <c r="G752">
        <v>1</v>
      </c>
      <c r="H752">
        <v>1</v>
      </c>
      <c r="I752">
        <v>0</v>
      </c>
      <c r="J752" t="s">
        <v>315</v>
      </c>
      <c r="K752">
        <v>0</v>
      </c>
      <c r="L752">
        <v>0</v>
      </c>
      <c r="M752">
        <v>0</v>
      </c>
      <c r="N752" t="s">
        <v>315</v>
      </c>
      <c r="O752">
        <v>0</v>
      </c>
      <c r="P752">
        <v>0</v>
      </c>
      <c r="Q752">
        <v>0</v>
      </c>
      <c r="R752" t="s">
        <v>315</v>
      </c>
    </row>
    <row r="753" spans="1:18">
      <c r="A753" t="s">
        <v>2061</v>
      </c>
      <c r="B753" t="s">
        <v>196</v>
      </c>
      <c r="C753" t="s">
        <v>172</v>
      </c>
      <c r="D753">
        <v>0</v>
      </c>
      <c r="E753">
        <v>0</v>
      </c>
      <c r="F753">
        <v>0</v>
      </c>
      <c r="G753">
        <v>1</v>
      </c>
      <c r="H753">
        <v>1</v>
      </c>
      <c r="I753">
        <v>0</v>
      </c>
      <c r="J753" t="s">
        <v>315</v>
      </c>
      <c r="K753">
        <v>0</v>
      </c>
      <c r="L753">
        <v>0</v>
      </c>
      <c r="M753">
        <v>0</v>
      </c>
      <c r="N753" t="s">
        <v>315</v>
      </c>
      <c r="O753">
        <v>0</v>
      </c>
      <c r="P753">
        <v>0</v>
      </c>
      <c r="Q753">
        <v>0</v>
      </c>
      <c r="R753" t="s">
        <v>315</v>
      </c>
    </row>
    <row r="754" spans="1:18">
      <c r="A754" t="s">
        <v>2062</v>
      </c>
      <c r="B754" t="s">
        <v>196</v>
      </c>
      <c r="C754" t="s">
        <v>30</v>
      </c>
      <c r="D754">
        <v>0</v>
      </c>
      <c r="E754">
        <v>0</v>
      </c>
      <c r="F754">
        <v>0</v>
      </c>
      <c r="G754">
        <v>0</v>
      </c>
      <c r="H754">
        <v>0</v>
      </c>
      <c r="I754">
        <v>0</v>
      </c>
      <c r="J754" t="s">
        <v>315</v>
      </c>
      <c r="K754">
        <v>0</v>
      </c>
      <c r="L754">
        <v>0</v>
      </c>
      <c r="M754">
        <v>0</v>
      </c>
      <c r="N754" t="s">
        <v>315</v>
      </c>
      <c r="O754">
        <v>0</v>
      </c>
      <c r="P754">
        <v>0</v>
      </c>
      <c r="Q754">
        <v>0</v>
      </c>
      <c r="R754" t="s">
        <v>315</v>
      </c>
    </row>
    <row r="755" spans="1:18">
      <c r="A755" t="s">
        <v>2063</v>
      </c>
      <c r="B755" t="s">
        <v>196</v>
      </c>
      <c r="C755" t="s">
        <v>177</v>
      </c>
      <c r="D755">
        <v>0</v>
      </c>
      <c r="E755">
        <v>0</v>
      </c>
      <c r="F755">
        <v>0</v>
      </c>
      <c r="G755">
        <v>0</v>
      </c>
      <c r="H755">
        <v>0</v>
      </c>
      <c r="I755">
        <v>0</v>
      </c>
      <c r="J755" t="s">
        <v>315</v>
      </c>
      <c r="K755">
        <v>0</v>
      </c>
      <c r="L755">
        <v>0</v>
      </c>
      <c r="M755">
        <v>0</v>
      </c>
      <c r="N755" t="s">
        <v>315</v>
      </c>
      <c r="O755">
        <v>0</v>
      </c>
      <c r="P755">
        <v>0</v>
      </c>
      <c r="Q755">
        <v>0</v>
      </c>
      <c r="R755" t="s">
        <v>315</v>
      </c>
    </row>
    <row r="756" spans="1:18">
      <c r="A756" t="s">
        <v>2064</v>
      </c>
      <c r="B756" t="s">
        <v>196</v>
      </c>
      <c r="C756" t="s">
        <v>178</v>
      </c>
      <c r="D756">
        <v>0</v>
      </c>
      <c r="E756">
        <v>0</v>
      </c>
      <c r="F756">
        <v>0</v>
      </c>
      <c r="G756">
        <v>0</v>
      </c>
      <c r="H756">
        <v>0</v>
      </c>
      <c r="I756">
        <v>0</v>
      </c>
      <c r="J756" t="s">
        <v>315</v>
      </c>
      <c r="K756">
        <v>0</v>
      </c>
      <c r="L756">
        <v>0</v>
      </c>
      <c r="M756">
        <v>0</v>
      </c>
      <c r="N756" t="s">
        <v>315</v>
      </c>
      <c r="O756">
        <v>0</v>
      </c>
      <c r="P756">
        <v>0</v>
      </c>
      <c r="Q756">
        <v>0</v>
      </c>
      <c r="R756" t="s">
        <v>315</v>
      </c>
    </row>
    <row r="757" spans="1:18">
      <c r="A757" t="s">
        <v>2065</v>
      </c>
      <c r="B757" t="s">
        <v>197</v>
      </c>
      <c r="C757" t="s">
        <v>193</v>
      </c>
      <c r="D757">
        <v>16</v>
      </c>
      <c r="E757">
        <v>5</v>
      </c>
      <c r="F757">
        <v>23</v>
      </c>
      <c r="G757">
        <v>14</v>
      </c>
      <c r="H757">
        <v>13</v>
      </c>
      <c r="I757">
        <v>18</v>
      </c>
      <c r="J757" t="s">
        <v>315</v>
      </c>
      <c r="K757">
        <v>12</v>
      </c>
      <c r="L757">
        <v>16</v>
      </c>
      <c r="M757">
        <v>10</v>
      </c>
      <c r="N757" t="s">
        <v>315</v>
      </c>
      <c r="O757">
        <v>62</v>
      </c>
      <c r="P757">
        <v>52</v>
      </c>
      <c r="Q757">
        <v>26</v>
      </c>
      <c r="R757" t="s">
        <v>315</v>
      </c>
    </row>
    <row r="758" spans="1:18">
      <c r="A758" t="s">
        <v>2066</v>
      </c>
      <c r="B758" t="s">
        <v>197</v>
      </c>
      <c r="C758" s="4" t="s">
        <v>34</v>
      </c>
      <c r="D758">
        <v>15</v>
      </c>
      <c r="E758">
        <v>4</v>
      </c>
      <c r="F758">
        <v>22</v>
      </c>
      <c r="G758">
        <v>12</v>
      </c>
      <c r="H758">
        <v>12</v>
      </c>
      <c r="I758">
        <v>18</v>
      </c>
      <c r="J758" t="s">
        <v>315</v>
      </c>
      <c r="K758">
        <v>12</v>
      </c>
      <c r="L758">
        <v>16</v>
      </c>
      <c r="M758">
        <v>10</v>
      </c>
      <c r="N758" t="s">
        <v>315</v>
      </c>
      <c r="O758">
        <v>20</v>
      </c>
      <c r="P758">
        <v>18</v>
      </c>
      <c r="Q758">
        <v>25</v>
      </c>
      <c r="R758" t="s">
        <v>315</v>
      </c>
    </row>
    <row r="759" spans="1:18">
      <c r="A759" t="s">
        <v>2067</v>
      </c>
      <c r="B759" t="s">
        <v>197</v>
      </c>
      <c r="C759" t="s">
        <v>169</v>
      </c>
      <c r="D759">
        <v>1</v>
      </c>
      <c r="E759">
        <v>1</v>
      </c>
      <c r="F759">
        <v>1</v>
      </c>
      <c r="G759">
        <v>1</v>
      </c>
      <c r="H759">
        <v>0</v>
      </c>
      <c r="I759">
        <v>0</v>
      </c>
      <c r="J759" t="s">
        <v>315</v>
      </c>
      <c r="K759">
        <v>0</v>
      </c>
      <c r="L759">
        <v>0</v>
      </c>
      <c r="M759">
        <v>0</v>
      </c>
      <c r="N759" t="s">
        <v>315</v>
      </c>
      <c r="O759">
        <v>42</v>
      </c>
      <c r="P759">
        <v>34</v>
      </c>
      <c r="Q759">
        <v>1</v>
      </c>
      <c r="R759" t="s">
        <v>315</v>
      </c>
    </row>
    <row r="760" spans="1:18">
      <c r="A760" t="s">
        <v>2068</v>
      </c>
      <c r="B760" t="s">
        <v>197</v>
      </c>
      <c r="C760" t="s">
        <v>170</v>
      </c>
      <c r="D760">
        <v>0</v>
      </c>
      <c r="E760">
        <v>0</v>
      </c>
      <c r="F760">
        <v>0</v>
      </c>
      <c r="G760">
        <v>1</v>
      </c>
      <c r="H760">
        <v>1</v>
      </c>
      <c r="I760">
        <v>0</v>
      </c>
      <c r="J760" t="s">
        <v>315</v>
      </c>
      <c r="K760">
        <v>0</v>
      </c>
      <c r="L760">
        <v>0</v>
      </c>
      <c r="M760">
        <v>0</v>
      </c>
      <c r="N760" t="s">
        <v>315</v>
      </c>
      <c r="O760">
        <v>0</v>
      </c>
      <c r="P760">
        <v>0</v>
      </c>
      <c r="Q760">
        <v>0</v>
      </c>
      <c r="R760" t="s">
        <v>315</v>
      </c>
    </row>
    <row r="761" spans="1:18">
      <c r="A761" t="s">
        <v>2069</v>
      </c>
      <c r="B761" t="s">
        <v>197</v>
      </c>
      <c r="C761" t="s">
        <v>171</v>
      </c>
      <c r="D761">
        <v>0</v>
      </c>
      <c r="E761">
        <v>0</v>
      </c>
      <c r="F761">
        <v>0</v>
      </c>
      <c r="G761">
        <v>0</v>
      </c>
      <c r="H761">
        <v>0</v>
      </c>
      <c r="I761">
        <v>0</v>
      </c>
      <c r="J761" t="s">
        <v>315</v>
      </c>
      <c r="K761">
        <v>0</v>
      </c>
      <c r="L761">
        <v>0</v>
      </c>
      <c r="M761">
        <v>0</v>
      </c>
      <c r="N761" t="s">
        <v>315</v>
      </c>
      <c r="O761">
        <v>0</v>
      </c>
      <c r="P761">
        <v>0</v>
      </c>
      <c r="Q761">
        <v>0</v>
      </c>
      <c r="R761" t="s">
        <v>315</v>
      </c>
    </row>
    <row r="762" spans="1:18">
      <c r="A762" t="s">
        <v>2070</v>
      </c>
      <c r="B762" t="s">
        <v>197</v>
      </c>
      <c r="C762" t="s">
        <v>148</v>
      </c>
      <c r="D762">
        <v>0</v>
      </c>
      <c r="E762">
        <v>0</v>
      </c>
      <c r="F762">
        <v>0</v>
      </c>
      <c r="G762">
        <v>0</v>
      </c>
      <c r="H762">
        <v>0</v>
      </c>
      <c r="I762">
        <v>0</v>
      </c>
      <c r="J762" t="s">
        <v>315</v>
      </c>
      <c r="K762">
        <v>0</v>
      </c>
      <c r="L762">
        <v>0</v>
      </c>
      <c r="M762">
        <v>0</v>
      </c>
      <c r="N762" t="s">
        <v>315</v>
      </c>
      <c r="O762">
        <v>0</v>
      </c>
      <c r="P762">
        <v>0</v>
      </c>
      <c r="Q762">
        <v>0</v>
      </c>
      <c r="R762" t="s">
        <v>315</v>
      </c>
    </row>
    <row r="763" spans="1:18">
      <c r="A763" t="s">
        <v>2071</v>
      </c>
      <c r="B763" t="s">
        <v>197</v>
      </c>
      <c r="C763" t="s">
        <v>184</v>
      </c>
      <c r="D763">
        <v>0</v>
      </c>
      <c r="E763">
        <v>0</v>
      </c>
      <c r="F763">
        <v>0</v>
      </c>
      <c r="G763">
        <v>0</v>
      </c>
      <c r="H763">
        <v>0</v>
      </c>
      <c r="I763">
        <v>0</v>
      </c>
      <c r="J763" t="s">
        <v>315</v>
      </c>
      <c r="K763">
        <v>0</v>
      </c>
      <c r="L763">
        <v>0</v>
      </c>
      <c r="M763">
        <v>0</v>
      </c>
      <c r="N763" t="s">
        <v>315</v>
      </c>
      <c r="O763">
        <v>0</v>
      </c>
      <c r="P763">
        <v>0</v>
      </c>
      <c r="Q763">
        <v>0</v>
      </c>
      <c r="R763" t="s">
        <v>315</v>
      </c>
    </row>
    <row r="764" spans="1:18">
      <c r="A764" t="s">
        <v>2072</v>
      </c>
      <c r="B764" t="s">
        <v>197</v>
      </c>
      <c r="C764" s="4" t="s">
        <v>188</v>
      </c>
      <c r="D764">
        <v>1</v>
      </c>
      <c r="E764">
        <v>1</v>
      </c>
      <c r="F764">
        <v>1</v>
      </c>
      <c r="G764">
        <v>2</v>
      </c>
      <c r="H764">
        <v>1</v>
      </c>
      <c r="I764">
        <v>0</v>
      </c>
      <c r="J764" t="s">
        <v>315</v>
      </c>
      <c r="K764">
        <v>0</v>
      </c>
      <c r="L764">
        <v>0</v>
      </c>
      <c r="M764">
        <v>0</v>
      </c>
      <c r="N764" t="s">
        <v>315</v>
      </c>
      <c r="O764">
        <v>42</v>
      </c>
      <c r="P764">
        <v>34</v>
      </c>
      <c r="Q764">
        <v>1</v>
      </c>
      <c r="R764" t="s">
        <v>315</v>
      </c>
    </row>
    <row r="765" spans="1:18">
      <c r="A765" t="s">
        <v>2073</v>
      </c>
      <c r="B765" t="s">
        <v>197</v>
      </c>
      <c r="C765" s="35" t="s">
        <v>189</v>
      </c>
      <c r="D765">
        <v>0</v>
      </c>
      <c r="E765">
        <v>0</v>
      </c>
      <c r="F765">
        <v>0</v>
      </c>
      <c r="G765">
        <v>1</v>
      </c>
      <c r="H765">
        <v>1</v>
      </c>
      <c r="I765">
        <v>0</v>
      </c>
      <c r="J765" t="s">
        <v>315</v>
      </c>
      <c r="K765">
        <v>0</v>
      </c>
      <c r="L765">
        <v>0</v>
      </c>
      <c r="M765">
        <v>0</v>
      </c>
      <c r="N765" t="s">
        <v>315</v>
      </c>
      <c r="O765">
        <v>0</v>
      </c>
      <c r="P765">
        <v>0</v>
      </c>
      <c r="Q765">
        <v>0</v>
      </c>
      <c r="R765" t="s">
        <v>315</v>
      </c>
    </row>
    <row r="766" spans="1:18">
      <c r="A766" t="s">
        <v>2074</v>
      </c>
      <c r="B766" t="s">
        <v>197</v>
      </c>
      <c r="C766" t="s">
        <v>172</v>
      </c>
      <c r="D766">
        <v>0</v>
      </c>
      <c r="E766">
        <v>0</v>
      </c>
      <c r="F766">
        <v>0</v>
      </c>
      <c r="G766">
        <v>0</v>
      </c>
      <c r="H766">
        <v>0</v>
      </c>
      <c r="I766">
        <v>0</v>
      </c>
      <c r="J766" t="s">
        <v>315</v>
      </c>
      <c r="K766">
        <v>0</v>
      </c>
      <c r="L766">
        <v>0</v>
      </c>
      <c r="M766">
        <v>0</v>
      </c>
      <c r="N766" t="s">
        <v>315</v>
      </c>
      <c r="O766">
        <v>0</v>
      </c>
      <c r="P766">
        <v>0</v>
      </c>
      <c r="Q766">
        <v>0</v>
      </c>
      <c r="R766" t="s">
        <v>315</v>
      </c>
    </row>
    <row r="767" spans="1:18">
      <c r="A767" t="s">
        <v>2075</v>
      </c>
      <c r="B767" t="s">
        <v>197</v>
      </c>
      <c r="C767" t="s">
        <v>30</v>
      </c>
      <c r="D767">
        <v>0</v>
      </c>
      <c r="E767">
        <v>0</v>
      </c>
      <c r="F767">
        <v>0</v>
      </c>
      <c r="G767">
        <v>0</v>
      </c>
      <c r="H767">
        <v>0</v>
      </c>
      <c r="I767">
        <v>0</v>
      </c>
      <c r="J767" t="s">
        <v>315</v>
      </c>
      <c r="K767">
        <v>0</v>
      </c>
      <c r="L767">
        <v>0</v>
      </c>
      <c r="M767">
        <v>0</v>
      </c>
      <c r="N767" t="s">
        <v>315</v>
      </c>
      <c r="O767">
        <v>0</v>
      </c>
      <c r="P767">
        <v>0</v>
      </c>
      <c r="Q767">
        <v>0</v>
      </c>
      <c r="R767" t="s">
        <v>315</v>
      </c>
    </row>
    <row r="768" spans="1:18">
      <c r="A768" t="s">
        <v>2076</v>
      </c>
      <c r="B768" t="s">
        <v>197</v>
      </c>
      <c r="C768" t="s">
        <v>177</v>
      </c>
      <c r="D768">
        <v>0</v>
      </c>
      <c r="E768">
        <v>0</v>
      </c>
      <c r="F768">
        <v>0</v>
      </c>
      <c r="G768">
        <v>0</v>
      </c>
      <c r="H768">
        <v>0</v>
      </c>
      <c r="I768">
        <v>0</v>
      </c>
      <c r="J768" t="s">
        <v>315</v>
      </c>
      <c r="K768">
        <v>0</v>
      </c>
      <c r="L768">
        <v>0</v>
      </c>
      <c r="M768">
        <v>0</v>
      </c>
      <c r="N768" t="s">
        <v>315</v>
      </c>
      <c r="O768">
        <v>0</v>
      </c>
      <c r="P768">
        <v>0</v>
      </c>
      <c r="Q768">
        <v>0</v>
      </c>
      <c r="R768" t="s">
        <v>315</v>
      </c>
    </row>
    <row r="769" spans="1:18">
      <c r="A769" t="s">
        <v>2077</v>
      </c>
      <c r="B769" t="s">
        <v>197</v>
      </c>
      <c r="C769" t="s">
        <v>178</v>
      </c>
      <c r="D769">
        <v>0</v>
      </c>
      <c r="E769">
        <v>0</v>
      </c>
      <c r="F769">
        <v>0</v>
      </c>
      <c r="G769">
        <v>0</v>
      </c>
      <c r="H769">
        <v>0</v>
      </c>
      <c r="I769">
        <v>0</v>
      </c>
      <c r="J769" t="s">
        <v>315</v>
      </c>
      <c r="K769">
        <v>0</v>
      </c>
      <c r="L769">
        <v>0</v>
      </c>
      <c r="M769">
        <v>0</v>
      </c>
      <c r="N769" t="s">
        <v>315</v>
      </c>
      <c r="O769">
        <v>0</v>
      </c>
      <c r="P769">
        <v>0</v>
      </c>
      <c r="Q769">
        <v>0</v>
      </c>
      <c r="R769" t="s">
        <v>315</v>
      </c>
    </row>
    <row r="770" spans="1:18">
      <c r="A770" t="s">
        <v>2078</v>
      </c>
      <c r="B770" t="s">
        <v>194</v>
      </c>
      <c r="C770" t="s">
        <v>193</v>
      </c>
      <c r="D770">
        <v>175</v>
      </c>
      <c r="E770">
        <v>171</v>
      </c>
      <c r="F770">
        <v>183</v>
      </c>
      <c r="G770">
        <v>185</v>
      </c>
      <c r="H770">
        <v>204</v>
      </c>
      <c r="I770">
        <v>216</v>
      </c>
      <c r="J770">
        <v>218</v>
      </c>
      <c r="K770">
        <v>199</v>
      </c>
      <c r="L770">
        <v>198</v>
      </c>
      <c r="M770">
        <v>188</v>
      </c>
      <c r="N770">
        <v>183</v>
      </c>
      <c r="O770">
        <v>174</v>
      </c>
      <c r="P770">
        <v>179</v>
      </c>
      <c r="Q770">
        <v>198</v>
      </c>
      <c r="R770">
        <v>199</v>
      </c>
    </row>
    <row r="771" spans="1:18">
      <c r="A771" t="s">
        <v>2079</v>
      </c>
      <c r="B771" t="s">
        <v>194</v>
      </c>
      <c r="C771" s="4" t="s">
        <v>34</v>
      </c>
      <c r="D771">
        <v>64</v>
      </c>
      <c r="E771">
        <v>69</v>
      </c>
      <c r="F771">
        <v>62</v>
      </c>
      <c r="G771">
        <v>53</v>
      </c>
      <c r="H771">
        <v>76</v>
      </c>
      <c r="I771">
        <v>83</v>
      </c>
      <c r="J771">
        <v>83</v>
      </c>
      <c r="K771">
        <v>68</v>
      </c>
      <c r="L771">
        <v>70</v>
      </c>
      <c r="M771">
        <v>58</v>
      </c>
      <c r="N771">
        <v>54</v>
      </c>
      <c r="O771">
        <v>57</v>
      </c>
      <c r="P771">
        <v>58</v>
      </c>
      <c r="Q771">
        <v>65</v>
      </c>
      <c r="R771">
        <v>91</v>
      </c>
    </row>
    <row r="772" spans="1:18">
      <c r="A772" t="s">
        <v>2080</v>
      </c>
      <c r="B772" t="s">
        <v>194</v>
      </c>
      <c r="C772" t="s">
        <v>169</v>
      </c>
      <c r="D772">
        <v>111</v>
      </c>
      <c r="E772">
        <v>102</v>
      </c>
      <c r="F772">
        <v>121</v>
      </c>
      <c r="G772">
        <v>132</v>
      </c>
      <c r="H772">
        <v>128</v>
      </c>
      <c r="I772">
        <v>133</v>
      </c>
      <c r="J772">
        <v>135</v>
      </c>
      <c r="K772">
        <v>131</v>
      </c>
      <c r="L772">
        <v>128</v>
      </c>
      <c r="M772">
        <v>130</v>
      </c>
      <c r="N772">
        <v>129</v>
      </c>
      <c r="O772">
        <v>117</v>
      </c>
      <c r="P772">
        <v>121</v>
      </c>
      <c r="Q772">
        <v>133</v>
      </c>
      <c r="R772">
        <v>108</v>
      </c>
    </row>
    <row r="773" spans="1:18">
      <c r="A773" t="s">
        <v>2081</v>
      </c>
      <c r="B773" t="s">
        <v>194</v>
      </c>
      <c r="C773" t="s">
        <v>170</v>
      </c>
      <c r="D773">
        <v>0</v>
      </c>
      <c r="E773">
        <v>0</v>
      </c>
      <c r="F773">
        <v>0</v>
      </c>
      <c r="G773">
        <v>0</v>
      </c>
      <c r="H773">
        <v>0</v>
      </c>
      <c r="I773">
        <v>0</v>
      </c>
      <c r="J773">
        <v>0</v>
      </c>
      <c r="K773">
        <v>0</v>
      </c>
      <c r="L773">
        <v>0</v>
      </c>
      <c r="M773">
        <v>0</v>
      </c>
      <c r="N773">
        <v>0</v>
      </c>
      <c r="O773">
        <v>0</v>
      </c>
      <c r="P773">
        <v>0</v>
      </c>
      <c r="Q773">
        <v>0</v>
      </c>
      <c r="R773">
        <v>0</v>
      </c>
    </row>
    <row r="774" spans="1:18">
      <c r="A774" t="s">
        <v>2082</v>
      </c>
      <c r="B774" t="s">
        <v>194</v>
      </c>
      <c r="C774" t="s">
        <v>171</v>
      </c>
      <c r="D774">
        <v>0</v>
      </c>
      <c r="E774">
        <v>0</v>
      </c>
      <c r="F774">
        <v>0</v>
      </c>
      <c r="G774">
        <v>0</v>
      </c>
      <c r="H774">
        <v>0</v>
      </c>
      <c r="I774">
        <v>0</v>
      </c>
      <c r="J774">
        <v>0</v>
      </c>
      <c r="K774">
        <v>0</v>
      </c>
      <c r="L774">
        <v>0</v>
      </c>
      <c r="M774">
        <v>0</v>
      </c>
      <c r="N774">
        <v>0</v>
      </c>
      <c r="O774">
        <v>0</v>
      </c>
      <c r="P774">
        <v>0</v>
      </c>
      <c r="Q774">
        <v>0</v>
      </c>
      <c r="R774">
        <v>0</v>
      </c>
    </row>
    <row r="775" spans="1:18">
      <c r="A775" t="s">
        <v>2083</v>
      </c>
      <c r="B775" t="s">
        <v>194</v>
      </c>
      <c r="C775" t="s">
        <v>148</v>
      </c>
      <c r="D775">
        <v>0</v>
      </c>
      <c r="E775">
        <v>0</v>
      </c>
      <c r="F775">
        <v>0</v>
      </c>
      <c r="G775">
        <v>0</v>
      </c>
      <c r="H775">
        <v>0</v>
      </c>
      <c r="I775">
        <v>0</v>
      </c>
      <c r="J775">
        <v>0</v>
      </c>
      <c r="K775">
        <v>0</v>
      </c>
      <c r="L775">
        <v>0</v>
      </c>
      <c r="M775">
        <v>0</v>
      </c>
      <c r="N775">
        <v>0</v>
      </c>
      <c r="O775">
        <v>0</v>
      </c>
      <c r="P775">
        <v>0</v>
      </c>
      <c r="Q775">
        <v>0</v>
      </c>
      <c r="R775">
        <v>0</v>
      </c>
    </row>
    <row r="776" spans="1:18">
      <c r="A776" t="s">
        <v>2084</v>
      </c>
      <c r="B776" t="s">
        <v>194</v>
      </c>
      <c r="C776" t="s">
        <v>184</v>
      </c>
      <c r="D776">
        <v>0</v>
      </c>
      <c r="E776">
        <v>0</v>
      </c>
      <c r="F776">
        <v>0</v>
      </c>
      <c r="G776">
        <v>0</v>
      </c>
      <c r="H776">
        <v>0</v>
      </c>
      <c r="I776">
        <v>0</v>
      </c>
      <c r="J776">
        <v>0</v>
      </c>
      <c r="K776">
        <v>0</v>
      </c>
      <c r="L776">
        <v>0</v>
      </c>
      <c r="M776">
        <v>0</v>
      </c>
      <c r="N776">
        <v>0</v>
      </c>
      <c r="O776">
        <v>0</v>
      </c>
      <c r="P776">
        <v>0</v>
      </c>
      <c r="Q776">
        <v>0</v>
      </c>
      <c r="R776">
        <v>0</v>
      </c>
    </row>
    <row r="777" spans="1:18">
      <c r="A777" t="s">
        <v>2085</v>
      </c>
      <c r="B777" t="s">
        <v>194</v>
      </c>
      <c r="C777" s="4" t="s">
        <v>188</v>
      </c>
      <c r="D777">
        <v>27</v>
      </c>
      <c r="E777">
        <v>26</v>
      </c>
      <c r="F777">
        <v>39</v>
      </c>
      <c r="G777">
        <v>47</v>
      </c>
      <c r="H777">
        <v>43</v>
      </c>
      <c r="I777">
        <v>40</v>
      </c>
      <c r="J777">
        <v>35</v>
      </c>
      <c r="K777">
        <v>31</v>
      </c>
      <c r="L777">
        <v>27</v>
      </c>
      <c r="M777">
        <v>30</v>
      </c>
      <c r="N777">
        <v>31</v>
      </c>
      <c r="O777">
        <v>36</v>
      </c>
      <c r="P777">
        <v>35</v>
      </c>
      <c r="Q777">
        <v>42</v>
      </c>
      <c r="R777">
        <v>29</v>
      </c>
    </row>
    <row r="778" spans="1:18">
      <c r="A778" t="s">
        <v>2086</v>
      </c>
      <c r="B778" t="s">
        <v>194</v>
      </c>
      <c r="C778" s="35" t="s">
        <v>189</v>
      </c>
      <c r="D778">
        <v>84</v>
      </c>
      <c r="E778">
        <v>76</v>
      </c>
      <c r="F778">
        <v>82</v>
      </c>
      <c r="G778">
        <v>85</v>
      </c>
      <c r="H778">
        <v>85</v>
      </c>
      <c r="I778">
        <v>93</v>
      </c>
      <c r="J778">
        <v>100</v>
      </c>
      <c r="K778">
        <v>100</v>
      </c>
      <c r="L778">
        <v>101</v>
      </c>
      <c r="M778">
        <v>100</v>
      </c>
      <c r="N778">
        <v>98</v>
      </c>
      <c r="O778">
        <v>81</v>
      </c>
      <c r="P778">
        <v>86</v>
      </c>
      <c r="Q778">
        <v>91</v>
      </c>
      <c r="R778">
        <v>79</v>
      </c>
    </row>
    <row r="779" spans="1:18">
      <c r="A779" t="s">
        <v>2087</v>
      </c>
      <c r="B779" t="s">
        <v>194</v>
      </c>
      <c r="C779" t="s">
        <v>172</v>
      </c>
      <c r="D779">
        <v>14</v>
      </c>
      <c r="E779">
        <v>10</v>
      </c>
      <c r="F779">
        <v>13</v>
      </c>
      <c r="G779">
        <v>15</v>
      </c>
      <c r="H779">
        <v>13</v>
      </c>
      <c r="I779">
        <v>19</v>
      </c>
      <c r="J779">
        <v>21</v>
      </c>
      <c r="K779">
        <v>20</v>
      </c>
      <c r="L779">
        <v>21</v>
      </c>
      <c r="M779">
        <v>19</v>
      </c>
      <c r="N779">
        <v>17</v>
      </c>
      <c r="O779">
        <v>15</v>
      </c>
      <c r="P779">
        <v>22</v>
      </c>
      <c r="Q779">
        <v>22</v>
      </c>
      <c r="R779">
        <v>12</v>
      </c>
    </row>
    <row r="780" spans="1:18">
      <c r="A780" t="s">
        <v>2088</v>
      </c>
      <c r="B780" t="s">
        <v>194</v>
      </c>
      <c r="C780" t="s">
        <v>30</v>
      </c>
      <c r="D780">
        <v>70</v>
      </c>
      <c r="E780">
        <v>66</v>
      </c>
      <c r="F780">
        <v>69</v>
      </c>
      <c r="G780">
        <v>70</v>
      </c>
      <c r="H780">
        <v>72</v>
      </c>
      <c r="I780">
        <v>74</v>
      </c>
      <c r="J780">
        <v>79</v>
      </c>
      <c r="K780">
        <v>80</v>
      </c>
      <c r="L780">
        <v>80</v>
      </c>
      <c r="M780">
        <v>81</v>
      </c>
      <c r="N780">
        <v>81</v>
      </c>
      <c r="O780">
        <v>66</v>
      </c>
      <c r="P780">
        <v>64</v>
      </c>
      <c r="Q780">
        <v>69</v>
      </c>
      <c r="R780">
        <v>67</v>
      </c>
    </row>
    <row r="781" spans="1:18">
      <c r="A781" t="s">
        <v>2089</v>
      </c>
      <c r="B781" t="s">
        <v>195</v>
      </c>
      <c r="C781" t="s">
        <v>193</v>
      </c>
      <c r="D781">
        <v>5</v>
      </c>
      <c r="E781">
        <v>6</v>
      </c>
      <c r="F781">
        <v>7</v>
      </c>
      <c r="G781">
        <v>9</v>
      </c>
      <c r="H781">
        <v>10</v>
      </c>
      <c r="I781">
        <v>12</v>
      </c>
      <c r="J781">
        <v>14</v>
      </c>
      <c r="K781">
        <v>12</v>
      </c>
      <c r="L781">
        <v>12</v>
      </c>
      <c r="M781">
        <v>9</v>
      </c>
      <c r="N781">
        <v>9</v>
      </c>
      <c r="O781">
        <v>9</v>
      </c>
      <c r="P781">
        <v>9</v>
      </c>
      <c r="Q781">
        <v>12</v>
      </c>
      <c r="R781">
        <v>14</v>
      </c>
    </row>
    <row r="782" spans="1:18">
      <c r="A782" t="s">
        <v>2090</v>
      </c>
      <c r="B782" t="s">
        <v>195</v>
      </c>
      <c r="C782" s="4" t="s">
        <v>34</v>
      </c>
      <c r="D782">
        <v>3</v>
      </c>
      <c r="E782">
        <v>4</v>
      </c>
      <c r="F782">
        <v>4</v>
      </c>
      <c r="G782">
        <v>6</v>
      </c>
      <c r="H782">
        <v>5</v>
      </c>
      <c r="I782">
        <v>7</v>
      </c>
      <c r="J782">
        <v>9</v>
      </c>
      <c r="K782">
        <v>4</v>
      </c>
      <c r="L782">
        <v>4</v>
      </c>
      <c r="M782">
        <v>4</v>
      </c>
      <c r="N782">
        <v>3</v>
      </c>
      <c r="O782">
        <v>2</v>
      </c>
      <c r="P782">
        <v>3</v>
      </c>
      <c r="Q782">
        <v>4</v>
      </c>
      <c r="R782">
        <v>6</v>
      </c>
    </row>
    <row r="783" spans="1:18">
      <c r="A783" t="s">
        <v>2091</v>
      </c>
      <c r="B783" t="s">
        <v>195</v>
      </c>
      <c r="C783" t="s">
        <v>169</v>
      </c>
      <c r="D783">
        <v>2</v>
      </c>
      <c r="E783">
        <v>2</v>
      </c>
      <c r="F783">
        <v>3</v>
      </c>
      <c r="G783">
        <v>3</v>
      </c>
      <c r="H783">
        <v>5</v>
      </c>
      <c r="I783">
        <v>5</v>
      </c>
      <c r="J783">
        <v>5</v>
      </c>
      <c r="K783">
        <v>8</v>
      </c>
      <c r="L783">
        <v>8</v>
      </c>
      <c r="M783">
        <v>5</v>
      </c>
      <c r="N783">
        <v>6</v>
      </c>
      <c r="O783">
        <v>7</v>
      </c>
      <c r="P783">
        <v>6</v>
      </c>
      <c r="Q783">
        <v>8</v>
      </c>
      <c r="R783">
        <v>8</v>
      </c>
    </row>
    <row r="784" spans="1:18">
      <c r="A784" t="s">
        <v>2092</v>
      </c>
      <c r="B784" t="s">
        <v>195</v>
      </c>
      <c r="C784" t="s">
        <v>170</v>
      </c>
      <c r="D784">
        <v>0</v>
      </c>
      <c r="E784">
        <v>0</v>
      </c>
      <c r="F784">
        <v>0</v>
      </c>
      <c r="G784">
        <v>0</v>
      </c>
      <c r="H784">
        <v>0</v>
      </c>
      <c r="I784">
        <v>0</v>
      </c>
      <c r="J784">
        <v>0</v>
      </c>
      <c r="K784">
        <v>0</v>
      </c>
      <c r="L784">
        <v>0</v>
      </c>
      <c r="M784">
        <v>0</v>
      </c>
      <c r="N784">
        <v>0</v>
      </c>
      <c r="O784">
        <v>0</v>
      </c>
      <c r="P784">
        <v>0</v>
      </c>
      <c r="Q784">
        <v>0</v>
      </c>
      <c r="R784">
        <v>0</v>
      </c>
    </row>
    <row r="785" spans="1:18">
      <c r="A785" t="s">
        <v>2093</v>
      </c>
      <c r="B785" t="s">
        <v>195</v>
      </c>
      <c r="C785" t="s">
        <v>171</v>
      </c>
      <c r="D785">
        <v>0</v>
      </c>
      <c r="E785">
        <v>0</v>
      </c>
      <c r="F785">
        <v>0</v>
      </c>
      <c r="G785">
        <v>0</v>
      </c>
      <c r="H785">
        <v>0</v>
      </c>
      <c r="I785">
        <v>0</v>
      </c>
      <c r="J785">
        <v>0</v>
      </c>
      <c r="K785">
        <v>0</v>
      </c>
      <c r="L785">
        <v>0</v>
      </c>
      <c r="M785">
        <v>0</v>
      </c>
      <c r="N785">
        <v>0</v>
      </c>
      <c r="O785">
        <v>0</v>
      </c>
      <c r="P785">
        <v>0</v>
      </c>
      <c r="Q785">
        <v>0</v>
      </c>
      <c r="R785">
        <v>0</v>
      </c>
    </row>
    <row r="786" spans="1:18">
      <c r="A786" t="s">
        <v>2094</v>
      </c>
      <c r="B786" t="s">
        <v>195</v>
      </c>
      <c r="C786" t="s">
        <v>148</v>
      </c>
      <c r="D786">
        <v>0</v>
      </c>
      <c r="E786">
        <v>0</v>
      </c>
      <c r="F786">
        <v>0</v>
      </c>
      <c r="G786">
        <v>0</v>
      </c>
      <c r="H786">
        <v>0</v>
      </c>
      <c r="I786">
        <v>0</v>
      </c>
      <c r="J786">
        <v>0</v>
      </c>
      <c r="K786">
        <v>0</v>
      </c>
      <c r="L786">
        <v>0</v>
      </c>
      <c r="M786">
        <v>0</v>
      </c>
      <c r="N786">
        <v>0</v>
      </c>
      <c r="O786">
        <v>0</v>
      </c>
      <c r="P786">
        <v>0</v>
      </c>
      <c r="Q786">
        <v>0</v>
      </c>
      <c r="R786">
        <v>0</v>
      </c>
    </row>
    <row r="787" spans="1:18">
      <c r="A787" t="s">
        <v>2095</v>
      </c>
      <c r="B787" t="s">
        <v>195</v>
      </c>
      <c r="C787" t="s">
        <v>184</v>
      </c>
      <c r="D787">
        <v>0</v>
      </c>
      <c r="E787">
        <v>0</v>
      </c>
      <c r="F787">
        <v>0</v>
      </c>
      <c r="G787">
        <v>0</v>
      </c>
      <c r="H787">
        <v>0</v>
      </c>
      <c r="I787">
        <v>0</v>
      </c>
      <c r="J787">
        <v>0</v>
      </c>
      <c r="K787">
        <v>0</v>
      </c>
      <c r="L787">
        <v>0</v>
      </c>
      <c r="M787">
        <v>0</v>
      </c>
      <c r="N787">
        <v>0</v>
      </c>
      <c r="O787">
        <v>0</v>
      </c>
      <c r="P787">
        <v>0</v>
      </c>
      <c r="Q787">
        <v>0</v>
      </c>
      <c r="R787">
        <v>0</v>
      </c>
    </row>
    <row r="788" spans="1:18">
      <c r="A788" t="s">
        <v>2096</v>
      </c>
      <c r="B788" t="s">
        <v>195</v>
      </c>
      <c r="C788" s="4" t="s">
        <v>188</v>
      </c>
      <c r="D788">
        <v>1</v>
      </c>
      <c r="E788">
        <v>1</v>
      </c>
      <c r="F788">
        <v>2</v>
      </c>
      <c r="G788">
        <v>2</v>
      </c>
      <c r="H788">
        <v>3</v>
      </c>
      <c r="I788">
        <v>4</v>
      </c>
      <c r="J788">
        <v>3</v>
      </c>
      <c r="K788">
        <v>6</v>
      </c>
      <c r="L788">
        <v>5</v>
      </c>
      <c r="M788">
        <v>2</v>
      </c>
      <c r="N788">
        <v>4</v>
      </c>
      <c r="O788">
        <v>3</v>
      </c>
      <c r="P788">
        <v>2</v>
      </c>
      <c r="Q788">
        <v>3</v>
      </c>
      <c r="R788">
        <v>2</v>
      </c>
    </row>
    <row r="789" spans="1:18">
      <c r="A789" t="s">
        <v>2097</v>
      </c>
      <c r="B789" t="s">
        <v>195</v>
      </c>
      <c r="C789" s="35" t="s">
        <v>189</v>
      </c>
      <c r="D789">
        <v>1</v>
      </c>
      <c r="E789">
        <v>1</v>
      </c>
      <c r="F789">
        <v>1</v>
      </c>
      <c r="G789">
        <v>1</v>
      </c>
      <c r="H789">
        <v>2</v>
      </c>
      <c r="I789">
        <v>1</v>
      </c>
      <c r="J789">
        <v>2</v>
      </c>
      <c r="K789">
        <v>2</v>
      </c>
      <c r="L789">
        <v>3</v>
      </c>
      <c r="M789">
        <v>3</v>
      </c>
      <c r="N789">
        <v>2</v>
      </c>
      <c r="O789">
        <v>4</v>
      </c>
      <c r="P789">
        <v>4</v>
      </c>
      <c r="Q789">
        <v>5</v>
      </c>
      <c r="R789">
        <v>6</v>
      </c>
    </row>
    <row r="790" spans="1:18">
      <c r="A790" t="s">
        <v>2098</v>
      </c>
      <c r="B790" t="s">
        <v>195</v>
      </c>
      <c r="C790" t="s">
        <v>172</v>
      </c>
      <c r="D790">
        <v>0</v>
      </c>
      <c r="E790">
        <v>0</v>
      </c>
      <c r="F790">
        <v>0</v>
      </c>
      <c r="G790">
        <v>0</v>
      </c>
      <c r="H790">
        <v>0</v>
      </c>
      <c r="I790">
        <v>0</v>
      </c>
      <c r="J790">
        <v>1</v>
      </c>
      <c r="K790">
        <v>1</v>
      </c>
      <c r="L790">
        <v>2</v>
      </c>
      <c r="M790">
        <v>2</v>
      </c>
      <c r="N790">
        <v>1</v>
      </c>
      <c r="O790">
        <v>3</v>
      </c>
      <c r="P790">
        <v>3</v>
      </c>
      <c r="Q790">
        <v>2</v>
      </c>
      <c r="R790">
        <v>2</v>
      </c>
    </row>
    <row r="791" spans="1:18">
      <c r="A791" t="s">
        <v>2099</v>
      </c>
      <c r="B791" t="s">
        <v>195</v>
      </c>
      <c r="C791" t="s">
        <v>30</v>
      </c>
      <c r="D791">
        <v>1</v>
      </c>
      <c r="E791">
        <v>1</v>
      </c>
      <c r="F791">
        <v>1</v>
      </c>
      <c r="G791">
        <v>1</v>
      </c>
      <c r="H791">
        <v>2</v>
      </c>
      <c r="I791">
        <v>1</v>
      </c>
      <c r="J791">
        <v>1</v>
      </c>
      <c r="K791">
        <v>1</v>
      </c>
      <c r="L791">
        <v>1</v>
      </c>
      <c r="M791">
        <v>1</v>
      </c>
      <c r="N791">
        <v>1</v>
      </c>
      <c r="O791">
        <v>1</v>
      </c>
      <c r="P791">
        <v>1</v>
      </c>
      <c r="Q791">
        <v>3</v>
      </c>
      <c r="R791">
        <v>4</v>
      </c>
    </row>
    <row r="792" spans="1:18">
      <c r="A792" t="s">
        <v>2100</v>
      </c>
      <c r="B792" t="s">
        <v>196</v>
      </c>
      <c r="C792" t="s">
        <v>193</v>
      </c>
      <c r="D792">
        <v>175</v>
      </c>
      <c r="E792">
        <v>171</v>
      </c>
      <c r="F792">
        <v>183</v>
      </c>
      <c r="G792">
        <v>185</v>
      </c>
      <c r="H792">
        <v>204</v>
      </c>
      <c r="I792">
        <v>216</v>
      </c>
      <c r="J792">
        <v>218</v>
      </c>
      <c r="K792">
        <v>199</v>
      </c>
      <c r="L792">
        <v>198</v>
      </c>
      <c r="M792">
        <v>188</v>
      </c>
      <c r="N792">
        <v>183</v>
      </c>
      <c r="O792">
        <v>174</v>
      </c>
      <c r="P792">
        <v>179</v>
      </c>
      <c r="Q792">
        <v>198</v>
      </c>
      <c r="R792">
        <v>199</v>
      </c>
    </row>
    <row r="793" spans="1:18">
      <c r="A793" t="s">
        <v>2101</v>
      </c>
      <c r="B793" t="s">
        <v>196</v>
      </c>
      <c r="C793" s="4" t="s">
        <v>34</v>
      </c>
      <c r="D793">
        <v>61</v>
      </c>
      <c r="E793">
        <v>61</v>
      </c>
      <c r="F793">
        <v>55</v>
      </c>
      <c r="G793">
        <v>47</v>
      </c>
      <c r="H793">
        <v>73</v>
      </c>
      <c r="I793">
        <v>79</v>
      </c>
      <c r="J793">
        <v>80</v>
      </c>
      <c r="K793">
        <v>68</v>
      </c>
      <c r="L793">
        <v>69</v>
      </c>
      <c r="M793">
        <v>53</v>
      </c>
      <c r="N793">
        <v>50</v>
      </c>
      <c r="O793">
        <v>55</v>
      </c>
      <c r="P793">
        <v>55</v>
      </c>
      <c r="Q793">
        <v>63</v>
      </c>
      <c r="R793">
        <v>89</v>
      </c>
    </row>
    <row r="794" spans="1:18">
      <c r="A794" t="s">
        <v>2102</v>
      </c>
      <c r="B794" t="s">
        <v>196</v>
      </c>
      <c r="C794" t="s">
        <v>169</v>
      </c>
      <c r="D794">
        <v>114</v>
      </c>
      <c r="E794">
        <v>110</v>
      </c>
      <c r="F794">
        <v>128</v>
      </c>
      <c r="G794">
        <v>138</v>
      </c>
      <c r="H794">
        <v>131</v>
      </c>
      <c r="I794">
        <v>137</v>
      </c>
      <c r="J794">
        <v>138</v>
      </c>
      <c r="K794">
        <v>131</v>
      </c>
      <c r="L794">
        <v>129</v>
      </c>
      <c r="M794">
        <v>135</v>
      </c>
      <c r="N794">
        <v>133</v>
      </c>
      <c r="O794">
        <v>119</v>
      </c>
      <c r="P794">
        <v>124</v>
      </c>
      <c r="Q794">
        <v>135</v>
      </c>
      <c r="R794">
        <v>110</v>
      </c>
    </row>
    <row r="795" spans="1:18">
      <c r="A795" t="s">
        <v>2103</v>
      </c>
      <c r="B795" t="s">
        <v>196</v>
      </c>
      <c r="C795" t="s">
        <v>170</v>
      </c>
      <c r="D795">
        <v>0</v>
      </c>
      <c r="E795">
        <v>0</v>
      </c>
      <c r="F795">
        <v>0</v>
      </c>
      <c r="G795">
        <v>0</v>
      </c>
      <c r="H795">
        <v>0</v>
      </c>
      <c r="I795">
        <v>0</v>
      </c>
      <c r="J795">
        <v>0</v>
      </c>
      <c r="K795">
        <v>0</v>
      </c>
      <c r="L795">
        <v>0</v>
      </c>
      <c r="M795">
        <v>0</v>
      </c>
      <c r="N795">
        <v>0</v>
      </c>
      <c r="O795">
        <v>0</v>
      </c>
      <c r="P795">
        <v>0</v>
      </c>
      <c r="Q795">
        <v>0</v>
      </c>
      <c r="R795">
        <v>0</v>
      </c>
    </row>
    <row r="796" spans="1:18">
      <c r="A796" t="s">
        <v>2104</v>
      </c>
      <c r="B796" t="s">
        <v>196</v>
      </c>
      <c r="C796" t="s">
        <v>171</v>
      </c>
      <c r="D796">
        <v>0</v>
      </c>
      <c r="E796">
        <v>0</v>
      </c>
      <c r="F796">
        <v>0</v>
      </c>
      <c r="G796">
        <v>0</v>
      </c>
      <c r="H796">
        <v>0</v>
      </c>
      <c r="I796">
        <v>0</v>
      </c>
      <c r="J796">
        <v>0</v>
      </c>
      <c r="K796">
        <v>0</v>
      </c>
      <c r="L796">
        <v>0</v>
      </c>
      <c r="M796">
        <v>0</v>
      </c>
      <c r="N796">
        <v>0</v>
      </c>
      <c r="O796">
        <v>0</v>
      </c>
      <c r="P796">
        <v>0</v>
      </c>
      <c r="Q796">
        <v>0</v>
      </c>
      <c r="R796">
        <v>0</v>
      </c>
    </row>
    <row r="797" spans="1:18">
      <c r="A797" t="s">
        <v>2105</v>
      </c>
      <c r="B797" t="s">
        <v>196</v>
      </c>
      <c r="C797" t="s">
        <v>148</v>
      </c>
      <c r="D797">
        <v>0</v>
      </c>
      <c r="E797">
        <v>0</v>
      </c>
      <c r="F797">
        <v>0</v>
      </c>
      <c r="G797">
        <v>0</v>
      </c>
      <c r="H797">
        <v>0</v>
      </c>
      <c r="I797">
        <v>0</v>
      </c>
      <c r="J797">
        <v>0</v>
      </c>
      <c r="K797">
        <v>0</v>
      </c>
      <c r="L797">
        <v>0</v>
      </c>
      <c r="M797">
        <v>0</v>
      </c>
      <c r="N797">
        <v>0</v>
      </c>
      <c r="O797">
        <v>0</v>
      </c>
      <c r="P797">
        <v>0</v>
      </c>
      <c r="Q797">
        <v>0</v>
      </c>
      <c r="R797">
        <v>0</v>
      </c>
    </row>
    <row r="798" spans="1:18">
      <c r="A798" t="s">
        <v>2106</v>
      </c>
      <c r="B798" t="s">
        <v>196</v>
      </c>
      <c r="C798" t="s">
        <v>184</v>
      </c>
      <c r="D798">
        <v>0</v>
      </c>
      <c r="E798">
        <v>0</v>
      </c>
      <c r="F798">
        <v>0</v>
      </c>
      <c r="G798">
        <v>0</v>
      </c>
      <c r="H798">
        <v>0</v>
      </c>
      <c r="I798">
        <v>0</v>
      </c>
      <c r="J798">
        <v>0</v>
      </c>
      <c r="K798">
        <v>0</v>
      </c>
      <c r="L798">
        <v>0</v>
      </c>
      <c r="M798">
        <v>0</v>
      </c>
      <c r="N798">
        <v>0</v>
      </c>
      <c r="O798">
        <v>0</v>
      </c>
      <c r="P798">
        <v>0</v>
      </c>
      <c r="Q798">
        <v>0</v>
      </c>
      <c r="R798">
        <v>0</v>
      </c>
    </row>
    <row r="799" spans="1:18">
      <c r="A799" t="s">
        <v>2107</v>
      </c>
      <c r="B799" t="s">
        <v>196</v>
      </c>
      <c r="C799" s="4" t="s">
        <v>188</v>
      </c>
      <c r="D799">
        <v>28</v>
      </c>
      <c r="E799">
        <v>34</v>
      </c>
      <c r="F799">
        <v>44</v>
      </c>
      <c r="G799">
        <v>49</v>
      </c>
      <c r="H799">
        <v>43</v>
      </c>
      <c r="I799">
        <v>39</v>
      </c>
      <c r="J799">
        <v>33</v>
      </c>
      <c r="K799">
        <v>29</v>
      </c>
      <c r="L799">
        <v>27</v>
      </c>
      <c r="M799">
        <v>33</v>
      </c>
      <c r="N799">
        <v>33</v>
      </c>
      <c r="O799">
        <v>36</v>
      </c>
      <c r="P799">
        <v>37</v>
      </c>
      <c r="Q799">
        <v>42</v>
      </c>
      <c r="R799">
        <v>29</v>
      </c>
    </row>
    <row r="800" spans="1:18">
      <c r="A800" t="s">
        <v>2108</v>
      </c>
      <c r="B800" t="s">
        <v>196</v>
      </c>
      <c r="C800" s="35" t="s">
        <v>189</v>
      </c>
      <c r="D800">
        <v>86</v>
      </c>
      <c r="E800">
        <v>76</v>
      </c>
      <c r="F800">
        <v>84</v>
      </c>
      <c r="G800">
        <v>89</v>
      </c>
      <c r="H800">
        <v>88</v>
      </c>
      <c r="I800">
        <v>98</v>
      </c>
      <c r="J800">
        <v>105</v>
      </c>
      <c r="K800">
        <v>102</v>
      </c>
      <c r="L800">
        <v>102</v>
      </c>
      <c r="M800">
        <v>102</v>
      </c>
      <c r="N800">
        <v>100</v>
      </c>
      <c r="O800">
        <v>83</v>
      </c>
      <c r="P800">
        <v>87</v>
      </c>
      <c r="Q800">
        <v>93</v>
      </c>
      <c r="R800">
        <v>81</v>
      </c>
    </row>
    <row r="801" spans="1:18">
      <c r="A801" t="s">
        <v>2109</v>
      </c>
      <c r="B801" t="s">
        <v>196</v>
      </c>
      <c r="C801" t="s">
        <v>172</v>
      </c>
      <c r="D801">
        <v>15</v>
      </c>
      <c r="E801">
        <v>9</v>
      </c>
      <c r="F801">
        <v>13</v>
      </c>
      <c r="G801">
        <v>16</v>
      </c>
      <c r="H801">
        <v>13</v>
      </c>
      <c r="I801">
        <v>22</v>
      </c>
      <c r="J801">
        <v>24</v>
      </c>
      <c r="K801">
        <v>20</v>
      </c>
      <c r="L801">
        <v>20</v>
      </c>
      <c r="M801">
        <v>19</v>
      </c>
      <c r="N801">
        <v>16</v>
      </c>
      <c r="O801">
        <v>16</v>
      </c>
      <c r="P801">
        <v>22</v>
      </c>
      <c r="Q801">
        <v>23</v>
      </c>
      <c r="R801">
        <v>14</v>
      </c>
    </row>
    <row r="802" spans="1:18">
      <c r="A802" t="s">
        <v>2110</v>
      </c>
      <c r="B802" t="s">
        <v>196</v>
      </c>
      <c r="C802" t="s">
        <v>30</v>
      </c>
      <c r="D802">
        <v>71</v>
      </c>
      <c r="E802">
        <v>67</v>
      </c>
      <c r="F802">
        <v>71</v>
      </c>
      <c r="G802">
        <v>73</v>
      </c>
      <c r="H802">
        <v>75</v>
      </c>
      <c r="I802">
        <v>76</v>
      </c>
      <c r="J802">
        <v>81</v>
      </c>
      <c r="K802">
        <v>82</v>
      </c>
      <c r="L802">
        <v>82</v>
      </c>
      <c r="M802">
        <v>83</v>
      </c>
      <c r="N802">
        <v>84</v>
      </c>
      <c r="O802">
        <v>67</v>
      </c>
      <c r="P802">
        <v>65</v>
      </c>
      <c r="Q802">
        <v>70</v>
      </c>
      <c r="R802">
        <v>67</v>
      </c>
    </row>
    <row r="803" spans="1:18">
      <c r="A803" t="s">
        <v>2111</v>
      </c>
      <c r="B803" t="s">
        <v>196</v>
      </c>
      <c r="C803" t="s">
        <v>177</v>
      </c>
      <c r="D803">
        <v>0</v>
      </c>
      <c r="E803">
        <v>0</v>
      </c>
      <c r="F803">
        <v>0</v>
      </c>
      <c r="G803">
        <v>0</v>
      </c>
      <c r="H803">
        <v>0</v>
      </c>
      <c r="I803">
        <v>0</v>
      </c>
      <c r="J803">
        <v>0</v>
      </c>
      <c r="K803">
        <v>0</v>
      </c>
      <c r="L803">
        <v>0</v>
      </c>
      <c r="M803">
        <v>0</v>
      </c>
      <c r="N803">
        <v>0</v>
      </c>
      <c r="O803">
        <v>0</v>
      </c>
      <c r="P803">
        <v>0</v>
      </c>
      <c r="Q803">
        <v>0</v>
      </c>
      <c r="R803">
        <v>0</v>
      </c>
    </row>
    <row r="804" spans="1:18">
      <c r="A804" t="s">
        <v>2112</v>
      </c>
      <c r="B804" t="s">
        <v>196</v>
      </c>
      <c r="C804" t="s">
        <v>178</v>
      </c>
      <c r="D804">
        <v>0</v>
      </c>
      <c r="E804">
        <v>0</v>
      </c>
      <c r="F804">
        <v>0</v>
      </c>
      <c r="G804">
        <v>0</v>
      </c>
      <c r="H804">
        <v>0</v>
      </c>
      <c r="I804">
        <v>0</v>
      </c>
      <c r="J804">
        <v>0</v>
      </c>
      <c r="K804">
        <v>0</v>
      </c>
      <c r="L804">
        <v>0</v>
      </c>
      <c r="M804">
        <v>0</v>
      </c>
      <c r="N804">
        <v>0</v>
      </c>
      <c r="O804">
        <v>0</v>
      </c>
      <c r="P804">
        <v>0</v>
      </c>
      <c r="Q804">
        <v>0</v>
      </c>
      <c r="R804">
        <v>0</v>
      </c>
    </row>
    <row r="805" spans="1:18">
      <c r="A805" t="s">
        <v>2113</v>
      </c>
      <c r="B805" t="s">
        <v>197</v>
      </c>
      <c r="C805" t="s">
        <v>193</v>
      </c>
      <c r="D805">
        <v>175</v>
      </c>
      <c r="E805">
        <v>171</v>
      </c>
      <c r="F805">
        <v>183</v>
      </c>
      <c r="G805">
        <v>185</v>
      </c>
      <c r="H805">
        <v>204</v>
      </c>
      <c r="I805">
        <v>216</v>
      </c>
      <c r="J805">
        <v>218</v>
      </c>
      <c r="K805">
        <v>199</v>
      </c>
      <c r="L805">
        <v>198</v>
      </c>
      <c r="M805">
        <v>188</v>
      </c>
      <c r="N805">
        <v>183</v>
      </c>
      <c r="O805">
        <v>174</v>
      </c>
      <c r="P805">
        <v>179</v>
      </c>
      <c r="Q805">
        <v>198</v>
      </c>
      <c r="R805">
        <v>199</v>
      </c>
    </row>
    <row r="806" spans="1:18">
      <c r="A806" t="s">
        <v>2114</v>
      </c>
      <c r="B806" t="s">
        <v>197</v>
      </c>
      <c r="C806" s="4" t="s">
        <v>34</v>
      </c>
      <c r="D806">
        <v>61</v>
      </c>
      <c r="E806">
        <v>61</v>
      </c>
      <c r="F806">
        <v>55</v>
      </c>
      <c r="G806">
        <v>47</v>
      </c>
      <c r="H806">
        <v>73</v>
      </c>
      <c r="I806">
        <v>79</v>
      </c>
      <c r="J806">
        <v>80</v>
      </c>
      <c r="K806">
        <v>68</v>
      </c>
      <c r="L806">
        <v>69</v>
      </c>
      <c r="M806">
        <v>53</v>
      </c>
      <c r="N806">
        <v>50</v>
      </c>
      <c r="O806">
        <v>55</v>
      </c>
      <c r="P806">
        <v>55</v>
      </c>
      <c r="Q806">
        <v>63</v>
      </c>
      <c r="R806">
        <v>89</v>
      </c>
    </row>
    <row r="807" spans="1:18">
      <c r="A807" t="s">
        <v>2115</v>
      </c>
      <c r="B807" t="s">
        <v>197</v>
      </c>
      <c r="C807" t="s">
        <v>169</v>
      </c>
      <c r="D807">
        <v>28</v>
      </c>
      <c r="E807">
        <v>34</v>
      </c>
      <c r="F807">
        <v>44</v>
      </c>
      <c r="G807">
        <v>49</v>
      </c>
      <c r="H807">
        <v>43</v>
      </c>
      <c r="I807">
        <v>39</v>
      </c>
      <c r="J807">
        <v>33</v>
      </c>
      <c r="K807">
        <v>29</v>
      </c>
      <c r="L807">
        <v>27</v>
      </c>
      <c r="M807">
        <v>33</v>
      </c>
      <c r="N807">
        <v>33</v>
      </c>
      <c r="O807">
        <v>36</v>
      </c>
      <c r="P807">
        <v>37</v>
      </c>
      <c r="Q807">
        <v>42</v>
      </c>
      <c r="R807">
        <v>29</v>
      </c>
    </row>
    <row r="808" spans="1:18">
      <c r="A808" t="s">
        <v>2116</v>
      </c>
      <c r="B808" t="s">
        <v>197</v>
      </c>
      <c r="C808" t="s">
        <v>170</v>
      </c>
      <c r="D808">
        <v>15</v>
      </c>
      <c r="E808">
        <v>9</v>
      </c>
      <c r="F808">
        <v>13</v>
      </c>
      <c r="G808">
        <v>16</v>
      </c>
      <c r="H808">
        <v>13</v>
      </c>
      <c r="I808">
        <v>22</v>
      </c>
      <c r="J808">
        <v>24</v>
      </c>
      <c r="K808">
        <v>20</v>
      </c>
      <c r="L808">
        <v>20</v>
      </c>
      <c r="M808">
        <v>19</v>
      </c>
      <c r="N808">
        <v>16</v>
      </c>
      <c r="O808">
        <v>16</v>
      </c>
      <c r="P808">
        <v>22</v>
      </c>
      <c r="Q808">
        <v>23</v>
      </c>
      <c r="R808">
        <v>14</v>
      </c>
    </row>
    <row r="809" spans="1:18">
      <c r="A809" t="s">
        <v>2117</v>
      </c>
      <c r="B809" t="s">
        <v>197</v>
      </c>
      <c r="C809" t="s">
        <v>171</v>
      </c>
      <c r="D809">
        <v>71</v>
      </c>
      <c r="E809">
        <v>67</v>
      </c>
      <c r="F809">
        <v>71</v>
      </c>
      <c r="G809">
        <v>73</v>
      </c>
      <c r="H809">
        <v>75</v>
      </c>
      <c r="I809">
        <v>76</v>
      </c>
      <c r="J809">
        <v>81</v>
      </c>
      <c r="K809">
        <v>82</v>
      </c>
      <c r="L809">
        <v>82</v>
      </c>
      <c r="M809">
        <v>83</v>
      </c>
      <c r="N809">
        <v>84</v>
      </c>
      <c r="O809">
        <v>67</v>
      </c>
      <c r="P809">
        <v>65</v>
      </c>
      <c r="Q809">
        <v>70</v>
      </c>
      <c r="R809">
        <v>67</v>
      </c>
    </row>
    <row r="810" spans="1:18">
      <c r="A810" t="s">
        <v>2118</v>
      </c>
      <c r="B810" t="s">
        <v>197</v>
      </c>
      <c r="C810" t="s">
        <v>148</v>
      </c>
      <c r="D810">
        <v>0</v>
      </c>
      <c r="E810">
        <v>0</v>
      </c>
      <c r="F810">
        <v>0</v>
      </c>
      <c r="G810">
        <v>0</v>
      </c>
      <c r="H810">
        <v>0</v>
      </c>
      <c r="I810">
        <v>0</v>
      </c>
      <c r="J810">
        <v>0</v>
      </c>
      <c r="K810">
        <v>0</v>
      </c>
      <c r="L810">
        <v>0</v>
      </c>
      <c r="M810">
        <v>0</v>
      </c>
      <c r="N810">
        <v>0</v>
      </c>
      <c r="O810">
        <v>0</v>
      </c>
      <c r="P810">
        <v>0</v>
      </c>
      <c r="Q810">
        <v>0</v>
      </c>
      <c r="R810">
        <v>0</v>
      </c>
    </row>
    <row r="811" spans="1:18">
      <c r="A811" t="s">
        <v>2119</v>
      </c>
      <c r="B811" t="s">
        <v>197</v>
      </c>
      <c r="C811" t="s">
        <v>184</v>
      </c>
      <c r="D811">
        <v>0</v>
      </c>
      <c r="E811">
        <v>0</v>
      </c>
      <c r="F811">
        <v>0</v>
      </c>
      <c r="G811">
        <v>0</v>
      </c>
      <c r="H811">
        <v>0</v>
      </c>
      <c r="I811">
        <v>0</v>
      </c>
      <c r="J811">
        <v>0</v>
      </c>
      <c r="K811">
        <v>0</v>
      </c>
      <c r="L811">
        <v>0</v>
      </c>
      <c r="M811">
        <v>0</v>
      </c>
      <c r="N811">
        <v>0</v>
      </c>
      <c r="O811">
        <v>0</v>
      </c>
      <c r="P811">
        <v>0</v>
      </c>
      <c r="Q811">
        <v>0</v>
      </c>
      <c r="R811">
        <v>0</v>
      </c>
    </row>
    <row r="812" spans="1:18">
      <c r="A812" t="s">
        <v>2120</v>
      </c>
      <c r="B812" t="s">
        <v>197</v>
      </c>
      <c r="C812" s="4" t="s">
        <v>188</v>
      </c>
      <c r="D812">
        <v>114</v>
      </c>
      <c r="E812">
        <v>110</v>
      </c>
      <c r="F812">
        <v>128</v>
      </c>
      <c r="G812">
        <v>138</v>
      </c>
      <c r="H812">
        <v>131</v>
      </c>
      <c r="I812">
        <v>137</v>
      </c>
      <c r="J812">
        <v>138</v>
      </c>
      <c r="K812">
        <v>131</v>
      </c>
      <c r="L812">
        <v>129</v>
      </c>
      <c r="M812">
        <v>135</v>
      </c>
      <c r="N812">
        <v>133</v>
      </c>
      <c r="O812">
        <v>119</v>
      </c>
      <c r="P812">
        <v>124</v>
      </c>
      <c r="Q812">
        <v>135</v>
      </c>
      <c r="R812">
        <v>110</v>
      </c>
    </row>
    <row r="813" spans="1:18">
      <c r="A813" t="s">
        <v>2121</v>
      </c>
      <c r="B813" t="s">
        <v>197</v>
      </c>
      <c r="C813" s="35" t="s">
        <v>189</v>
      </c>
      <c r="D813">
        <v>86</v>
      </c>
      <c r="E813">
        <v>76</v>
      </c>
      <c r="F813">
        <v>84</v>
      </c>
      <c r="G813">
        <v>89</v>
      </c>
      <c r="H813">
        <v>88</v>
      </c>
      <c r="I813">
        <v>98</v>
      </c>
      <c r="J813">
        <v>105</v>
      </c>
      <c r="K813">
        <v>102</v>
      </c>
      <c r="L813">
        <v>102</v>
      </c>
      <c r="M813">
        <v>102</v>
      </c>
      <c r="N813">
        <v>100</v>
      </c>
      <c r="O813">
        <v>83</v>
      </c>
      <c r="P813">
        <v>87</v>
      </c>
      <c r="Q813">
        <v>93</v>
      </c>
      <c r="R813">
        <v>81</v>
      </c>
    </row>
    <row r="814" spans="1:18">
      <c r="A814" t="s">
        <v>2122</v>
      </c>
      <c r="B814" t="s">
        <v>197</v>
      </c>
      <c r="C814" t="s">
        <v>172</v>
      </c>
      <c r="D814">
        <v>0</v>
      </c>
      <c r="E814">
        <v>0</v>
      </c>
      <c r="F814">
        <v>0</v>
      </c>
      <c r="G814">
        <v>0</v>
      </c>
      <c r="H814">
        <v>0</v>
      </c>
      <c r="I814">
        <v>0</v>
      </c>
      <c r="J814">
        <v>0</v>
      </c>
      <c r="K814">
        <v>0</v>
      </c>
      <c r="L814">
        <v>0</v>
      </c>
      <c r="M814">
        <v>0</v>
      </c>
      <c r="N814">
        <v>0</v>
      </c>
      <c r="O814">
        <v>0</v>
      </c>
      <c r="P814">
        <v>0</v>
      </c>
      <c r="Q814">
        <v>0</v>
      </c>
      <c r="R814">
        <v>0</v>
      </c>
    </row>
    <row r="815" spans="1:18">
      <c r="A815" t="s">
        <v>2123</v>
      </c>
      <c r="B815" t="s">
        <v>197</v>
      </c>
      <c r="C815" t="s">
        <v>30</v>
      </c>
      <c r="D815">
        <v>0</v>
      </c>
      <c r="E815">
        <v>0</v>
      </c>
      <c r="F815">
        <v>0</v>
      </c>
      <c r="G815">
        <v>0</v>
      </c>
      <c r="H815">
        <v>0</v>
      </c>
      <c r="I815">
        <v>0</v>
      </c>
      <c r="J815">
        <v>0</v>
      </c>
      <c r="K815">
        <v>0</v>
      </c>
      <c r="L815">
        <v>0</v>
      </c>
      <c r="M815">
        <v>0</v>
      </c>
      <c r="N815">
        <v>0</v>
      </c>
      <c r="O815">
        <v>0</v>
      </c>
      <c r="P815">
        <v>0</v>
      </c>
      <c r="Q815">
        <v>0</v>
      </c>
      <c r="R815">
        <v>0</v>
      </c>
    </row>
    <row r="816" spans="1:18">
      <c r="A816" t="s">
        <v>2124</v>
      </c>
      <c r="B816" t="s">
        <v>197</v>
      </c>
      <c r="C816" t="s">
        <v>177</v>
      </c>
      <c r="D816">
        <v>0</v>
      </c>
      <c r="E816">
        <v>0</v>
      </c>
      <c r="F816">
        <v>0</v>
      </c>
      <c r="G816">
        <v>0</v>
      </c>
      <c r="H816">
        <v>0</v>
      </c>
      <c r="I816">
        <v>0</v>
      </c>
      <c r="J816">
        <v>0</v>
      </c>
      <c r="K816">
        <v>0</v>
      </c>
      <c r="L816">
        <v>0</v>
      </c>
      <c r="M816">
        <v>0</v>
      </c>
      <c r="N816">
        <v>0</v>
      </c>
      <c r="O816">
        <v>0</v>
      </c>
      <c r="P816">
        <v>0</v>
      </c>
      <c r="Q816">
        <v>0</v>
      </c>
      <c r="R816">
        <v>0</v>
      </c>
    </row>
    <row r="817" spans="1:18">
      <c r="A817" t="s">
        <v>2125</v>
      </c>
      <c r="B817" t="s">
        <v>197</v>
      </c>
      <c r="C817" t="s">
        <v>178</v>
      </c>
      <c r="D817">
        <v>0</v>
      </c>
      <c r="E817">
        <v>0</v>
      </c>
      <c r="F817">
        <v>0</v>
      </c>
      <c r="G817">
        <v>0</v>
      </c>
      <c r="H817">
        <v>0</v>
      </c>
      <c r="I817">
        <v>0</v>
      </c>
      <c r="J817">
        <v>0</v>
      </c>
      <c r="K817">
        <v>0</v>
      </c>
      <c r="L817">
        <v>0</v>
      </c>
      <c r="M817">
        <v>0</v>
      </c>
      <c r="N817">
        <v>0</v>
      </c>
      <c r="O817">
        <v>0</v>
      </c>
      <c r="P817">
        <v>0</v>
      </c>
      <c r="Q817">
        <v>0</v>
      </c>
      <c r="R817">
        <v>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P18"/>
  <sheetViews>
    <sheetView workbookViewId="0">
      <selection sqref="A1:XFD1048576"/>
    </sheetView>
  </sheetViews>
  <sheetFormatPr defaultRowHeight="15"/>
  <cols>
    <col min="1" max="1" width="27.5703125" bestFit="1" customWidth="1"/>
    <col min="2" max="16" width="11.140625" bestFit="1" customWidth="1"/>
    <col min="257" max="257" width="27.5703125" bestFit="1" customWidth="1"/>
    <col min="258" max="258" width="8.140625" customWidth="1"/>
    <col min="259" max="271" width="11.140625" bestFit="1" customWidth="1"/>
    <col min="513" max="513" width="27.5703125" bestFit="1" customWidth="1"/>
    <col min="514" max="514" width="8.140625" customWidth="1"/>
    <col min="515" max="527" width="11.140625" bestFit="1" customWidth="1"/>
    <col min="769" max="769" width="27.5703125" bestFit="1" customWidth="1"/>
    <col min="770" max="770" width="8.140625" customWidth="1"/>
    <col min="771" max="783" width="11.140625" bestFit="1" customWidth="1"/>
    <col min="1025" max="1025" width="27.5703125" bestFit="1" customWidth="1"/>
    <col min="1026" max="1026" width="8.140625" customWidth="1"/>
    <col min="1027" max="1039" width="11.140625" bestFit="1" customWidth="1"/>
    <col min="1281" max="1281" width="27.5703125" bestFit="1" customWidth="1"/>
    <col min="1282" max="1282" width="8.140625" customWidth="1"/>
    <col min="1283" max="1295" width="11.140625" bestFit="1" customWidth="1"/>
    <col min="1537" max="1537" width="27.5703125" bestFit="1" customWidth="1"/>
    <col min="1538" max="1538" width="8.140625" customWidth="1"/>
    <col min="1539" max="1551" width="11.140625" bestFit="1" customWidth="1"/>
    <col min="1793" max="1793" width="27.5703125" bestFit="1" customWidth="1"/>
    <col min="1794" max="1794" width="8.140625" customWidth="1"/>
    <col min="1795" max="1807" width="11.140625" bestFit="1" customWidth="1"/>
    <col min="2049" max="2049" width="27.5703125" bestFit="1" customWidth="1"/>
    <col min="2050" max="2050" width="8.140625" customWidth="1"/>
    <col min="2051" max="2063" width="11.140625" bestFit="1" customWidth="1"/>
    <col min="2305" max="2305" width="27.5703125" bestFit="1" customWidth="1"/>
    <col min="2306" max="2306" width="8.140625" customWidth="1"/>
    <col min="2307" max="2319" width="11.140625" bestFit="1" customWidth="1"/>
    <col min="2561" max="2561" width="27.5703125" bestFit="1" customWidth="1"/>
    <col min="2562" max="2562" width="8.140625" customWidth="1"/>
    <col min="2563" max="2575" width="11.140625" bestFit="1" customWidth="1"/>
    <col min="2817" max="2817" width="27.5703125" bestFit="1" customWidth="1"/>
    <col min="2818" max="2818" width="8.140625" customWidth="1"/>
    <col min="2819" max="2831" width="11.140625" bestFit="1" customWidth="1"/>
    <col min="3073" max="3073" width="27.5703125" bestFit="1" customWidth="1"/>
    <col min="3074" max="3074" width="8.140625" customWidth="1"/>
    <col min="3075" max="3087" width="11.140625" bestFit="1" customWidth="1"/>
    <col min="3329" max="3329" width="27.5703125" bestFit="1" customWidth="1"/>
    <col min="3330" max="3330" width="8.140625" customWidth="1"/>
    <col min="3331" max="3343" width="11.140625" bestFit="1" customWidth="1"/>
    <col min="3585" max="3585" width="27.5703125" bestFit="1" customWidth="1"/>
    <col min="3586" max="3586" width="8.140625" customWidth="1"/>
    <col min="3587" max="3599" width="11.140625" bestFit="1" customWidth="1"/>
    <col min="3841" max="3841" width="27.5703125" bestFit="1" customWidth="1"/>
    <col min="3842" max="3842" width="8.140625" customWidth="1"/>
    <col min="3843" max="3855" width="11.140625" bestFit="1" customWidth="1"/>
    <col min="4097" max="4097" width="27.5703125" bestFit="1" customWidth="1"/>
    <col min="4098" max="4098" width="8.140625" customWidth="1"/>
    <col min="4099" max="4111" width="11.140625" bestFit="1" customWidth="1"/>
    <col min="4353" max="4353" width="27.5703125" bestFit="1" customWidth="1"/>
    <col min="4354" max="4354" width="8.140625" customWidth="1"/>
    <col min="4355" max="4367" width="11.140625" bestFit="1" customWidth="1"/>
    <col min="4609" max="4609" width="27.5703125" bestFit="1" customWidth="1"/>
    <col min="4610" max="4610" width="8.140625" customWidth="1"/>
    <col min="4611" max="4623" width="11.140625" bestFit="1" customWidth="1"/>
    <col min="4865" max="4865" width="27.5703125" bestFit="1" customWidth="1"/>
    <col min="4866" max="4866" width="8.140625" customWidth="1"/>
    <col min="4867" max="4879" width="11.140625" bestFit="1" customWidth="1"/>
    <col min="5121" max="5121" width="27.5703125" bestFit="1" customWidth="1"/>
    <col min="5122" max="5122" width="8.140625" customWidth="1"/>
    <col min="5123" max="5135" width="11.140625" bestFit="1" customWidth="1"/>
    <col min="5377" max="5377" width="27.5703125" bestFit="1" customWidth="1"/>
    <col min="5378" max="5378" width="8.140625" customWidth="1"/>
    <col min="5379" max="5391" width="11.140625" bestFit="1" customWidth="1"/>
    <col min="5633" max="5633" width="27.5703125" bestFit="1" customWidth="1"/>
    <col min="5634" max="5634" width="8.140625" customWidth="1"/>
    <col min="5635" max="5647" width="11.140625" bestFit="1" customWidth="1"/>
    <col min="5889" max="5889" width="27.5703125" bestFit="1" customWidth="1"/>
    <col min="5890" max="5890" width="8.140625" customWidth="1"/>
    <col min="5891" max="5903" width="11.140625" bestFit="1" customWidth="1"/>
    <col min="6145" max="6145" width="27.5703125" bestFit="1" customWidth="1"/>
    <col min="6146" max="6146" width="8.140625" customWidth="1"/>
    <col min="6147" max="6159" width="11.140625" bestFit="1" customWidth="1"/>
    <col min="6401" max="6401" width="27.5703125" bestFit="1" customWidth="1"/>
    <col min="6402" max="6402" width="8.140625" customWidth="1"/>
    <col min="6403" max="6415" width="11.140625" bestFit="1" customWidth="1"/>
    <col min="6657" max="6657" width="27.5703125" bestFit="1" customWidth="1"/>
    <col min="6658" max="6658" width="8.140625" customWidth="1"/>
    <col min="6659" max="6671" width="11.140625" bestFit="1" customWidth="1"/>
    <col min="6913" max="6913" width="27.5703125" bestFit="1" customWidth="1"/>
    <col min="6914" max="6914" width="8.140625" customWidth="1"/>
    <col min="6915" max="6927" width="11.140625" bestFit="1" customWidth="1"/>
    <col min="7169" max="7169" width="27.5703125" bestFit="1" customWidth="1"/>
    <col min="7170" max="7170" width="8.140625" customWidth="1"/>
    <col min="7171" max="7183" width="11.140625" bestFit="1" customWidth="1"/>
    <col min="7425" max="7425" width="27.5703125" bestFit="1" customWidth="1"/>
    <col min="7426" max="7426" width="8.140625" customWidth="1"/>
    <col min="7427" max="7439" width="11.140625" bestFit="1" customWidth="1"/>
    <col min="7681" max="7681" width="27.5703125" bestFit="1" customWidth="1"/>
    <col min="7682" max="7682" width="8.140625" customWidth="1"/>
    <col min="7683" max="7695" width="11.140625" bestFit="1" customWidth="1"/>
    <col min="7937" max="7937" width="27.5703125" bestFit="1" customWidth="1"/>
    <col min="7938" max="7938" width="8.140625" customWidth="1"/>
    <col min="7939" max="7951" width="11.140625" bestFit="1" customWidth="1"/>
    <col min="8193" max="8193" width="27.5703125" bestFit="1" customWidth="1"/>
    <col min="8194" max="8194" width="8.140625" customWidth="1"/>
    <col min="8195" max="8207" width="11.140625" bestFit="1" customWidth="1"/>
    <col min="8449" max="8449" width="27.5703125" bestFit="1" customWidth="1"/>
    <col min="8450" max="8450" width="8.140625" customWidth="1"/>
    <col min="8451" max="8463" width="11.140625" bestFit="1" customWidth="1"/>
    <col min="8705" max="8705" width="27.5703125" bestFit="1" customWidth="1"/>
    <col min="8706" max="8706" width="8.140625" customWidth="1"/>
    <col min="8707" max="8719" width="11.140625" bestFit="1" customWidth="1"/>
    <col min="8961" max="8961" width="27.5703125" bestFit="1" customWidth="1"/>
    <col min="8962" max="8962" width="8.140625" customWidth="1"/>
    <col min="8963" max="8975" width="11.140625" bestFit="1" customWidth="1"/>
    <col min="9217" max="9217" width="27.5703125" bestFit="1" customWidth="1"/>
    <col min="9218" max="9218" width="8.140625" customWidth="1"/>
    <col min="9219" max="9231" width="11.140625" bestFit="1" customWidth="1"/>
    <col min="9473" max="9473" width="27.5703125" bestFit="1" customWidth="1"/>
    <col min="9474" max="9474" width="8.140625" customWidth="1"/>
    <col min="9475" max="9487" width="11.140625" bestFit="1" customWidth="1"/>
    <col min="9729" max="9729" width="27.5703125" bestFit="1" customWidth="1"/>
    <col min="9730" max="9730" width="8.140625" customWidth="1"/>
    <col min="9731" max="9743" width="11.140625" bestFit="1" customWidth="1"/>
    <col min="9985" max="9985" width="27.5703125" bestFit="1" customWidth="1"/>
    <col min="9986" max="9986" width="8.140625" customWidth="1"/>
    <col min="9987" max="9999" width="11.140625" bestFit="1" customWidth="1"/>
    <col min="10241" max="10241" width="27.5703125" bestFit="1" customWidth="1"/>
    <col min="10242" max="10242" width="8.140625" customWidth="1"/>
    <col min="10243" max="10255" width="11.140625" bestFit="1" customWidth="1"/>
    <col min="10497" max="10497" width="27.5703125" bestFit="1" customWidth="1"/>
    <col min="10498" max="10498" width="8.140625" customWidth="1"/>
    <col min="10499" max="10511" width="11.140625" bestFit="1" customWidth="1"/>
    <col min="10753" max="10753" width="27.5703125" bestFit="1" customWidth="1"/>
    <col min="10754" max="10754" width="8.140625" customWidth="1"/>
    <col min="10755" max="10767" width="11.140625" bestFit="1" customWidth="1"/>
    <col min="11009" max="11009" width="27.5703125" bestFit="1" customWidth="1"/>
    <col min="11010" max="11010" width="8.140625" customWidth="1"/>
    <col min="11011" max="11023" width="11.140625" bestFit="1" customWidth="1"/>
    <col min="11265" max="11265" width="27.5703125" bestFit="1" customWidth="1"/>
    <col min="11266" max="11266" width="8.140625" customWidth="1"/>
    <col min="11267" max="11279" width="11.140625" bestFit="1" customWidth="1"/>
    <col min="11521" max="11521" width="27.5703125" bestFit="1" customWidth="1"/>
    <col min="11522" max="11522" width="8.140625" customWidth="1"/>
    <col min="11523" max="11535" width="11.140625" bestFit="1" customWidth="1"/>
    <col min="11777" max="11777" width="27.5703125" bestFit="1" customWidth="1"/>
    <col min="11778" max="11778" width="8.140625" customWidth="1"/>
    <col min="11779" max="11791" width="11.140625" bestFit="1" customWidth="1"/>
    <col min="12033" max="12033" width="27.5703125" bestFit="1" customWidth="1"/>
    <col min="12034" max="12034" width="8.140625" customWidth="1"/>
    <col min="12035" max="12047" width="11.140625" bestFit="1" customWidth="1"/>
    <col min="12289" max="12289" width="27.5703125" bestFit="1" customWidth="1"/>
    <col min="12290" max="12290" width="8.140625" customWidth="1"/>
    <col min="12291" max="12303" width="11.140625" bestFit="1" customWidth="1"/>
    <col min="12545" max="12545" width="27.5703125" bestFit="1" customWidth="1"/>
    <col min="12546" max="12546" width="8.140625" customWidth="1"/>
    <col min="12547" max="12559" width="11.140625" bestFit="1" customWidth="1"/>
    <col min="12801" max="12801" width="27.5703125" bestFit="1" customWidth="1"/>
    <col min="12802" max="12802" width="8.140625" customWidth="1"/>
    <col min="12803" max="12815" width="11.140625" bestFit="1" customWidth="1"/>
    <col min="13057" max="13057" width="27.5703125" bestFit="1" customWidth="1"/>
    <col min="13058" max="13058" width="8.140625" customWidth="1"/>
    <col min="13059" max="13071" width="11.140625" bestFit="1" customWidth="1"/>
    <col min="13313" max="13313" width="27.5703125" bestFit="1" customWidth="1"/>
    <col min="13314" max="13314" width="8.140625" customWidth="1"/>
    <col min="13315" max="13327" width="11.140625" bestFit="1" customWidth="1"/>
    <col min="13569" max="13569" width="27.5703125" bestFit="1" customWidth="1"/>
    <col min="13570" max="13570" width="8.140625" customWidth="1"/>
    <col min="13571" max="13583" width="11.140625" bestFit="1" customWidth="1"/>
    <col min="13825" max="13825" width="27.5703125" bestFit="1" customWidth="1"/>
    <col min="13826" max="13826" width="8.140625" customWidth="1"/>
    <col min="13827" max="13839" width="11.140625" bestFit="1" customWidth="1"/>
    <col min="14081" max="14081" width="27.5703125" bestFit="1" customWidth="1"/>
    <col min="14082" max="14082" width="8.140625" customWidth="1"/>
    <col min="14083" max="14095" width="11.140625" bestFit="1" customWidth="1"/>
    <col min="14337" max="14337" width="27.5703125" bestFit="1" customWidth="1"/>
    <col min="14338" max="14338" width="8.140625" customWidth="1"/>
    <col min="14339" max="14351" width="11.140625" bestFit="1" customWidth="1"/>
    <col min="14593" max="14593" width="27.5703125" bestFit="1" customWidth="1"/>
    <col min="14594" max="14594" width="8.140625" customWidth="1"/>
    <col min="14595" max="14607" width="11.140625" bestFit="1" customWidth="1"/>
    <col min="14849" max="14849" width="27.5703125" bestFit="1" customWidth="1"/>
    <col min="14850" max="14850" width="8.140625" customWidth="1"/>
    <col min="14851" max="14863" width="11.140625" bestFit="1" customWidth="1"/>
    <col min="15105" max="15105" width="27.5703125" bestFit="1" customWidth="1"/>
    <col min="15106" max="15106" width="8.140625" customWidth="1"/>
    <col min="15107" max="15119" width="11.140625" bestFit="1" customWidth="1"/>
    <col min="15361" max="15361" width="27.5703125" bestFit="1" customWidth="1"/>
    <col min="15362" max="15362" width="8.140625" customWidth="1"/>
    <col min="15363" max="15375" width="11.140625" bestFit="1" customWidth="1"/>
    <col min="15617" max="15617" width="27.5703125" bestFit="1" customWidth="1"/>
    <col min="15618" max="15618" width="8.140625" customWidth="1"/>
    <col min="15619" max="15631" width="11.140625" bestFit="1" customWidth="1"/>
    <col min="15873" max="15873" width="27.5703125" bestFit="1" customWidth="1"/>
    <col min="15874" max="15874" width="8.140625" customWidth="1"/>
    <col min="15875" max="15887" width="11.140625" bestFit="1" customWidth="1"/>
    <col min="16129" max="16129" width="27.5703125" bestFit="1" customWidth="1"/>
    <col min="16130" max="16130" width="8.140625" customWidth="1"/>
    <col min="16131" max="16143" width="11.140625" bestFit="1" customWidth="1"/>
  </cols>
  <sheetData>
    <row r="1" spans="1:16">
      <c r="B1" s="3">
        <f t="shared" ref="B1:N1" si="0">DATE(YEAR(C1),MONTH(C1)-1,DAY(C1))</f>
        <v>43922</v>
      </c>
      <c r="C1" s="3">
        <f t="shared" si="0"/>
        <v>43952</v>
      </c>
      <c r="D1" s="3">
        <f t="shared" si="0"/>
        <v>43983</v>
      </c>
      <c r="E1" s="3">
        <f t="shared" si="0"/>
        <v>44013</v>
      </c>
      <c r="F1" s="3">
        <f t="shared" si="0"/>
        <v>44044</v>
      </c>
      <c r="G1" s="3">
        <f t="shared" si="0"/>
        <v>44075</v>
      </c>
      <c r="H1" s="3">
        <f t="shared" si="0"/>
        <v>44105</v>
      </c>
      <c r="I1" s="3">
        <f t="shared" si="0"/>
        <v>44136</v>
      </c>
      <c r="J1" s="3">
        <f t="shared" si="0"/>
        <v>44166</v>
      </c>
      <c r="K1" s="3">
        <f t="shared" si="0"/>
        <v>44197</v>
      </c>
      <c r="L1" s="3">
        <f t="shared" si="0"/>
        <v>44228</v>
      </c>
      <c r="M1" s="3">
        <f t="shared" si="0"/>
        <v>44256</v>
      </c>
      <c r="N1" s="3">
        <f t="shared" si="0"/>
        <v>44287</v>
      </c>
      <c r="O1" s="3">
        <f>DATE(YEAR(P1),MONTH(P1)-1,DAY(P1))</f>
        <v>44317</v>
      </c>
      <c r="P1" s="3">
        <v>44348</v>
      </c>
    </row>
    <row r="2" spans="1:16">
      <c r="A2" s="2" t="s">
        <v>136</v>
      </c>
      <c r="B2" t="s">
        <v>313</v>
      </c>
      <c r="C2" t="s">
        <v>313</v>
      </c>
      <c r="D2" t="s">
        <v>313</v>
      </c>
      <c r="E2" t="s">
        <v>313</v>
      </c>
      <c r="F2" t="s">
        <v>313</v>
      </c>
      <c r="G2" t="s">
        <v>313</v>
      </c>
      <c r="H2" t="s">
        <v>313</v>
      </c>
      <c r="I2" t="s">
        <v>313</v>
      </c>
      <c r="J2" t="s">
        <v>313</v>
      </c>
      <c r="K2" t="s">
        <v>313</v>
      </c>
      <c r="L2" t="s">
        <v>313</v>
      </c>
      <c r="M2" t="s">
        <v>313</v>
      </c>
      <c r="N2" t="s">
        <v>313</v>
      </c>
      <c r="O2" t="s">
        <v>313</v>
      </c>
      <c r="P2" t="s">
        <v>313</v>
      </c>
    </row>
    <row r="3" spans="1:16">
      <c r="A3" s="2" t="s">
        <v>137</v>
      </c>
      <c r="B3" t="s">
        <v>314</v>
      </c>
      <c r="C3" t="s">
        <v>314</v>
      </c>
      <c r="D3" t="s">
        <v>314</v>
      </c>
      <c r="E3" t="s">
        <v>314</v>
      </c>
      <c r="F3" t="s">
        <v>314</v>
      </c>
      <c r="G3" t="s">
        <v>314</v>
      </c>
      <c r="H3" t="s">
        <v>314</v>
      </c>
      <c r="I3" t="s">
        <v>314</v>
      </c>
      <c r="J3" t="s">
        <v>314</v>
      </c>
      <c r="K3" t="s">
        <v>314</v>
      </c>
      <c r="L3" t="s">
        <v>314</v>
      </c>
      <c r="M3" t="s">
        <v>314</v>
      </c>
      <c r="N3" t="s">
        <v>314</v>
      </c>
      <c r="O3" t="s">
        <v>314</v>
      </c>
      <c r="P3" t="s">
        <v>314</v>
      </c>
    </row>
    <row r="4" spans="1:16">
      <c r="A4" s="2" t="s">
        <v>160</v>
      </c>
      <c r="B4" t="s">
        <v>27</v>
      </c>
      <c r="C4" t="s">
        <v>27</v>
      </c>
      <c r="D4" t="s">
        <v>27</v>
      </c>
      <c r="E4" t="s">
        <v>27</v>
      </c>
      <c r="F4" t="s">
        <v>27</v>
      </c>
      <c r="G4" t="s">
        <v>27</v>
      </c>
      <c r="H4" t="s">
        <v>27</v>
      </c>
      <c r="I4" t="s">
        <v>27</v>
      </c>
      <c r="J4" t="s">
        <v>27</v>
      </c>
      <c r="K4" t="s">
        <v>27</v>
      </c>
      <c r="L4" t="s">
        <v>27</v>
      </c>
      <c r="M4" t="s">
        <v>27</v>
      </c>
      <c r="N4" t="s">
        <v>27</v>
      </c>
      <c r="O4" t="s">
        <v>27</v>
      </c>
      <c r="P4" t="s">
        <v>27</v>
      </c>
    </row>
    <row r="5" spans="1:16">
      <c r="A5" s="2" t="s">
        <v>138</v>
      </c>
      <c r="B5" t="s">
        <v>27</v>
      </c>
      <c r="C5" t="s">
        <v>27</v>
      </c>
      <c r="D5" t="s">
        <v>27</v>
      </c>
      <c r="E5" t="s">
        <v>27</v>
      </c>
      <c r="F5" t="s">
        <v>27</v>
      </c>
      <c r="G5" t="s">
        <v>27</v>
      </c>
      <c r="H5" t="s">
        <v>27</v>
      </c>
      <c r="I5" t="s">
        <v>27</v>
      </c>
      <c r="J5" t="s">
        <v>27</v>
      </c>
      <c r="K5" t="s">
        <v>27</v>
      </c>
      <c r="L5" t="s">
        <v>27</v>
      </c>
      <c r="M5" t="s">
        <v>27</v>
      </c>
      <c r="N5" t="s">
        <v>27</v>
      </c>
      <c r="O5" t="s">
        <v>27</v>
      </c>
      <c r="P5" t="s">
        <v>27</v>
      </c>
    </row>
    <row r="6" spans="1:16">
      <c r="A6" s="2" t="s">
        <v>139</v>
      </c>
      <c r="B6" t="s">
        <v>313</v>
      </c>
      <c r="C6" t="s">
        <v>313</v>
      </c>
      <c r="D6" t="s">
        <v>313</v>
      </c>
      <c r="E6" t="s">
        <v>313</v>
      </c>
      <c r="F6" t="s">
        <v>313</v>
      </c>
      <c r="G6" t="s">
        <v>313</v>
      </c>
      <c r="H6" t="s">
        <v>313</v>
      </c>
      <c r="I6" t="s">
        <v>313</v>
      </c>
      <c r="J6" t="s">
        <v>313</v>
      </c>
      <c r="K6" t="s">
        <v>313</v>
      </c>
      <c r="L6" t="s">
        <v>313</v>
      </c>
      <c r="M6" t="s">
        <v>313</v>
      </c>
      <c r="N6" t="s">
        <v>313</v>
      </c>
      <c r="O6" t="s">
        <v>313</v>
      </c>
      <c r="P6" t="s">
        <v>313</v>
      </c>
    </row>
    <row r="7" spans="1:16">
      <c r="A7" s="2" t="s">
        <v>140</v>
      </c>
      <c r="B7" t="s">
        <v>408</v>
      </c>
      <c r="C7" t="s">
        <v>408</v>
      </c>
      <c r="D7" t="s">
        <v>408</v>
      </c>
      <c r="E7" s="166" t="s">
        <v>408</v>
      </c>
      <c r="F7" s="166" t="s">
        <v>408</v>
      </c>
      <c r="G7" s="166" t="s">
        <v>408</v>
      </c>
      <c r="H7" s="166" t="s">
        <v>408</v>
      </c>
      <c r="I7" s="166" t="s">
        <v>408</v>
      </c>
      <c r="J7" s="166" t="s">
        <v>408</v>
      </c>
      <c r="K7" s="166" t="s">
        <v>408</v>
      </c>
      <c r="L7" s="166" t="s">
        <v>408</v>
      </c>
      <c r="M7" s="166" t="s">
        <v>408</v>
      </c>
      <c r="N7" s="166" t="s">
        <v>408</v>
      </c>
      <c r="O7" s="166" t="s">
        <v>408</v>
      </c>
      <c r="P7" s="166" t="s">
        <v>408</v>
      </c>
    </row>
    <row r="8" spans="1:16">
      <c r="A8" s="2" t="s">
        <v>141</v>
      </c>
      <c r="B8" t="s">
        <v>313</v>
      </c>
      <c r="C8" t="s">
        <v>313</v>
      </c>
      <c r="D8" t="s">
        <v>313</v>
      </c>
      <c r="E8" t="s">
        <v>313</v>
      </c>
      <c r="F8" t="s">
        <v>313</v>
      </c>
      <c r="G8" t="s">
        <v>313</v>
      </c>
      <c r="H8" t="s">
        <v>313</v>
      </c>
      <c r="I8" t="s">
        <v>313</v>
      </c>
      <c r="J8" t="s">
        <v>313</v>
      </c>
      <c r="K8" t="s">
        <v>313</v>
      </c>
      <c r="L8" t="s">
        <v>313</v>
      </c>
      <c r="M8" t="s">
        <v>313</v>
      </c>
      <c r="N8" t="s">
        <v>313</v>
      </c>
      <c r="O8" t="s">
        <v>313</v>
      </c>
      <c r="P8" t="s">
        <v>313</v>
      </c>
    </row>
    <row r="9" spans="1:16">
      <c r="A9" s="2" t="s">
        <v>142</v>
      </c>
      <c r="B9" t="s">
        <v>314</v>
      </c>
      <c r="C9" t="s">
        <v>314</v>
      </c>
      <c r="D9" t="s">
        <v>314</v>
      </c>
      <c r="E9" t="s">
        <v>314</v>
      </c>
      <c r="F9" t="s">
        <v>314</v>
      </c>
      <c r="G9" t="s">
        <v>314</v>
      </c>
      <c r="H9" t="s">
        <v>314</v>
      </c>
      <c r="I9" t="s">
        <v>314</v>
      </c>
      <c r="J9" t="s">
        <v>314</v>
      </c>
      <c r="K9" t="s">
        <v>314</v>
      </c>
      <c r="L9" t="s">
        <v>314</v>
      </c>
      <c r="M9" t="s">
        <v>314</v>
      </c>
      <c r="N9" t="s">
        <v>314</v>
      </c>
      <c r="O9" t="s">
        <v>314</v>
      </c>
      <c r="P9" t="s">
        <v>314</v>
      </c>
    </row>
    <row r="10" spans="1:16">
      <c r="A10" s="2" t="s">
        <v>192</v>
      </c>
      <c r="B10" t="s">
        <v>314</v>
      </c>
      <c r="C10" t="s">
        <v>314</v>
      </c>
      <c r="D10" t="s">
        <v>314</v>
      </c>
      <c r="E10" t="s">
        <v>314</v>
      </c>
      <c r="F10" t="s">
        <v>314</v>
      </c>
      <c r="G10" t="s">
        <v>314</v>
      </c>
      <c r="H10" t="s">
        <v>314</v>
      </c>
      <c r="I10" t="s">
        <v>314</v>
      </c>
      <c r="J10" t="s">
        <v>314</v>
      </c>
      <c r="K10" t="s">
        <v>314</v>
      </c>
      <c r="L10" t="s">
        <v>314</v>
      </c>
      <c r="M10" t="s">
        <v>314</v>
      </c>
      <c r="N10" t="s">
        <v>314</v>
      </c>
      <c r="O10" t="s">
        <v>314</v>
      </c>
      <c r="P10" t="s">
        <v>314</v>
      </c>
    </row>
    <row r="11" spans="1:16">
      <c r="A11" s="2" t="s">
        <v>143</v>
      </c>
      <c r="B11" t="s">
        <v>314</v>
      </c>
      <c r="C11" t="s">
        <v>314</v>
      </c>
      <c r="D11" t="s">
        <v>314</v>
      </c>
      <c r="E11" t="s">
        <v>314</v>
      </c>
      <c r="F11" t="s">
        <v>314</v>
      </c>
      <c r="G11" t="s">
        <v>314</v>
      </c>
      <c r="H11" t="s">
        <v>314</v>
      </c>
      <c r="I11" t="s">
        <v>314</v>
      </c>
      <c r="J11" t="s">
        <v>314</v>
      </c>
      <c r="K11" t="s">
        <v>314</v>
      </c>
      <c r="L11" t="s">
        <v>314</v>
      </c>
      <c r="M11" t="s">
        <v>314</v>
      </c>
      <c r="N11" t="s">
        <v>314</v>
      </c>
      <c r="O11" t="s">
        <v>314</v>
      </c>
      <c r="P11" t="s">
        <v>314</v>
      </c>
    </row>
    <row r="12" spans="1:16">
      <c r="A12" s="2" t="s">
        <v>144</v>
      </c>
      <c r="B12" t="s">
        <v>27</v>
      </c>
      <c r="C12" t="s">
        <v>27</v>
      </c>
      <c r="D12" t="s">
        <v>27</v>
      </c>
      <c r="E12" t="s">
        <v>27</v>
      </c>
      <c r="F12" t="s">
        <v>27</v>
      </c>
      <c r="G12" t="s">
        <v>27</v>
      </c>
      <c r="H12" t="s">
        <v>27</v>
      </c>
      <c r="I12" t="s">
        <v>27</v>
      </c>
      <c r="J12" t="s">
        <v>27</v>
      </c>
      <c r="K12" t="s">
        <v>27</v>
      </c>
      <c r="L12" t="s">
        <v>27</v>
      </c>
      <c r="M12" t="s">
        <v>27</v>
      </c>
      <c r="N12" t="s">
        <v>27</v>
      </c>
      <c r="O12" t="s">
        <v>27</v>
      </c>
      <c r="P12" t="s">
        <v>27</v>
      </c>
    </row>
    <row r="13" spans="1:16">
      <c r="A13" s="2" t="s">
        <v>145</v>
      </c>
      <c r="B13" t="s">
        <v>313</v>
      </c>
      <c r="C13" t="s">
        <v>313</v>
      </c>
      <c r="D13" t="s">
        <v>313</v>
      </c>
      <c r="E13" t="s">
        <v>313</v>
      </c>
      <c r="F13" t="s">
        <v>313</v>
      </c>
      <c r="G13" t="s">
        <v>313</v>
      </c>
      <c r="H13" t="s">
        <v>313</v>
      </c>
      <c r="I13" t="s">
        <v>313</v>
      </c>
      <c r="J13" t="s">
        <v>313</v>
      </c>
      <c r="K13" t="s">
        <v>313</v>
      </c>
      <c r="L13" t="s">
        <v>313</v>
      </c>
      <c r="M13" t="s">
        <v>313</v>
      </c>
      <c r="N13" t="s">
        <v>313</v>
      </c>
      <c r="O13" t="s">
        <v>313</v>
      </c>
      <c r="P13" t="s">
        <v>313</v>
      </c>
    </row>
    <row r="14" spans="1:16">
      <c r="A14" s="2" t="s">
        <v>146</v>
      </c>
      <c r="B14" t="s">
        <v>314</v>
      </c>
      <c r="C14" t="s">
        <v>314</v>
      </c>
      <c r="D14" t="s">
        <v>314</v>
      </c>
      <c r="E14" t="s">
        <v>314</v>
      </c>
      <c r="F14" t="s">
        <v>314</v>
      </c>
      <c r="G14" t="s">
        <v>314</v>
      </c>
      <c r="H14" t="s">
        <v>314</v>
      </c>
      <c r="I14" t="s">
        <v>314</v>
      </c>
      <c r="J14" t="s">
        <v>314</v>
      </c>
      <c r="K14" t="s">
        <v>314</v>
      </c>
      <c r="L14" t="s">
        <v>314</v>
      </c>
      <c r="M14" t="s">
        <v>314</v>
      </c>
      <c r="N14" t="s">
        <v>314</v>
      </c>
      <c r="O14" t="s">
        <v>314</v>
      </c>
      <c r="P14" t="s">
        <v>314</v>
      </c>
    </row>
    <row r="15" spans="1:16">
      <c r="A15" s="2" t="s">
        <v>147</v>
      </c>
      <c r="B15" t="s">
        <v>314</v>
      </c>
      <c r="C15" t="s">
        <v>314</v>
      </c>
      <c r="D15" t="s">
        <v>314</v>
      </c>
      <c r="E15" t="s">
        <v>314</v>
      </c>
      <c r="F15" t="s">
        <v>314</v>
      </c>
      <c r="G15" t="s">
        <v>314</v>
      </c>
      <c r="H15" t="s">
        <v>314</v>
      </c>
      <c r="I15" t="s">
        <v>314</v>
      </c>
      <c r="J15" t="s">
        <v>314</v>
      </c>
      <c r="K15" t="s">
        <v>314</v>
      </c>
      <c r="L15" t="s">
        <v>314</v>
      </c>
      <c r="M15" t="s">
        <v>314</v>
      </c>
      <c r="N15" t="s">
        <v>314</v>
      </c>
      <c r="O15" t="s">
        <v>314</v>
      </c>
      <c r="P15" t="s">
        <v>314</v>
      </c>
    </row>
    <row r="16" spans="1:16">
      <c r="A16" s="114" t="s">
        <v>28</v>
      </c>
      <c r="B16" t="s">
        <v>315</v>
      </c>
      <c r="C16" t="s">
        <v>315</v>
      </c>
      <c r="D16" t="s">
        <v>315</v>
      </c>
      <c r="E16" t="s">
        <v>315</v>
      </c>
      <c r="F16" t="s">
        <v>315</v>
      </c>
      <c r="G16" t="s">
        <v>315</v>
      </c>
      <c r="H16" t="s">
        <v>315</v>
      </c>
      <c r="I16" t="s">
        <v>315</v>
      </c>
      <c r="J16" t="s">
        <v>315</v>
      </c>
      <c r="K16" t="s">
        <v>315</v>
      </c>
      <c r="L16" t="s">
        <v>315</v>
      </c>
      <c r="M16" t="s">
        <v>315</v>
      </c>
      <c r="N16" t="s">
        <v>315</v>
      </c>
      <c r="O16" t="s">
        <v>315</v>
      </c>
      <c r="P16" t="s">
        <v>315</v>
      </c>
    </row>
    <row r="17" spans="1:16">
      <c r="A17" s="114" t="s">
        <v>328</v>
      </c>
      <c r="B17" t="s">
        <v>27</v>
      </c>
      <c r="C17" t="s">
        <v>27</v>
      </c>
      <c r="D17" t="s">
        <v>27</v>
      </c>
      <c r="E17" t="s">
        <v>27</v>
      </c>
      <c r="F17" t="s">
        <v>27</v>
      </c>
      <c r="G17" t="s">
        <v>27</v>
      </c>
      <c r="H17" t="s">
        <v>315</v>
      </c>
      <c r="I17" t="s">
        <v>27</v>
      </c>
      <c r="J17" t="s">
        <v>27</v>
      </c>
      <c r="K17" t="s">
        <v>27</v>
      </c>
      <c r="L17" t="s">
        <v>315</v>
      </c>
      <c r="M17" t="s">
        <v>27</v>
      </c>
      <c r="N17" t="s">
        <v>27</v>
      </c>
      <c r="O17" t="s">
        <v>27</v>
      </c>
      <c r="P17" t="s">
        <v>315</v>
      </c>
    </row>
    <row r="18" spans="1:16">
      <c r="A18" s="114" t="s">
        <v>327</v>
      </c>
      <c r="B18" t="s">
        <v>315</v>
      </c>
      <c r="C18" t="s">
        <v>315</v>
      </c>
      <c r="D18" t="s">
        <v>315</v>
      </c>
      <c r="E18" t="s">
        <v>315</v>
      </c>
      <c r="F18" t="s">
        <v>315</v>
      </c>
      <c r="G18" t="s">
        <v>315</v>
      </c>
      <c r="H18" t="s">
        <v>315</v>
      </c>
      <c r="I18" t="s">
        <v>315</v>
      </c>
      <c r="J18" t="s">
        <v>315</v>
      </c>
      <c r="K18" t="s">
        <v>315</v>
      </c>
      <c r="L18" t="s">
        <v>315</v>
      </c>
      <c r="M18" t="s">
        <v>315</v>
      </c>
      <c r="N18" t="s">
        <v>315</v>
      </c>
      <c r="O18" t="s">
        <v>315</v>
      </c>
      <c r="P18" t="s">
        <v>315</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2:U90"/>
  <sheetViews>
    <sheetView topLeftCell="A4" workbookViewId="0">
      <selection activeCell="E8" sqref="E8"/>
    </sheetView>
  </sheetViews>
  <sheetFormatPr defaultRowHeight="15"/>
  <cols>
    <col min="1" max="5" width="27.85546875" customWidth="1"/>
    <col min="6" max="6" width="10.5703125" customWidth="1"/>
    <col min="7" max="7" width="11.42578125" customWidth="1"/>
    <col min="8" max="8" width="9.28515625" customWidth="1"/>
    <col min="9" max="9" width="9.7109375" customWidth="1"/>
  </cols>
  <sheetData>
    <row r="2" spans="1:21">
      <c r="A2" t="s">
        <v>302</v>
      </c>
    </row>
    <row r="3" spans="1:21">
      <c r="A3" t="s">
        <v>175</v>
      </c>
      <c r="I3" t="s">
        <v>177</v>
      </c>
    </row>
    <row r="4" spans="1:21">
      <c r="A4" t="s">
        <v>177</v>
      </c>
      <c r="F4" t="s">
        <v>358</v>
      </c>
    </row>
    <row r="5" spans="1:21">
      <c r="B5" s="3">
        <f>REPORT_raw_dataseen!F1</f>
        <v>43983</v>
      </c>
      <c r="C5" s="3">
        <f>REPORT_raw_dataseen!I1</f>
        <v>44075</v>
      </c>
      <c r="D5" s="3">
        <f>REPORT_raw_dataseen!L1</f>
        <v>44166</v>
      </c>
      <c r="E5" s="3">
        <f>REPORT_raw_dataseen!O1</f>
        <v>44256</v>
      </c>
      <c r="F5" s="3">
        <f>REPORT_raw_dataseen!R1</f>
        <v>44348</v>
      </c>
      <c r="G5" s="57"/>
      <c r="H5" s="57"/>
      <c r="I5" s="57"/>
      <c r="J5" s="57"/>
      <c r="K5" s="57"/>
      <c r="L5" s="57"/>
      <c r="M5" s="57"/>
      <c r="N5" s="57"/>
      <c r="O5" s="57"/>
      <c r="P5" s="57"/>
      <c r="Q5" s="57"/>
      <c r="R5" s="57"/>
      <c r="S5" s="57"/>
      <c r="T5" s="57"/>
    </row>
    <row r="6" spans="1:21">
      <c r="A6" s="50"/>
      <c r="B6" s="50"/>
      <c r="C6" s="50"/>
      <c r="D6" s="50"/>
      <c r="E6" s="50"/>
      <c r="F6" s="51"/>
      <c r="G6" s="51"/>
      <c r="H6" s="51"/>
      <c r="I6" s="51"/>
      <c r="J6" s="51"/>
      <c r="K6" s="51"/>
      <c r="L6" s="51"/>
      <c r="M6" s="51"/>
      <c r="N6" s="51"/>
      <c r="O6" s="51"/>
      <c r="P6" s="51"/>
      <c r="Q6" s="51"/>
      <c r="R6" s="51"/>
      <c r="S6" s="51"/>
      <c r="T6" s="10"/>
      <c r="U6" s="10"/>
    </row>
    <row r="7" spans="1:21">
      <c r="A7" s="52" t="s">
        <v>28</v>
      </c>
      <c r="B7" s="53" t="e">
        <f>SUM(B8:B22)</f>
        <v>#N/A</v>
      </c>
      <c r="C7" s="53" t="e">
        <f>SUM(C8:C22)</f>
        <v>#N/A</v>
      </c>
      <c r="D7" s="53" t="e">
        <f>SUM(D8:D22)</f>
        <v>#VALUE!</v>
      </c>
      <c r="E7" s="53" t="e">
        <f>SUM(E8:E22)</f>
        <v>#VALUE!</v>
      </c>
      <c r="F7" s="53" t="e">
        <f>SUM(F8:F22)</f>
        <v>#VALUE!</v>
      </c>
      <c r="G7" s="53"/>
      <c r="H7" s="53"/>
      <c r="I7" s="53"/>
      <c r="J7" s="53"/>
      <c r="K7" s="53"/>
      <c r="L7" s="53"/>
      <c r="M7" s="53"/>
      <c r="N7" s="53"/>
      <c r="O7" s="53"/>
      <c r="P7" s="53"/>
      <c r="Q7" s="53"/>
      <c r="R7" s="53"/>
      <c r="S7" s="53"/>
      <c r="T7" s="53"/>
      <c r="U7" s="53"/>
    </row>
    <row r="8" spans="1:21">
      <c r="A8" s="50" t="s">
        <v>136</v>
      </c>
      <c r="B8" s="53">
        <f>+VLOOKUP($A8&amp;$A$2,REPORT_raw_dataseen!$A$1:$R$721, MATCH(Referrals_pub!B$5,REPORT_raw_dataseen!$D$1:$R$1,1)+3,FALSE)+VLOOKUP($A8&amp;$A$2,REPORT_raw_dataseen!$A$1:$R$721, MATCH(Referrals_pub!B$5,REPORT_raw_dataseen!$D$1:$R$1,1)+2,FALSE)+VLOOKUP($A8&amp;$A$2,REPORT_raw_dataseen!$A$1:$R$721, MATCH(Referrals_pub!B$5,REPORT_raw_dataseen!$D$1:$R$1,1)+1,FALSE)</f>
        <v>595</v>
      </c>
      <c r="C8" s="53">
        <f>+VLOOKUP($A8&amp;$A$2,REPORT_raw_dataseen!$A$1:$R$721, MATCH(Referrals_pub!C$5,REPORT_raw_dataseen!$D$1:$R$1,1)+3,FALSE)+VLOOKUP($A8&amp;$A$2,REPORT_raw_dataseen!$A$1:$R$721, MATCH(Referrals_pub!C$5,REPORT_raw_dataseen!$D$1:$R$1,1)+2,FALSE)+VLOOKUP($A8&amp;$A$2,REPORT_raw_dataseen!$A$1:$R$721, MATCH(Referrals_pub!C$5,REPORT_raw_dataseen!$D$1:$R$1,1)+1,FALSE)</f>
        <v>1101</v>
      </c>
      <c r="D8" s="53">
        <f>+VLOOKUP($A8&amp;$A$2,REPORT_raw_dataseen!$A$1:$R$721, MATCH(Referrals_pub!D$5,REPORT_raw_dataseen!$D$1:$R$1,1)+3,FALSE)+VLOOKUP($A8&amp;$A$2,REPORT_raw_dataseen!$A$1:$R$721, MATCH(Referrals_pub!D$5,REPORT_raw_dataseen!$D$1:$R$1,1)+2,FALSE)+VLOOKUP($A8&amp;$A$2,REPORT_raw_dataseen!$A$1:$R$721, MATCH(Referrals_pub!D$5,REPORT_raw_dataseen!$D$1:$R$1,1)+1,FALSE)</f>
        <v>1171</v>
      </c>
      <c r="E8" s="53">
        <f>+VLOOKUP(A8&amp;A$2,REPORT_raw_dataseen!$A$1:$R$721, MATCH(Referrals_pub!E$5,REPORT_raw_dataseen!$D$1:$R$1,1)+3,FALSE)+VLOOKUP(A8&amp;A$2,REPORT_raw_dataseen!$A$1:$R$721, MATCH(Referrals_pub!E$5,REPORT_raw_dataseen!$D$1:$R$1,1)+2,FALSE)+VLOOKUP(A8&amp;A$2,REPORT_raw_dataseen!$A$1:$R$721, MATCH(Referrals_pub!E$5,REPORT_raw_dataseen!$D$1:$R$1,1)+1,FALSE)</f>
        <v>1310</v>
      </c>
      <c r="F8" s="53">
        <f>+VLOOKUP(A8&amp;A$2,REPORT_raw_dataseen!$A$1:$R$721, MATCH(Referrals_pub!F$5,REPORT_raw_dataseen!$D$1:$R$1,1)+3,FALSE)+VLOOKUP(A8&amp;A$2,REPORT_raw_dataseen!$A$1:$R$721, MATCH(Referrals_pub!F$5,REPORT_raw_dataseen!$D$1:$R$1,1)+2,FALSE)+VLOOKUP(A8&amp;A$2,REPORT_raw_dataseen!$A$1:$R$721, MATCH(Referrals_pub!F$5,REPORT_raw_dataseen!$D$1:$R$1,1)+1,FALSE)</f>
        <v>1249</v>
      </c>
      <c r="G8" s="53"/>
      <c r="H8" s="53"/>
      <c r="I8" s="53"/>
      <c r="J8" s="53"/>
      <c r="K8" s="53"/>
      <c r="L8" s="53"/>
      <c r="M8" s="53"/>
      <c r="N8" s="53"/>
      <c r="O8" s="53"/>
      <c r="P8" s="53"/>
      <c r="Q8" s="53"/>
      <c r="R8" s="53"/>
      <c r="S8" s="53"/>
      <c r="T8" s="53"/>
      <c r="U8" s="53"/>
    </row>
    <row r="9" spans="1:21">
      <c r="A9" s="50" t="s">
        <v>137</v>
      </c>
      <c r="B9" s="53">
        <f>+VLOOKUP($A9&amp;$A$2,REPORT_raw_dataseen!$A$1:$R$721, MATCH(Referrals_pub!B$5,REPORT_raw_dataseen!$D$1:$R$1,1)+3,FALSE)+VLOOKUP($A9&amp;$A$2,REPORT_raw_dataseen!$A$1:$R$721, MATCH(Referrals_pub!B$5,REPORT_raw_dataseen!$D$1:$R$1,1)+2,FALSE)+VLOOKUP($A9&amp;$A$2,REPORT_raw_dataseen!$A$1:$R$721, MATCH(Referrals_pub!B$5,REPORT_raw_dataseen!$D$1:$R$1,1)+1,FALSE)</f>
        <v>140</v>
      </c>
      <c r="C9" s="53">
        <f>+VLOOKUP($A9&amp;$A$2,REPORT_raw_dataseen!$A$1:$R$721, MATCH(Referrals_pub!C$5,REPORT_raw_dataseen!$D$1:$R$1,1)+3,FALSE)+VLOOKUP($A9&amp;$A$2,REPORT_raw_dataseen!$A$1:$R$721, MATCH(Referrals_pub!C$5,REPORT_raw_dataseen!$D$1:$R$1,1)+2,FALSE)+VLOOKUP($A9&amp;$A$2,REPORT_raw_dataseen!$A$1:$R$721, MATCH(Referrals_pub!C$5,REPORT_raw_dataseen!$D$1:$R$1,1)+1,FALSE)</f>
        <v>206</v>
      </c>
      <c r="D9" s="53">
        <f>+VLOOKUP(A9&amp;A$2,REPORT_raw_dataseen!$A$1:$R$721, MATCH(Referrals_pub!D$5,REPORT_raw_dataseen!$D$1:$R$1,1)+3,FALSE)+VLOOKUP(A9&amp;A$2,REPORT_raw_dataseen!$A$1:$R$721, MATCH(Referrals_pub!D$5,REPORT_raw_dataseen!$D$1:$R$1,1)+2,FALSE)+VLOOKUP(A9&amp;A$2,REPORT_raw_dataseen!$A$1:$R$721, MATCH(Referrals_pub!D$5,REPORT_raw_dataseen!$D$1:$R$1,1)+1,FALSE)</f>
        <v>565</v>
      </c>
      <c r="E9" s="53">
        <f>+VLOOKUP(A9&amp;A$2,REPORT_raw_dataseen!$A$1:$R$721, MATCH(Referrals_pub!E$5,REPORT_raw_dataseen!$D$1:$R$1,1)+3,FALSE)+VLOOKUP(A9&amp;A$2,REPORT_raw_dataseen!$A$1:$R$721, MATCH(Referrals_pub!E$5,REPORT_raw_dataseen!$D$1:$R$1,1)+2,FALSE)+VLOOKUP(A9&amp;A$2,REPORT_raw_dataseen!$A$1:$R$721, MATCH(Referrals_pub!E$5,REPORT_raw_dataseen!$D$1:$R$1,1)+1,FALSE)</f>
        <v>613</v>
      </c>
      <c r="F9" s="53">
        <f>+VLOOKUP(A9&amp;A$2,REPORT_raw_dataseen!$A$1:$R$721, MATCH(Referrals_pub!F$5,REPORT_raw_dataseen!$D$1:$R$1,1)+3,FALSE)+VLOOKUP(A9&amp;A$2,REPORT_raw_dataseen!$A$1:$R$721, MATCH(Referrals_pub!F$5,REPORT_raw_dataseen!$D$1:$R$1,1)+2,FALSE)+VLOOKUP(A9&amp;A$2,REPORT_raw_dataseen!$A$1:$R$721, MATCH(Referrals_pub!F$5,REPORT_raw_dataseen!$D$1:$R$1,1)+1,FALSE)</f>
        <v>1392</v>
      </c>
      <c r="G9" s="53"/>
      <c r="H9" s="53"/>
      <c r="I9" s="53"/>
      <c r="J9" s="53"/>
      <c r="K9" s="53"/>
      <c r="L9" s="53"/>
      <c r="M9" s="53"/>
      <c r="N9" s="53"/>
      <c r="O9" s="53"/>
      <c r="P9" s="53"/>
      <c r="Q9" s="53"/>
      <c r="R9" s="53"/>
      <c r="S9" s="53"/>
      <c r="T9" s="53"/>
      <c r="U9" s="53"/>
    </row>
    <row r="10" spans="1:21">
      <c r="A10" s="50" t="s">
        <v>160</v>
      </c>
      <c r="B10" s="53">
        <f>+VLOOKUP($A10&amp;$A$2,REPORT_raw_dataseen!$A$1:$R$721, MATCH(Referrals_pub!B$5,REPORT_raw_dataseen!$D$1:$R$1,1)+3,FALSE)+VLOOKUP($A10&amp;$A$2,REPORT_raw_dataseen!$A$1:$R$721, MATCH(Referrals_pub!B$5,REPORT_raw_dataseen!$D$1:$R$1,1)+2,FALSE)+VLOOKUP($A10&amp;$A$2,REPORT_raw_dataseen!$A$1:$R$721, MATCH(Referrals_pub!B$5,REPORT_raw_dataseen!$D$1:$R$1,1)+1,FALSE)</f>
        <v>122</v>
      </c>
      <c r="C10" s="53">
        <f>+VLOOKUP($A10&amp;$A$2,REPORT_raw_dataseen!$A$1:$R$721, MATCH(Referrals_pub!C$5,REPORT_raw_dataseen!$D$1:$R$1,1)+3,FALSE)+VLOOKUP($A10&amp;$A$2,REPORT_raw_dataseen!$A$1:$R$721, MATCH(Referrals_pub!C$5,REPORT_raw_dataseen!$D$1:$R$1,1)+2,FALSE)+VLOOKUP($A10&amp;$A$2,REPORT_raw_dataseen!$A$1:$R$721, MATCH(Referrals_pub!C$5,REPORT_raw_dataseen!$D$1:$R$1,1)+1,FALSE)</f>
        <v>468</v>
      </c>
      <c r="D10" s="53">
        <f>+VLOOKUP(A10&amp;A$2,REPORT_raw_dataseen!$A$1:$R$721, MATCH(Referrals_pub!D$5,REPORT_raw_dataseen!$D$1:$R$1,1)+3,FALSE)+VLOOKUP(A10&amp;A$2,REPORT_raw_dataseen!$A$1:$R$721, MATCH(Referrals_pub!D$5,REPORT_raw_dataseen!$D$1:$R$1,1)+2,FALSE)+VLOOKUP(A10&amp;A$2,REPORT_raw_dataseen!$A$1:$R$721, MATCH(Referrals_pub!D$5,REPORT_raw_dataseen!$D$1:$R$1,1)+1,FALSE)</f>
        <v>808</v>
      </c>
      <c r="E10" s="53">
        <f>+VLOOKUP(A10&amp;A$2,REPORT_raw_dataseen!$A$1:$R$721, MATCH(Referrals_pub!E$5,REPORT_raw_dataseen!$D$1:$R$1,1)+3,FALSE)+VLOOKUP(A10&amp;A$2,REPORT_raw_dataseen!$A$1:$R$721, MATCH(Referrals_pub!E$5,REPORT_raw_dataseen!$D$1:$R$1,1)+2,FALSE)+VLOOKUP(A10&amp;A$2,REPORT_raw_dataseen!$A$1:$R$721, MATCH(Referrals_pub!E$5,REPORT_raw_dataseen!$D$1:$R$1,1)+1,FALSE)</f>
        <v>753</v>
      </c>
      <c r="F10" s="53">
        <f>+VLOOKUP(A10&amp;A$2,REPORT_raw_dataseen!$A$1:$R$721, MATCH(Referrals_pub!F$5,REPORT_raw_dataseen!$D$1:$R$1,1)+3,FALSE)+VLOOKUP(A10&amp;A$2,REPORT_raw_dataseen!$A$1:$R$721, MATCH(Referrals_pub!F$5,REPORT_raw_dataseen!$D$1:$R$1,1)+2,FALSE)+VLOOKUP(A10&amp;A$2,REPORT_raw_dataseen!$A$1:$R$721, MATCH(Referrals_pub!F$5,REPORT_raw_dataseen!$D$1:$R$1,1)+1,FALSE)</f>
        <v>992</v>
      </c>
      <c r="G10" s="53"/>
      <c r="H10" s="53"/>
      <c r="I10" s="53"/>
      <c r="J10" s="53"/>
      <c r="K10" s="53"/>
      <c r="L10" s="53"/>
      <c r="M10" s="53"/>
      <c r="N10" s="53"/>
      <c r="O10" s="53"/>
      <c r="P10" s="53"/>
      <c r="Q10" s="53"/>
      <c r="R10" s="53"/>
      <c r="S10" s="53"/>
      <c r="T10" s="53"/>
      <c r="U10" s="53"/>
    </row>
    <row r="11" spans="1:21">
      <c r="A11" s="50" t="s">
        <v>138</v>
      </c>
      <c r="B11" s="53">
        <f>+VLOOKUP($A11&amp;$A$2,REPORT_raw_dataseen!$A$1:$R$721, MATCH(Referrals_pub!B$5,REPORT_raw_dataseen!$D$1:$R$1,1)+3,FALSE)+VLOOKUP($A11&amp;$A$2,REPORT_raw_dataseen!$A$1:$R$721, MATCH(Referrals_pub!B$5,REPORT_raw_dataseen!$D$1:$R$1,1)+2,FALSE)+VLOOKUP($A11&amp;$A$2,REPORT_raw_dataseen!$A$1:$R$721, MATCH(Referrals_pub!B$5,REPORT_raw_dataseen!$D$1:$R$1,1)+1,FALSE)</f>
        <v>723</v>
      </c>
      <c r="C11" s="53">
        <f>+VLOOKUP($A11&amp;$A$2,REPORT_raw_dataseen!$A$1:$R$721, MATCH(Referrals_pub!C$5,REPORT_raw_dataseen!$D$1:$R$1,1)+3,FALSE)+VLOOKUP($A11&amp;$A$2,REPORT_raw_dataseen!$A$1:$R$721, MATCH(Referrals_pub!C$5,REPORT_raw_dataseen!$D$1:$R$1,1)+2,FALSE)+VLOOKUP($A11&amp;$A$2,REPORT_raw_dataseen!$A$1:$R$721, MATCH(Referrals_pub!C$5,REPORT_raw_dataseen!$D$1:$R$1,1)+1,FALSE)</f>
        <v>2087</v>
      </c>
      <c r="D11" s="53">
        <f>+VLOOKUP(A11&amp;A$2,REPORT_raw_dataseen!$A$1:$R$721, MATCH(Referrals_pub!D$5,REPORT_raw_dataseen!$D$1:$R$1,1)+3,FALSE)+VLOOKUP(A11&amp;A$2,REPORT_raw_dataseen!$A$1:$R$721, MATCH(Referrals_pub!D$5,REPORT_raw_dataseen!$D$1:$R$1,1)+2,FALSE)+VLOOKUP(A11&amp;A$2,REPORT_raw_dataseen!$A$1:$R$721, MATCH(Referrals_pub!D$5,REPORT_raw_dataseen!$D$1:$R$1,1)+1,FALSE)</f>
        <v>2622</v>
      </c>
      <c r="E11" s="53">
        <f>+VLOOKUP(A11&amp;A$2,REPORT_raw_dataseen!$A$1:$R$721, MATCH(Referrals_pub!E$5,REPORT_raw_dataseen!$D$1:$R$1,1)+3,FALSE)+VLOOKUP(A11&amp;A$2,REPORT_raw_dataseen!$A$1:$R$721, MATCH(Referrals_pub!E$5,REPORT_raw_dataseen!$D$1:$R$1,1)+2,FALSE)+VLOOKUP(A11&amp;A$2,REPORT_raw_dataseen!$A$1:$R$721, MATCH(Referrals_pub!E$5,REPORT_raw_dataseen!$D$1:$R$1,1)+1,FALSE)</f>
        <v>2372</v>
      </c>
      <c r="F11" s="53">
        <f>+VLOOKUP(A11&amp;A$2,REPORT_raw_dataseen!$A$1:$R$721, MATCH(Referrals_pub!F$5,REPORT_raw_dataseen!$D$1:$R$1,1)+3,FALSE)+VLOOKUP(A11&amp;A$2,REPORT_raw_dataseen!$A$1:$R$721, MATCH(Referrals_pub!F$5,REPORT_raw_dataseen!$D$1:$R$1,1)+2,FALSE)+VLOOKUP(A11&amp;A$2,REPORT_raw_dataseen!$A$1:$R$721, MATCH(Referrals_pub!F$5,REPORT_raw_dataseen!$D$1:$R$1,1)+1,FALSE)</f>
        <v>2964</v>
      </c>
      <c r="G11" s="53"/>
      <c r="H11" s="53"/>
      <c r="I11" s="53"/>
      <c r="J11" s="53"/>
      <c r="K11" s="53"/>
      <c r="L11" s="53"/>
      <c r="M11" s="53"/>
      <c r="N11" s="53"/>
      <c r="O11" s="53"/>
      <c r="P11" s="53"/>
      <c r="Q11" s="53"/>
      <c r="R11" s="53"/>
      <c r="S11" s="53"/>
      <c r="T11" s="53"/>
      <c r="U11" s="53"/>
    </row>
    <row r="12" spans="1:21">
      <c r="A12" s="50" t="s">
        <v>139</v>
      </c>
      <c r="B12" s="53">
        <f>+VLOOKUP($A12&amp;$A$2,REPORT_raw_dataseen!$A$1:$R$721, MATCH(Referrals_pub!B$5,REPORT_raw_dataseen!$D$1:$R$1,1)+3,FALSE)+VLOOKUP($A12&amp;$A$2,REPORT_raw_dataseen!$A$1:$R$721, MATCH(Referrals_pub!B$5,REPORT_raw_dataseen!$D$1:$R$1,1)+2,FALSE)+VLOOKUP($A12&amp;$A$2,REPORT_raw_dataseen!$A$1:$R$721, MATCH(Referrals_pub!B$5,REPORT_raw_dataseen!$D$1:$R$1,1)+1,FALSE)</f>
        <v>801</v>
      </c>
      <c r="C12" s="53">
        <f>+VLOOKUP($A12&amp;$A$2,REPORT_raw_dataseen!$A$1:$R$721, MATCH(Referrals_pub!C$5,REPORT_raw_dataseen!$D$1:$R$1,1)+3,FALSE)+VLOOKUP($A12&amp;$A$2,REPORT_raw_dataseen!$A$1:$R$721, MATCH(Referrals_pub!C$5,REPORT_raw_dataseen!$D$1:$R$1,1)+2,FALSE)+VLOOKUP($A12&amp;$A$2,REPORT_raw_dataseen!$A$1:$R$721, MATCH(Referrals_pub!C$5,REPORT_raw_dataseen!$D$1:$R$1,1)+1,FALSE)</f>
        <v>1332</v>
      </c>
      <c r="D12" s="53">
        <f>+VLOOKUP(A12&amp;A$2,REPORT_raw_dataseen!$A$1:$R$721, MATCH(Referrals_pub!D$5,REPORT_raw_dataseen!$D$1:$R$1,1)+3,FALSE)+VLOOKUP(A12&amp;A$2,REPORT_raw_dataseen!$A$1:$R$721, MATCH(Referrals_pub!D$5,REPORT_raw_dataseen!$D$1:$R$1,1)+2,FALSE)+VLOOKUP(A12&amp;A$2,REPORT_raw_dataseen!$A$1:$R$721, MATCH(Referrals_pub!D$5,REPORT_raw_dataseen!$D$1:$R$1,1)+1,FALSE)</f>
        <v>1770</v>
      </c>
      <c r="E12" s="53">
        <f>+VLOOKUP(A12&amp;A$2,REPORT_raw_dataseen!$A$1:$R$721, MATCH(Referrals_pub!E$5,REPORT_raw_dataseen!$D$1:$R$1,1)+3,FALSE)+VLOOKUP(A12&amp;A$2,REPORT_raw_dataseen!$A$1:$R$721, MATCH(Referrals_pub!E$5,REPORT_raw_dataseen!$D$1:$R$1,1)+2,FALSE)+VLOOKUP(A12&amp;A$2,REPORT_raw_dataseen!$A$1:$R$721, MATCH(Referrals_pub!E$5,REPORT_raw_dataseen!$D$1:$R$1,1)+1,FALSE)</f>
        <v>1372</v>
      </c>
      <c r="F12" s="53">
        <f>+VLOOKUP(A12&amp;A$2,REPORT_raw_dataseen!$A$1:$R$721, MATCH(Referrals_pub!F$5,REPORT_raw_dataseen!$D$1:$R$1,1)+3,FALSE)+VLOOKUP(A12&amp;A$2,REPORT_raw_dataseen!$A$1:$R$721, MATCH(Referrals_pub!F$5,REPORT_raw_dataseen!$D$1:$R$1,1)+2,FALSE)+VLOOKUP(A12&amp;A$2,REPORT_raw_dataseen!$A$1:$R$721, MATCH(Referrals_pub!F$5,REPORT_raw_dataseen!$D$1:$R$1,1)+1,FALSE)</f>
        <v>1271</v>
      </c>
      <c r="G12" s="53"/>
      <c r="H12" s="53"/>
      <c r="I12" s="53"/>
      <c r="J12" s="53"/>
      <c r="K12" s="53"/>
      <c r="L12" s="53"/>
      <c r="M12" s="53"/>
      <c r="N12" s="53"/>
      <c r="O12" s="53"/>
      <c r="P12" s="53"/>
      <c r="Q12" s="53"/>
      <c r="R12" s="53"/>
      <c r="S12" s="53"/>
      <c r="T12" s="53"/>
      <c r="U12" s="53"/>
    </row>
    <row r="13" spans="1:21">
      <c r="A13" s="50" t="s">
        <v>140</v>
      </c>
      <c r="B13" s="53">
        <f>+VLOOKUP($A13&amp;$A$2,REPORT_raw_dataseen!$A$1:$R$721, MATCH(Referrals_pub!B$5,REPORT_raw_dataseen!$D$1:$R$1,1)+3,FALSE)+VLOOKUP($A13&amp;$A$2,REPORT_raw_dataseen!$A$1:$R$721, MATCH(Referrals_pub!B$5,REPORT_raw_dataseen!$D$1:$R$1,1)+2,FALSE)+VLOOKUP($A13&amp;$A$2,REPORT_raw_dataseen!$A$1:$R$721, MATCH(Referrals_pub!B$5,REPORT_raw_dataseen!$D$1:$R$1,1)+1,FALSE)</f>
        <v>940</v>
      </c>
      <c r="C13" s="53">
        <f>+VLOOKUP($A13&amp;$A$2,REPORT_raw_dataseen!$A$1:$R$721, MATCH(Referrals_pub!C$5,REPORT_raw_dataseen!$D$1:$R$1,1)+3,FALSE)+VLOOKUP($A13&amp;$A$2,REPORT_raw_dataseen!$A$1:$R$721, MATCH(Referrals_pub!C$5,REPORT_raw_dataseen!$D$1:$R$1,1)+2,FALSE)+VLOOKUP($A13&amp;$A$2,REPORT_raw_dataseen!$A$1:$R$721, MATCH(Referrals_pub!C$5,REPORT_raw_dataseen!$D$1:$R$1,1)+1,FALSE)</f>
        <v>1570</v>
      </c>
      <c r="D13" s="53">
        <f>+VLOOKUP(A13&amp;A$2,REPORT_raw_dataseen!$A$1:$R$721, MATCH(Referrals_pub!D$5,REPORT_raw_dataseen!$D$1:$R$1,1)+3,FALSE)+VLOOKUP(A13&amp;A$2,REPORT_raw_dataseen!$A$1:$R$721, MATCH(Referrals_pub!D$5,REPORT_raw_dataseen!$D$1:$R$1,1)+2,FALSE)+VLOOKUP(A13&amp;A$2,REPORT_raw_dataseen!$A$1:$R$721, MATCH(Referrals_pub!D$5,REPORT_raw_dataseen!$D$1:$R$1,1)+1,FALSE)</f>
        <v>2017</v>
      </c>
      <c r="E13" s="53">
        <f>+VLOOKUP(A13&amp;A$2,REPORT_raw_dataseen!$A$1:$R$721, MATCH(Referrals_pub!E$5,REPORT_raw_dataseen!$D$1:$R$1,1)+3,FALSE)+VLOOKUP(A13&amp;A$2,REPORT_raw_dataseen!$A$1:$R$721, MATCH(Referrals_pub!E$5,REPORT_raw_dataseen!$D$1:$R$1,1)+2,FALSE)+VLOOKUP(A13&amp;A$2,REPORT_raw_dataseen!$A$1:$R$721, MATCH(Referrals_pub!E$5,REPORT_raw_dataseen!$D$1:$R$1,1)+1,FALSE)</f>
        <v>2014</v>
      </c>
      <c r="F13" s="53">
        <f>+VLOOKUP(A13&amp;A$2,REPORT_raw_dataseen!$A$1:$R$721, MATCH(Referrals_pub!F$5,REPORT_raw_dataseen!$D$1:$R$1,1)+3,FALSE)+VLOOKUP(A13&amp;A$2,REPORT_raw_dataseen!$A$1:$R$721, MATCH(Referrals_pub!F$5,REPORT_raw_dataseen!$D$1:$R$1,1)+2,FALSE)+VLOOKUP(A13&amp;A$2,REPORT_raw_dataseen!$A$1:$R$721, MATCH(Referrals_pub!F$5,REPORT_raw_dataseen!$D$1:$R$1,1)+1,FALSE)</f>
        <v>2649</v>
      </c>
      <c r="G13" s="53"/>
      <c r="H13" s="53"/>
      <c r="I13" s="53"/>
      <c r="J13" s="53"/>
      <c r="K13" s="53"/>
      <c r="L13" s="53"/>
      <c r="M13" s="53"/>
      <c r="N13" s="53"/>
      <c r="O13" s="53"/>
      <c r="P13" s="53"/>
      <c r="Q13" s="53"/>
      <c r="R13" s="53"/>
      <c r="S13" s="53"/>
      <c r="T13" s="53"/>
      <c r="U13" s="53"/>
    </row>
    <row r="14" spans="1:21">
      <c r="A14" s="50" t="s">
        <v>141</v>
      </c>
      <c r="B14" s="53">
        <f>+VLOOKUP($A14&amp;$A$2,REPORT_raw_dataseen!$A$1:$R$721, MATCH(Referrals_pub!B$5,REPORT_raw_dataseen!$D$1:$R$1,1)+3,FALSE)+VLOOKUP($A14&amp;$A$2,REPORT_raw_dataseen!$A$1:$R$721, MATCH(Referrals_pub!B$5,REPORT_raw_dataseen!$D$1:$R$1,1)+2,FALSE)+VLOOKUP($A14&amp;$A$2,REPORT_raw_dataseen!$A$1:$R$721, MATCH(Referrals_pub!B$5,REPORT_raw_dataseen!$D$1:$R$1,1)+1,FALSE)</f>
        <v>10641</v>
      </c>
      <c r="C14" s="53">
        <f>+VLOOKUP($A14&amp;$A$2,REPORT_raw_dataseen!$A$1:$R$721, MATCH(Referrals_pub!C$5,REPORT_raw_dataseen!$D$1:$R$1,1)+3,FALSE)+VLOOKUP($A14&amp;$A$2,REPORT_raw_dataseen!$A$1:$R$721, MATCH(Referrals_pub!C$5,REPORT_raw_dataseen!$D$1:$R$1,1)+2,FALSE)+VLOOKUP($A14&amp;$A$2,REPORT_raw_dataseen!$A$1:$R$721, MATCH(Referrals_pub!C$5,REPORT_raw_dataseen!$D$1:$R$1,1)+1,FALSE)</f>
        <v>17096</v>
      </c>
      <c r="D14" s="53">
        <f>+VLOOKUP(A14&amp;A$2,REPORT_raw_dataseen!$A$1:$R$721, MATCH(Referrals_pub!D$5,REPORT_raw_dataseen!$D$1:$R$1,1)+3,FALSE)+VLOOKUP(A14&amp;A$2,REPORT_raw_dataseen!$A$1:$R$721, MATCH(Referrals_pub!D$5,REPORT_raw_dataseen!$D$1:$R$1,1)+2,FALSE)+VLOOKUP(A14&amp;A$2,REPORT_raw_dataseen!$A$1:$R$721, MATCH(Referrals_pub!D$5,REPORT_raw_dataseen!$D$1:$R$1,1)+1,FALSE)</f>
        <v>18451</v>
      </c>
      <c r="E14" s="53">
        <f>+VLOOKUP(A14&amp;A$2,REPORT_raw_dataseen!$A$1:$R$721, MATCH(Referrals_pub!E$5,REPORT_raw_dataseen!$D$1:$R$1,1)+3,FALSE)+VLOOKUP(A14&amp;A$2,REPORT_raw_dataseen!$A$1:$R$721, MATCH(Referrals_pub!E$5,REPORT_raw_dataseen!$D$1:$R$1,1)+2,FALSE)+VLOOKUP(A14&amp;A$2,REPORT_raw_dataseen!$A$1:$R$721, MATCH(Referrals_pub!E$5,REPORT_raw_dataseen!$D$1:$R$1,1)+1,FALSE)</f>
        <v>17778</v>
      </c>
      <c r="F14" s="53">
        <f>+VLOOKUP(A14&amp;A$2,REPORT_raw_dataseen!$A$1:$R$721, MATCH(Referrals_pub!F$5,REPORT_raw_dataseen!$D$1:$R$1,1)+3,FALSE)+VLOOKUP(A14&amp;A$2,REPORT_raw_dataseen!$A$1:$R$721, MATCH(Referrals_pub!F$5,REPORT_raw_dataseen!$D$1:$R$1,1)+2,FALSE)+VLOOKUP(A14&amp;A$2,REPORT_raw_dataseen!$A$1:$R$721, MATCH(Referrals_pub!F$5,REPORT_raw_dataseen!$D$1:$R$1,1)+1,FALSE)</f>
        <v>18660</v>
      </c>
      <c r="G14" s="53"/>
      <c r="H14" s="53"/>
      <c r="I14" s="53"/>
      <c r="J14" s="53"/>
      <c r="K14" s="53"/>
      <c r="L14" s="53"/>
      <c r="M14" s="53"/>
      <c r="N14" s="53"/>
      <c r="O14" s="53"/>
      <c r="P14" s="53"/>
      <c r="Q14" s="53"/>
      <c r="R14" s="53"/>
      <c r="S14" s="53"/>
      <c r="T14" s="53"/>
      <c r="U14" s="53"/>
    </row>
    <row r="15" spans="1:21">
      <c r="A15" s="50" t="s">
        <v>142</v>
      </c>
      <c r="B15" s="53">
        <f>+VLOOKUP($A15&amp;$A$2,REPORT_raw_dataseen!$A$1:$R$721, MATCH(Referrals_pub!B$5,REPORT_raw_dataseen!$D$1:$R$1,1)+3,FALSE)+VLOOKUP($A15&amp;$A$2,REPORT_raw_dataseen!$A$1:$R$721, MATCH(Referrals_pub!B$5,REPORT_raw_dataseen!$D$1:$R$1,1)+2,FALSE)+VLOOKUP($A15&amp;$A$2,REPORT_raw_dataseen!$A$1:$R$721, MATCH(Referrals_pub!B$5,REPORT_raw_dataseen!$D$1:$R$1,1)+1,FALSE)</f>
        <v>589</v>
      </c>
      <c r="C15" s="53">
        <f>+VLOOKUP($A15&amp;$A$2,REPORT_raw_dataseen!$A$1:$R$721, MATCH(Referrals_pub!C$5,REPORT_raw_dataseen!$D$1:$R$1,1)+3,FALSE)+VLOOKUP($A15&amp;$A$2,REPORT_raw_dataseen!$A$1:$R$721, MATCH(Referrals_pub!C$5,REPORT_raw_dataseen!$D$1:$R$1,1)+2,FALSE)+VLOOKUP($A15&amp;$A$2,REPORT_raw_dataseen!$A$1:$R$721, MATCH(Referrals_pub!C$5,REPORT_raw_dataseen!$D$1:$R$1,1)+1,FALSE)</f>
        <v>872</v>
      </c>
      <c r="D15" s="53">
        <f>+VLOOKUP(A15&amp;A$2,REPORT_raw_dataseen!$A$1:$R$721, MATCH(Referrals_pub!D$5,REPORT_raw_dataseen!$D$1:$R$1,1)+3,FALSE)+VLOOKUP(A15&amp;A$2,REPORT_raw_dataseen!$A$1:$R$721, MATCH(Referrals_pub!D$5,REPORT_raw_dataseen!$D$1:$R$1,1)+2,FALSE)+VLOOKUP(A15&amp;A$2,REPORT_raw_dataseen!$A$1:$R$721, MATCH(Referrals_pub!D$5,REPORT_raw_dataseen!$D$1:$R$1,1)+1,FALSE)</f>
        <v>807</v>
      </c>
      <c r="E15" s="53">
        <f>+VLOOKUP(A15&amp;A$2,REPORT_raw_dataseen!$A$1:$R$721, MATCH(Referrals_pub!E$5,REPORT_raw_dataseen!$D$1:$R$1,1)+3,FALSE)+VLOOKUP(A15&amp;A$2,REPORT_raw_dataseen!$A$1:$R$721, MATCH(Referrals_pub!E$5,REPORT_raw_dataseen!$D$1:$R$1,1)+2,FALSE)+VLOOKUP(A15&amp;A$2,REPORT_raw_dataseen!$A$1:$R$721, MATCH(Referrals_pub!E$5,REPORT_raw_dataseen!$D$1:$R$1,1)+1,FALSE)</f>
        <v>1056</v>
      </c>
      <c r="F15" s="53">
        <f>+VLOOKUP(A15&amp;A$2,REPORT_raw_dataseen!$A$1:$R$721, MATCH(Referrals_pub!F$5,REPORT_raw_dataseen!$D$1:$R$1,1)+3,FALSE)+VLOOKUP(A15&amp;A$2,REPORT_raw_dataseen!$A$1:$R$721, MATCH(Referrals_pub!F$5,REPORT_raw_dataseen!$D$1:$R$1,1)+2,FALSE)+VLOOKUP(A15&amp;A$2,REPORT_raw_dataseen!$A$1:$R$721, MATCH(Referrals_pub!F$5,REPORT_raw_dataseen!$D$1:$R$1,1)+1,FALSE)</f>
        <v>1791</v>
      </c>
      <c r="G15" s="53"/>
      <c r="H15" s="53"/>
      <c r="I15" s="53"/>
      <c r="J15" s="53"/>
      <c r="K15" s="53"/>
      <c r="L15" s="53"/>
      <c r="M15" s="53"/>
      <c r="N15" s="53"/>
      <c r="O15" s="53"/>
      <c r="P15" s="53"/>
      <c r="Q15" s="53"/>
      <c r="R15" s="53"/>
      <c r="S15" s="53"/>
      <c r="T15" s="53"/>
      <c r="U15" s="53"/>
    </row>
    <row r="16" spans="1:21">
      <c r="A16" s="50" t="s">
        <v>192</v>
      </c>
      <c r="B16" s="53">
        <f>+VLOOKUP($A16&amp;$A$2,REPORT_raw_dataseen!$A$1:$R$721, MATCH(Referrals_pub!B$5,REPORT_raw_dataseen!$D$1:$R$1,1)+3,FALSE)+VLOOKUP($A16&amp;$A$2,REPORT_raw_dataseen!$A$1:$R$721, MATCH(Referrals_pub!B$5,REPORT_raw_dataseen!$D$1:$R$1,1)+2,FALSE)+VLOOKUP($A16&amp;$A$2,REPORT_raw_dataseen!$A$1:$R$721, MATCH(Referrals_pub!B$5,REPORT_raw_dataseen!$D$1:$R$1,1)+1,FALSE)</f>
        <v>1978</v>
      </c>
      <c r="C16" s="53">
        <f>+VLOOKUP($A16&amp;$A$2,REPORT_raw_dataseen!$A$1:$R$721, MATCH(Referrals_pub!C$5,REPORT_raw_dataseen!$D$1:$R$1,1)+3,FALSE)+VLOOKUP($A16&amp;$A$2,REPORT_raw_dataseen!$A$1:$R$721, MATCH(Referrals_pub!C$5,REPORT_raw_dataseen!$D$1:$R$1,1)+2,FALSE)+VLOOKUP($A16&amp;$A$2,REPORT_raw_dataseen!$A$1:$R$721, MATCH(Referrals_pub!C$5,REPORT_raw_dataseen!$D$1:$R$1,1)+1,FALSE)</f>
        <v>3359</v>
      </c>
      <c r="D16" s="53">
        <f>+VLOOKUP(A16&amp;A$2,REPORT_raw_dataseen!$A$1:$R$721, MATCH(Referrals_pub!D$5,REPORT_raw_dataseen!$D$1:$R$1,1)+3,FALSE)+VLOOKUP(A16&amp;A$2,REPORT_raw_dataseen!$A$1:$R$721, MATCH(Referrals_pub!D$5,REPORT_raw_dataseen!$D$1:$R$1,1)+2,FALSE)+VLOOKUP(A16&amp;A$2,REPORT_raw_dataseen!$A$1:$R$721, MATCH(Referrals_pub!D$5,REPORT_raw_dataseen!$D$1:$R$1,1)+1,FALSE)</f>
        <v>3809</v>
      </c>
      <c r="E16" s="53">
        <f>+VLOOKUP(A16&amp;A$2,REPORT_raw_dataseen!$A$1:$R$721, MATCH(Referrals_pub!E$5,REPORT_raw_dataseen!$D$1:$R$1,1)+3,FALSE)+VLOOKUP(A16&amp;A$2,REPORT_raw_dataseen!$A$1:$R$721, MATCH(Referrals_pub!E$5,REPORT_raw_dataseen!$D$1:$R$1,1)+2,FALSE)+VLOOKUP(A16&amp;A$2,REPORT_raw_dataseen!$A$1:$R$721, MATCH(Referrals_pub!E$5,REPORT_raw_dataseen!$D$1:$R$1,1)+1,FALSE)</f>
        <v>3583</v>
      </c>
      <c r="F16" s="53">
        <f>+VLOOKUP(A16&amp;A$2,REPORT_raw_dataseen!$A$1:$R$721, MATCH(Referrals_pub!F$5,REPORT_raw_dataseen!$D$1:$R$1,1)+3,FALSE)+VLOOKUP(A16&amp;A$2,REPORT_raw_dataseen!$A$1:$R$721, MATCH(Referrals_pub!F$5,REPORT_raw_dataseen!$D$1:$R$1,1)+2,FALSE)+VLOOKUP(A16&amp;A$2,REPORT_raw_dataseen!$A$1:$R$721, MATCH(Referrals_pub!F$5,REPORT_raw_dataseen!$D$1:$R$1,1)+1,FALSE)</f>
        <v>3965</v>
      </c>
      <c r="G16" s="53"/>
      <c r="H16" s="53"/>
      <c r="I16" s="53"/>
      <c r="J16" s="53"/>
      <c r="K16" s="53"/>
      <c r="L16" s="53"/>
      <c r="M16" s="53"/>
      <c r="N16" s="53"/>
      <c r="O16" s="53"/>
      <c r="P16" s="53"/>
      <c r="Q16" s="53"/>
      <c r="R16" s="53"/>
      <c r="S16" s="53"/>
      <c r="T16" s="53"/>
      <c r="U16" s="53"/>
    </row>
    <row r="17" spans="1:21">
      <c r="A17" s="50" t="s">
        <v>143</v>
      </c>
      <c r="B17" s="53">
        <f>+VLOOKUP($A17&amp;$A$2,REPORT_raw_dataseen!$A$1:$R$721, MATCH(Referrals_pub!B$5,REPORT_raw_dataseen!$D$1:$R$1,1)+3,FALSE)+VLOOKUP($A17&amp;$A$2,REPORT_raw_dataseen!$A$1:$R$721, MATCH(Referrals_pub!B$5,REPORT_raw_dataseen!$D$1:$R$1,1)+2,FALSE)+VLOOKUP($A17&amp;$A$2,REPORT_raw_dataseen!$A$1:$R$721, MATCH(Referrals_pub!B$5,REPORT_raw_dataseen!$D$1:$R$1,1)+1,FALSE)</f>
        <v>3840</v>
      </c>
      <c r="C17" s="53">
        <f>+VLOOKUP($A17&amp;$A$2,REPORT_raw_dataseen!$A$1:$R$721, MATCH(Referrals_pub!C$5,REPORT_raw_dataseen!$D$1:$R$1,1)+3,FALSE)+VLOOKUP($A17&amp;$A$2,REPORT_raw_dataseen!$A$1:$R$721, MATCH(Referrals_pub!C$5,REPORT_raw_dataseen!$D$1:$R$1,1)+2,FALSE)+VLOOKUP($A17&amp;$A$2,REPORT_raw_dataseen!$A$1:$R$721, MATCH(Referrals_pub!C$5,REPORT_raw_dataseen!$D$1:$R$1,1)+1,FALSE)</f>
        <v>3981</v>
      </c>
      <c r="D17" s="53">
        <f>+VLOOKUP(A17&amp;A$2,REPORT_raw_dataseen!$A$1:$R$721, MATCH(Referrals_pub!D$5,REPORT_raw_dataseen!$D$1:$R$1,1)+3,FALSE)+VLOOKUP(A17&amp;A$2,REPORT_raw_dataseen!$A$1:$R$721, MATCH(Referrals_pub!D$5,REPORT_raw_dataseen!$D$1:$R$1,1)+2,FALSE)+VLOOKUP(A17&amp;A$2,REPORT_raw_dataseen!$A$1:$R$721, MATCH(Referrals_pub!D$5,REPORT_raw_dataseen!$D$1:$R$1,1)+1,FALSE)</f>
        <v>4705</v>
      </c>
      <c r="E17" s="53">
        <f>+VLOOKUP(A17&amp;A$2,REPORT_raw_dataseen!$A$1:$R$721, MATCH(Referrals_pub!E$5,REPORT_raw_dataseen!$D$1:$R$1,1)+3,FALSE)+VLOOKUP(A17&amp;A$2,REPORT_raw_dataseen!$A$1:$R$721, MATCH(Referrals_pub!E$5,REPORT_raw_dataseen!$D$1:$R$1,1)+2,FALSE)+VLOOKUP(A17&amp;A$2,REPORT_raw_dataseen!$A$1:$R$721, MATCH(Referrals_pub!E$5,REPORT_raw_dataseen!$D$1:$R$1,1)+1,FALSE)</f>
        <v>4628</v>
      </c>
      <c r="F17" s="53">
        <f>+VLOOKUP(A17&amp;A$2,REPORT_raw_dataseen!$A$1:$R$721, MATCH(Referrals_pub!F$5,REPORT_raw_dataseen!$D$1:$R$1,1)+3,FALSE)+VLOOKUP(A17&amp;A$2,REPORT_raw_dataseen!$A$1:$R$721, MATCH(Referrals_pub!F$5,REPORT_raw_dataseen!$D$1:$R$1,1)+2,FALSE)+VLOOKUP(A17&amp;A$2,REPORT_raw_dataseen!$A$1:$R$721, MATCH(Referrals_pub!F$5,REPORT_raw_dataseen!$D$1:$R$1,1)+1,FALSE)</f>
        <v>4750</v>
      </c>
      <c r="G17" s="53"/>
      <c r="H17" s="53"/>
      <c r="I17" s="53"/>
      <c r="J17" s="53"/>
      <c r="K17" s="53"/>
      <c r="L17" s="53"/>
      <c r="M17" s="53"/>
      <c r="N17" s="53"/>
      <c r="O17" s="53"/>
      <c r="P17" s="53"/>
      <c r="Q17" s="53"/>
      <c r="R17" s="53"/>
      <c r="S17" s="53"/>
      <c r="T17" s="53"/>
      <c r="U17" s="53"/>
    </row>
    <row r="18" spans="1:21">
      <c r="A18" s="50" t="s">
        <v>144</v>
      </c>
      <c r="B18" s="53">
        <f>+VLOOKUP($A18&amp;$A$2,REPORT_raw_dataseen!$A$1:$R$721, MATCH(Referrals_pub!B$5,REPORT_raw_dataseen!$D$1:$R$1,1)+3,FALSE)+VLOOKUP($A18&amp;$A$2,REPORT_raw_dataseen!$A$1:$R$721, MATCH(Referrals_pub!B$5,REPORT_raw_dataseen!$D$1:$R$1,1)+2,FALSE)+VLOOKUP($A18&amp;$A$2,REPORT_raw_dataseen!$A$1:$R$721, MATCH(Referrals_pub!B$5,REPORT_raw_dataseen!$D$1:$R$1,1)+1,FALSE)</f>
        <v>19</v>
      </c>
      <c r="C18" s="53">
        <f>+VLOOKUP($A18&amp;$A$2,REPORT_raw_dataseen!$A$1:$R$721, MATCH(Referrals_pub!C$5,REPORT_raw_dataseen!$D$1:$R$1,1)+3,FALSE)+VLOOKUP($A18&amp;$A$2,REPORT_raw_dataseen!$A$1:$R$721, MATCH(Referrals_pub!C$5,REPORT_raw_dataseen!$D$1:$R$1,1)+2,FALSE)+VLOOKUP($A18&amp;$A$2,REPORT_raw_dataseen!$A$1:$R$721, MATCH(Referrals_pub!C$5,REPORT_raw_dataseen!$D$1:$R$1,1)+1,FALSE)</f>
        <v>32</v>
      </c>
      <c r="D18" s="53">
        <f>+VLOOKUP(A18&amp;A$2,REPORT_raw_dataseen!$A$1:$R$721, MATCH(Referrals_pub!D$5,REPORT_raw_dataseen!$D$1:$R$1,1)+3,FALSE)+VLOOKUP(A18&amp;A$2,REPORT_raw_dataseen!$A$1:$R$721, MATCH(Referrals_pub!D$5,REPORT_raw_dataseen!$D$1:$R$1,1)+2,FALSE)+VLOOKUP(A18&amp;A$2,REPORT_raw_dataseen!$A$1:$R$721, MATCH(Referrals_pub!D$5,REPORT_raw_dataseen!$D$1:$R$1,1)+1,FALSE)</f>
        <v>41</v>
      </c>
      <c r="E18" s="53">
        <f>+VLOOKUP(A18&amp;A$2,REPORT_raw_dataseen!$A$1:$R$721, MATCH(Referrals_pub!E$5,REPORT_raw_dataseen!$D$1:$R$1,1)+3,FALSE)+VLOOKUP(A18&amp;A$2,REPORT_raw_dataseen!$A$1:$R$721, MATCH(Referrals_pub!E$5,REPORT_raw_dataseen!$D$1:$R$1,1)+2,FALSE)+VLOOKUP(A18&amp;A$2,REPORT_raw_dataseen!$A$1:$R$721, MATCH(Referrals_pub!E$5,REPORT_raw_dataseen!$D$1:$R$1,1)+1,FALSE)</f>
        <v>33</v>
      </c>
      <c r="F18" s="53">
        <f>+VLOOKUP(A18&amp;A$2,REPORT_raw_dataseen!$A$1:$R$721, MATCH(Referrals_pub!F$5,REPORT_raw_dataseen!$D$1:$R$1,1)+3,FALSE)+VLOOKUP(A18&amp;A$2,REPORT_raw_dataseen!$A$1:$R$721, MATCH(Referrals_pub!F$5,REPORT_raw_dataseen!$D$1:$R$1,1)+2,FALSE)+VLOOKUP(A18&amp;A$2,REPORT_raw_dataseen!$A$1:$R$721, MATCH(Referrals_pub!F$5,REPORT_raw_dataseen!$D$1:$R$1,1)+1,FALSE)</f>
        <v>46</v>
      </c>
      <c r="G18" s="53"/>
      <c r="H18" s="53"/>
      <c r="I18" s="53"/>
      <c r="J18" s="53"/>
      <c r="K18" s="53"/>
      <c r="L18" s="53"/>
      <c r="M18" s="53"/>
      <c r="N18" s="53"/>
      <c r="O18" s="53"/>
      <c r="P18" s="53"/>
      <c r="Q18" s="53"/>
      <c r="R18" s="53"/>
      <c r="S18" s="53"/>
      <c r="T18" s="53"/>
      <c r="U18" s="53"/>
    </row>
    <row r="19" spans="1:21">
      <c r="A19" s="50" t="s">
        <v>145</v>
      </c>
      <c r="B19" s="53">
        <f>+VLOOKUP($A19&amp;$A$2,REPORT_raw_dataseen!$A$1:$R$721, MATCH(Referrals_pub!B$5,REPORT_raw_dataseen!$D$1:$R$1,1)+3,FALSE)+VLOOKUP($A19&amp;$A$2,REPORT_raw_dataseen!$A$1:$R$721, MATCH(Referrals_pub!B$5,REPORT_raw_dataseen!$D$1:$R$1,1)+2,FALSE)+VLOOKUP($A19&amp;$A$2,REPORT_raw_dataseen!$A$1:$R$721, MATCH(Referrals_pub!B$5,REPORT_raw_dataseen!$D$1:$R$1,1)+1,FALSE)</f>
        <v>26</v>
      </c>
      <c r="C19" s="53">
        <f>+VLOOKUP($A19&amp;$A$2,REPORT_raw_dataseen!$A$1:$R$721, MATCH(Referrals_pub!C$5,REPORT_raw_dataseen!$D$1:$R$1,1)+3,FALSE)+VLOOKUP($A19&amp;$A$2,REPORT_raw_dataseen!$A$1:$R$721, MATCH(Referrals_pub!C$5,REPORT_raw_dataseen!$D$1:$R$1,1)+2,FALSE)+VLOOKUP($A19&amp;$A$2,REPORT_raw_dataseen!$A$1:$R$721, MATCH(Referrals_pub!C$5,REPORT_raw_dataseen!$D$1:$R$1,1)+1,FALSE)</f>
        <v>68</v>
      </c>
      <c r="D19" s="53">
        <f>+VLOOKUP(A19&amp;A$2,REPORT_raw_dataseen!$A$1:$R$721, MATCH(Referrals_pub!D$5,REPORT_raw_dataseen!$D$1:$R$1,1)+3,FALSE)+VLOOKUP(A19&amp;A$2,REPORT_raw_dataseen!$A$1:$R$721, MATCH(Referrals_pub!D$5,REPORT_raw_dataseen!$D$1:$R$1,1)+2,FALSE)+VLOOKUP(A19&amp;A$2,REPORT_raw_dataseen!$A$1:$R$721, MATCH(Referrals_pub!D$5,REPORT_raw_dataseen!$D$1:$R$1,1)+1,FALSE)</f>
        <v>99</v>
      </c>
      <c r="E19" s="53">
        <f>+VLOOKUP(A19&amp;A$2,REPORT_raw_dataseen!$A$1:$R$721, MATCH(Referrals_pub!E$5,REPORT_raw_dataseen!$D$1:$R$1,1)+3,FALSE)+VLOOKUP(A19&amp;A$2,REPORT_raw_dataseen!$A$1:$R$721, MATCH(Referrals_pub!E$5,REPORT_raw_dataseen!$D$1:$R$1,1)+2,FALSE)+VLOOKUP(A19&amp;A$2,REPORT_raw_dataseen!$A$1:$R$721, MATCH(Referrals_pub!E$5,REPORT_raw_dataseen!$D$1:$R$1,1)+1,FALSE)</f>
        <v>102</v>
      </c>
      <c r="F19" s="53">
        <f>+VLOOKUP(A19&amp;A$2,REPORT_raw_dataseen!$A$1:$R$721, MATCH(Referrals_pub!F$5,REPORT_raw_dataseen!$D$1:$R$1,1)+3,FALSE)+VLOOKUP(A19&amp;A$2,REPORT_raw_dataseen!$A$1:$R$721, MATCH(Referrals_pub!F$5,REPORT_raw_dataseen!$D$1:$R$1,1)+2,FALSE)+VLOOKUP(A19&amp;A$2,REPORT_raw_dataseen!$A$1:$R$721, MATCH(Referrals_pub!F$5,REPORT_raw_dataseen!$D$1:$R$1,1)+1,FALSE)</f>
        <v>106</v>
      </c>
      <c r="G19" s="53"/>
      <c r="H19" s="53"/>
      <c r="I19" s="53"/>
      <c r="J19" s="53"/>
      <c r="K19" s="53"/>
      <c r="L19" s="53"/>
      <c r="M19" s="53"/>
      <c r="N19" s="53"/>
      <c r="O19" s="53"/>
      <c r="P19" s="53"/>
      <c r="Q19" s="53"/>
      <c r="R19" s="53"/>
      <c r="S19" s="53"/>
      <c r="T19" s="53"/>
      <c r="U19" s="53"/>
    </row>
    <row r="20" spans="1:21">
      <c r="A20" s="50" t="s">
        <v>146</v>
      </c>
      <c r="B20" s="53">
        <f>+VLOOKUP($A20&amp;$A$2,REPORT_raw_dataseen!$A$1:$R$721, MATCH(Referrals_pub!B$5,REPORT_raw_dataseen!$D$1:$R$1,1)+3,FALSE)+VLOOKUP($A20&amp;$A$2,REPORT_raw_dataseen!$A$1:$R$721, MATCH(Referrals_pub!B$5,REPORT_raw_dataseen!$D$1:$R$1,1)+2,FALSE)+VLOOKUP($A20&amp;$A$2,REPORT_raw_dataseen!$A$1:$R$721, MATCH(Referrals_pub!B$5,REPORT_raw_dataseen!$D$1:$R$1,1)+1,FALSE)</f>
        <v>1171</v>
      </c>
      <c r="C20" s="53">
        <f>+VLOOKUP($A20&amp;$A$2,REPORT_raw_dataseen!$A$1:$R$721, MATCH(Referrals_pub!C$5,REPORT_raw_dataseen!$D$1:$R$1,1)+3,FALSE)+VLOOKUP($A20&amp;$A$2,REPORT_raw_dataseen!$A$1:$R$721, MATCH(Referrals_pub!C$5,REPORT_raw_dataseen!$D$1:$R$1,1)+2,FALSE)+VLOOKUP($A20&amp;$A$2,REPORT_raw_dataseen!$A$1:$R$721, MATCH(Referrals_pub!C$5,REPORT_raw_dataseen!$D$1:$R$1,1)+1,FALSE)</f>
        <v>1815</v>
      </c>
      <c r="D20" s="53">
        <f>+VLOOKUP(A20&amp;A$2,REPORT_raw_dataseen!$A$1:$R$721, MATCH(Referrals_pub!D$5,REPORT_raw_dataseen!$D$1:$R$1,1)+3,FALSE)+VLOOKUP(A20&amp;A$2,REPORT_raw_dataseen!$A$1:$R$721, MATCH(Referrals_pub!D$5,REPORT_raw_dataseen!$D$1:$R$1,1)+2,FALSE)+VLOOKUP(A20&amp;A$2,REPORT_raw_dataseen!$A$1:$R$721, MATCH(Referrals_pub!D$5,REPORT_raw_dataseen!$D$1:$R$1,1)+1,FALSE)</f>
        <v>1761</v>
      </c>
      <c r="E20" s="53">
        <f>+VLOOKUP(A20&amp;A$2,REPORT_raw_dataseen!$A$1:$R$721, MATCH(Referrals_pub!E$5,REPORT_raw_dataseen!$D$1:$R$1,1)+3,FALSE)+VLOOKUP(A20&amp;A$2,REPORT_raw_dataseen!$A$1:$R$721, MATCH(Referrals_pub!E$5,REPORT_raw_dataseen!$D$1:$R$1,1)+2,FALSE)+VLOOKUP(A20&amp;A$2,REPORT_raw_dataseen!$A$1:$R$721, MATCH(Referrals_pub!E$5,REPORT_raw_dataseen!$D$1:$R$1,1)+1,FALSE)</f>
        <v>1803</v>
      </c>
      <c r="F20" s="53">
        <f>+VLOOKUP(A20&amp;A$2,REPORT_raw_dataseen!$A$1:$R$721, MATCH(Referrals_pub!F$5,REPORT_raw_dataseen!$D$1:$R$1,1)+3,FALSE)+VLOOKUP(A20&amp;A$2,REPORT_raw_dataseen!$A$1:$R$721, MATCH(Referrals_pub!F$5,REPORT_raw_dataseen!$D$1:$R$1,1)+2,FALSE)+VLOOKUP(A20&amp;A$2,REPORT_raw_dataseen!$A$1:$R$721, MATCH(Referrals_pub!F$5,REPORT_raw_dataseen!$D$1:$R$1,1)+1,FALSE)</f>
        <v>2104</v>
      </c>
      <c r="G20" s="53"/>
      <c r="H20" s="53"/>
      <c r="I20" s="53"/>
      <c r="J20" s="53"/>
      <c r="K20" s="53"/>
      <c r="L20" s="53"/>
      <c r="M20" s="53"/>
      <c r="N20" s="53"/>
      <c r="O20" s="53"/>
      <c r="P20" s="53"/>
      <c r="Q20" s="53"/>
      <c r="R20" s="53"/>
      <c r="S20" s="53"/>
      <c r="T20" s="53"/>
      <c r="U20" s="53"/>
    </row>
    <row r="21" spans="1:21">
      <c r="A21" s="50" t="s">
        <v>147</v>
      </c>
      <c r="B21" s="53">
        <f>+VLOOKUP($A21&amp;$A$2,REPORT_raw_dataseen!$A$1:$R$721, MATCH(Referrals_pub!B$5,REPORT_raw_dataseen!$D$1:$R$1,1)+3,FALSE)+VLOOKUP($A21&amp;$A$2,REPORT_raw_dataseen!$A$1:$R$721, MATCH(Referrals_pub!B$5,REPORT_raw_dataseen!$D$1:$R$1,1)+2,FALSE)+VLOOKUP($A21&amp;$A$2,REPORT_raw_dataseen!$A$1:$R$721, MATCH(Referrals_pub!B$5,REPORT_raw_dataseen!$D$1:$R$1,1)+1,FALSE)</f>
        <v>21</v>
      </c>
      <c r="C21" s="53">
        <f>+VLOOKUP($A21&amp;$A$2,REPORT_raw_dataseen!$A$1:$R$721, MATCH(Referrals_pub!C$5,REPORT_raw_dataseen!$D$1:$R$1,1)+3,FALSE)+VLOOKUP($A21&amp;$A$2,REPORT_raw_dataseen!$A$1:$R$721, MATCH(Referrals_pub!C$5,REPORT_raw_dataseen!$D$1:$R$1,1)+2,FALSE)+VLOOKUP($A21&amp;$A$2,REPORT_raw_dataseen!$A$1:$R$721, MATCH(Referrals_pub!C$5,REPORT_raw_dataseen!$D$1:$R$1,1)+1,FALSE)</f>
        <v>27</v>
      </c>
      <c r="D21" s="53">
        <f>+VLOOKUP(A21&amp;A$2,REPORT_raw_dataseen!$A$1:$R$721, MATCH(Referrals_pub!D$5,REPORT_raw_dataseen!$D$1:$R$1,1)+3,FALSE)+VLOOKUP(A21&amp;A$2,REPORT_raw_dataseen!$A$1:$R$721, MATCH(Referrals_pub!D$5,REPORT_raw_dataseen!$D$1:$R$1,1)+2,FALSE)+VLOOKUP(A21&amp;A$2,REPORT_raw_dataseen!$A$1:$R$721, MATCH(Referrals_pub!D$5,REPORT_raw_dataseen!$D$1:$R$1,1)+1,FALSE)</f>
        <v>24</v>
      </c>
      <c r="E21" s="53">
        <f>+VLOOKUP(A21&amp;A$2,REPORT_raw_dataseen!$A$1:$R$721, MATCH(Referrals_pub!E$5,REPORT_raw_dataseen!$D$1:$R$1,1)+3,FALSE)+VLOOKUP(A21&amp;A$2,REPORT_raw_dataseen!$A$1:$R$721, MATCH(Referrals_pub!E$5,REPORT_raw_dataseen!$D$1:$R$1,1)+2,FALSE)+VLOOKUP(A21&amp;A$2,REPORT_raw_dataseen!$A$1:$R$721, MATCH(Referrals_pub!E$5,REPORT_raw_dataseen!$D$1:$R$1,1)+1,FALSE)</f>
        <v>15</v>
      </c>
      <c r="F21" s="53">
        <f>+VLOOKUP(A21&amp;A$2,REPORT_raw_dataseen!$A$1:$R$721, MATCH(Referrals_pub!F$5,REPORT_raw_dataseen!$D$1:$R$1,1)+3,FALSE)+VLOOKUP(A21&amp;A$2,REPORT_raw_dataseen!$A$1:$R$721, MATCH(Referrals_pub!F$5,REPORT_raw_dataseen!$D$1:$R$1,1)+2,FALSE)+VLOOKUP(A21&amp;A$2,REPORT_raw_dataseen!$A$1:$R$721, MATCH(Referrals_pub!F$5,REPORT_raw_dataseen!$D$1:$R$1,1)+1,FALSE)</f>
        <v>11</v>
      </c>
      <c r="G21" s="53"/>
      <c r="H21" s="53"/>
      <c r="I21" s="53"/>
      <c r="J21" s="53"/>
      <c r="K21" s="53"/>
      <c r="L21" s="53"/>
      <c r="M21" s="53"/>
      <c r="N21" s="53"/>
      <c r="O21" s="53"/>
      <c r="P21" s="53"/>
      <c r="Q21" s="53"/>
      <c r="R21" s="53"/>
      <c r="S21" s="53"/>
      <c r="T21" s="53"/>
      <c r="U21" s="53"/>
    </row>
    <row r="22" spans="1:21">
      <c r="A22" s="59" t="s">
        <v>328</v>
      </c>
      <c r="B22" s="53" t="e">
        <f>+VLOOKUP($A22&amp;$A$2,REPORT_raw_dataseen!$A$1:$R$721, MATCH(Referrals_pub!B$5,REPORT_raw_dataseen!$D$1:$R$1,1)+3,FALSE)+VLOOKUP($A22&amp;$A$2,REPORT_raw_dataseen!$A$1:$R$721, MATCH(Referrals_pub!B$5,REPORT_raw_dataseen!$D$1:$R$1,1)+2,FALSE)+VLOOKUP($A22&amp;$A$2,REPORT_raw_dataseen!$A$1:$R$721, MATCH(Referrals_pub!B$5,REPORT_raw_dataseen!$D$1:$R$1,1)+1,FALSE)</f>
        <v>#N/A</v>
      </c>
      <c r="C22" s="53" t="e">
        <f>+VLOOKUP($A22&amp;$A$2,REPORT_raw_dataseen!$A$1:$R$721, MATCH(Referrals_pub!C$5,REPORT_raw_dataseen!$D$1:$R$1,1)+3,FALSE)+VLOOKUP($A22&amp;$A$2,REPORT_raw_dataseen!$A$1:$R$721, MATCH(Referrals_pub!C$5,REPORT_raw_dataseen!$D$1:$R$1,1)+2,FALSE)+VLOOKUP($A22&amp;$A$2,REPORT_raw_dataseen!$A$1:$R$721, MATCH(Referrals_pub!C$5,REPORT_raw_dataseen!$D$1:$R$1,1)+1,FALSE)</f>
        <v>#N/A</v>
      </c>
      <c r="D22" s="53" t="e">
        <f>+VLOOKUP(A22&amp;A$2,REPORT_raw_dataseen!$A$1:$R$769, MATCH(Referrals_pub!D$5,REPORT_raw_dataseen!$D$1:$R$1,1)+3,FALSE)+VLOOKUP(A22&amp;A$2,REPORT_raw_dataseen!$A$1:$R$769, MATCH(Referrals_pub!D$5,REPORT_raw_dataseen!$D$1:$R$1,1)+2,FALSE)+VLOOKUP(A22&amp;A$2,REPORT_raw_dataseen!$A$1:$R$769, MATCH(Referrals_pub!D$5,REPORT_raw_dataseen!$D$1:$R$1,1)+1,FALSE)</f>
        <v>#VALUE!</v>
      </c>
      <c r="E22" s="53" t="e">
        <f>+VLOOKUP(A22&amp;A$2,REPORT_raw_dataseen!$A$1:$R$769, MATCH(Referrals_pub!E$5,REPORT_raw_dataseen!$D$1:$R$1,1)+3,FALSE)+VLOOKUP(A22&amp;A$2,REPORT_raw_dataseen!$A$1:$R$769, MATCH(Referrals_pub!E$5,REPORT_raw_dataseen!$D$1:$R$1,1)+2,FALSE)+VLOOKUP(A22&amp;A$2,REPORT_raw_dataseen!$A$1:$R$769, MATCH(Referrals_pub!E$5,REPORT_raw_dataseen!$D$1:$R$1,1)+1,FALSE)</f>
        <v>#VALUE!</v>
      </c>
      <c r="F22" s="53" t="e">
        <f>+VLOOKUP(A22&amp;A$2,REPORT_raw_dataseen!$A$1:$R$769, MATCH(Referrals_pub!F$5,REPORT_raw_dataseen!$D$1:$R$1,1)+3,FALSE)+VLOOKUP(A22&amp;A$2,REPORT_raw_dataseen!$A$1:$R$769, MATCH(Referrals_pub!F$5,REPORT_raw_dataseen!$D$1:$R$1,1)+2,FALSE)+VLOOKUP(A22&amp;A$2,REPORT_raw_dataseen!$A$1:$R$769, MATCH(Referrals_pub!F$5,REPORT_raw_dataseen!$D$1:$R$1,1)+1,FALSE)</f>
        <v>#VALUE!</v>
      </c>
      <c r="G22" s="53"/>
      <c r="H22" s="53"/>
      <c r="I22" s="53"/>
      <c r="J22" s="53"/>
      <c r="K22" s="53"/>
      <c r="L22" s="53"/>
      <c r="M22" s="53"/>
      <c r="N22" s="53"/>
      <c r="O22" s="53"/>
      <c r="P22" s="53"/>
      <c r="Q22" s="53"/>
      <c r="R22" s="53"/>
      <c r="S22" s="53"/>
      <c r="T22" s="53"/>
      <c r="U22" s="53"/>
    </row>
    <row r="24" spans="1:21">
      <c r="A24" t="s">
        <v>359</v>
      </c>
    </row>
    <row r="25" spans="1:21">
      <c r="A25" t="s">
        <v>175</v>
      </c>
      <c r="I25" t="s">
        <v>178</v>
      </c>
    </row>
    <row r="26" spans="1:21">
      <c r="A26" t="s">
        <v>301</v>
      </c>
      <c r="F26" t="s">
        <v>358</v>
      </c>
    </row>
    <row r="27" spans="1:21">
      <c r="B27" s="3">
        <f>REPORT_raw_dataseen!F1</f>
        <v>43983</v>
      </c>
      <c r="C27" s="3">
        <f>REPORT_raw_dataseen!I1</f>
        <v>44075</v>
      </c>
      <c r="D27" s="3">
        <f>REPORT_raw_dataseen!L1</f>
        <v>44166</v>
      </c>
      <c r="E27" s="3">
        <f>REPORT_raw_dataseen!O1</f>
        <v>44256</v>
      </c>
      <c r="F27" s="3">
        <f>REPORT_raw_dataseen!R1</f>
        <v>44348</v>
      </c>
      <c r="G27" s="57"/>
      <c r="H27" s="57"/>
      <c r="I27" s="57"/>
      <c r="J27" s="57"/>
      <c r="K27" s="57"/>
      <c r="L27" s="57"/>
      <c r="M27" s="57"/>
      <c r="N27" s="57"/>
      <c r="O27" s="57"/>
      <c r="P27" s="57"/>
      <c r="Q27" s="57"/>
      <c r="R27" s="57"/>
      <c r="S27" s="57"/>
      <c r="T27" s="57"/>
    </row>
    <row r="28" spans="1:21">
      <c r="A28" s="50"/>
      <c r="B28" s="50"/>
      <c r="C28" s="50"/>
      <c r="D28" s="50"/>
      <c r="E28" s="50"/>
      <c r="F28" s="51" t="e">
        <f>DATE(YEAR(G28),MONTH(G28)-1,DAY(G28))</f>
        <v>#NUM!</v>
      </c>
      <c r="G28" s="51"/>
      <c r="H28" s="51"/>
      <c r="I28" s="51"/>
      <c r="J28" s="51"/>
      <c r="K28" s="51"/>
      <c r="L28" s="51"/>
      <c r="M28" s="51"/>
      <c r="N28" s="51"/>
      <c r="O28" s="51"/>
      <c r="P28" s="51"/>
      <c r="Q28" s="51"/>
      <c r="R28" s="51"/>
      <c r="S28" s="51"/>
      <c r="T28" s="10"/>
    </row>
    <row r="29" spans="1:21">
      <c r="A29" s="52" t="s">
        <v>28</v>
      </c>
      <c r="B29" s="53">
        <f>SUM(B30:B44)</f>
        <v>15941</v>
      </c>
      <c r="C29" s="53">
        <f>SUM(C30:C44)</f>
        <v>27226</v>
      </c>
      <c r="D29" s="53" t="e">
        <f>SUM(D30:D44)</f>
        <v>#VALUE!</v>
      </c>
      <c r="E29" s="53" t="e">
        <f>SUM(E30:E44)</f>
        <v>#VALUE!</v>
      </c>
      <c r="F29" s="53" t="e">
        <f>SUM(F30:F44)</f>
        <v>#VALUE!</v>
      </c>
      <c r="G29" s="53"/>
      <c r="H29" s="53"/>
      <c r="I29" s="53"/>
      <c r="J29" s="53"/>
      <c r="K29" s="53"/>
      <c r="L29" s="53"/>
      <c r="M29" s="53"/>
      <c r="N29" s="53"/>
      <c r="O29" s="53"/>
      <c r="P29" s="53"/>
      <c r="Q29" s="53"/>
      <c r="R29" s="53"/>
      <c r="S29" s="53"/>
      <c r="T29" s="53"/>
    </row>
    <row r="30" spans="1:21">
      <c r="A30" s="50" t="s">
        <v>136</v>
      </c>
      <c r="B30" s="53">
        <f>+VLOOKUP($A$30&amp;$A$24,REPORT_raw_dataseen!$A$1:$R$769, MATCH(Referrals_pub!B$5,REPORT_raw_dataseen!$D$1:$R$1,1)+3,FALSE)+VLOOKUP($A30&amp;$A$24,REPORT_raw_dataseen!$A$1:$R$769, MATCH(Referrals_pub!B$5,REPORT_raw_dataseen!$D$1:$R$1,1)+2,FALSE)+VLOOKUP($A30&amp;$A$24,REPORT_raw_dataseen!$A$1:$R$769, MATCH(Referrals_pub!B$5,REPORT_raw_dataseen!$D$1:$R$1,1)+1,FALSE)</f>
        <v>558</v>
      </c>
      <c r="C30" s="53">
        <f>+VLOOKUP($A$30&amp;$A$24,REPORT_raw_dataseen!$A$1:$R$769, MATCH(Referrals_pub!C$5,REPORT_raw_dataseen!$D$1:$R$1,1)+3,FALSE)+VLOOKUP($A30&amp;$A$24,REPORT_raw_dataseen!$A$1:$R$769, MATCH(Referrals_pub!C$5,REPORT_raw_dataseen!$D$1:$R$1,1)+2,FALSE)+VLOOKUP($A30&amp;$A$24,REPORT_raw_dataseen!$A$1:$R$769, MATCH(Referrals_pub!C$5,REPORT_raw_dataseen!$D$1:$R$1,1)+1,FALSE)</f>
        <v>1072</v>
      </c>
      <c r="D30" s="53">
        <f>+VLOOKUP($A$30&amp;$A$24,REPORT_raw_dataseen!$A$1:$R$769, MATCH(Referrals_pub!D$5,REPORT_raw_dataseen!$D$1:$R$1,1)+3,FALSE)+VLOOKUP($A30&amp;$A$24,REPORT_raw_dataseen!$A$1:$R$769, MATCH(Referrals_pub!D$5,REPORT_raw_dataseen!$D$1:$R$1,1)+2,FALSE)+VLOOKUP($A30&amp;$A$24,REPORT_raw_dataseen!$A$1:$R$769, MATCH(Referrals_pub!D$5,REPORT_raw_dataseen!$D$1:$R$1,1)+1,FALSE)</f>
        <v>1121</v>
      </c>
      <c r="E30" s="53">
        <f>+VLOOKUP(A30&amp;A$24,REPORT_raw_dataseen!$A$1:$R$769, MATCH(Referrals_pub!E$5,REPORT_raw_dataseen!$D$1:$R$1,1)+3,FALSE)+VLOOKUP(A30&amp;A$24,REPORT_raw_dataseen!$A$1:$R$769, MATCH(Referrals_pub!E$5,REPORT_raw_dataseen!$D$1:$R$1,1)+2,FALSE)+VLOOKUP(A30&amp;A$24,REPORT_raw_dataseen!$A$1:$R$769, MATCH(Referrals_pub!E$5,REPORT_raw_dataseen!$D$1:$R$1,1)+1,FALSE)</f>
        <v>1224</v>
      </c>
      <c r="F30" s="53">
        <f>+VLOOKUP(A30&amp;A$24,REPORT_raw_dataseen!$A$1:$R$769, MATCH(Referrals_pub!F$5,REPORT_raw_dataseen!$D$1:$R$1,1)+3,FALSE)+VLOOKUP(A30&amp;A$24,REPORT_raw_dataseen!$A$1:$R$769, MATCH(Referrals_pub!F$5,REPORT_raw_dataseen!$D$1:$R$1,1)+2,FALSE)+VLOOKUP(A30&amp;A$24,REPORT_raw_dataseen!$A$1:$R$769, MATCH(Referrals_pub!F$5,REPORT_raw_dataseen!$D$1:$R$1,1)+1,FALSE)</f>
        <v>1205</v>
      </c>
      <c r="G30" s="53"/>
      <c r="H30" s="53"/>
      <c r="I30" s="53"/>
      <c r="J30" s="53"/>
      <c r="K30" s="53"/>
      <c r="L30" s="53"/>
      <c r="M30" s="53"/>
      <c r="N30" s="53"/>
      <c r="O30" s="53"/>
      <c r="P30" s="53"/>
      <c r="Q30" s="53"/>
      <c r="R30" s="53"/>
      <c r="S30" s="53"/>
      <c r="T30" s="53"/>
    </row>
    <row r="31" spans="1:21">
      <c r="A31" s="50" t="s">
        <v>137</v>
      </c>
      <c r="B31" s="53">
        <f>+VLOOKUP($A$30&amp;$A$24,REPORT_raw_dataseen!$A$1:$R$769, MATCH(Referrals_pub!B$5,REPORT_raw_dataseen!$D$1:$R$1,1)+3,FALSE)+VLOOKUP($A31&amp;$A$24,REPORT_raw_dataseen!$A$1:$R$769, MATCH(Referrals_pub!B$5,REPORT_raw_dataseen!$D$1:$R$1,1)+2,FALSE)+VLOOKUP($A31&amp;$A$24,REPORT_raw_dataseen!$A$1:$R$769, MATCH(Referrals_pub!B$5,REPORT_raw_dataseen!$D$1:$R$1,1)+1,FALSE)</f>
        <v>347</v>
      </c>
      <c r="C31" s="53">
        <f>+VLOOKUP($A$30&amp;$A$24,REPORT_raw_dataseen!$A$1:$R$769, MATCH(Referrals_pub!C$5,REPORT_raw_dataseen!$D$1:$R$1,1)+3,FALSE)+VLOOKUP($A31&amp;$A$24,REPORT_raw_dataseen!$A$1:$R$769, MATCH(Referrals_pub!C$5,REPORT_raw_dataseen!$D$1:$R$1,1)+2,FALSE)+VLOOKUP($A31&amp;$A$24,REPORT_raw_dataseen!$A$1:$R$769, MATCH(Referrals_pub!C$5,REPORT_raw_dataseen!$D$1:$R$1,1)+1,FALSE)</f>
        <v>512</v>
      </c>
      <c r="D31" s="53">
        <f>+VLOOKUP(A31&amp;A$24,REPORT_raw_dataseen!$A$1:$R$769, MATCH(Referrals_pub!D$5,REPORT_raw_dataseen!$D$1:$R$1,1)+3,FALSE)+VLOOKUP(A31&amp;A$24,REPORT_raw_dataseen!$A$1:$R$769, MATCH(Referrals_pub!D$5,REPORT_raw_dataseen!$D$1:$R$1,1)+2,FALSE)+VLOOKUP(A31&amp;A$24,REPORT_raw_dataseen!$A$1:$R$769, MATCH(Referrals_pub!D$5,REPORT_raw_dataseen!$D$1:$R$1,1)+1,FALSE)</f>
        <v>539</v>
      </c>
      <c r="E31" s="53">
        <f>+VLOOKUP(A31&amp;A$24,REPORT_raw_dataseen!$A$1:$R$769, MATCH(Referrals_pub!E$5,REPORT_raw_dataseen!$D$1:$R$1,1)+3,FALSE)+VLOOKUP(A31&amp;A$24,REPORT_raw_dataseen!$A$1:$R$769, MATCH(Referrals_pub!E$5,REPORT_raw_dataseen!$D$1:$R$1,1)+2,FALSE)+VLOOKUP(A31&amp;A$24,REPORT_raw_dataseen!$A$1:$R$769, MATCH(Referrals_pub!E$5,REPORT_raw_dataseen!$D$1:$R$1,1)+1,FALSE)</f>
        <v>609</v>
      </c>
      <c r="F31" s="53">
        <f>+VLOOKUP(A31&amp;A$24,REPORT_raw_dataseen!$A$1:$R$769, MATCH(Referrals_pub!F$5,REPORT_raw_dataseen!$D$1:$R$1,1)+3,FALSE)+VLOOKUP(A31&amp;A$24,REPORT_raw_dataseen!$A$1:$R$769, MATCH(Referrals_pub!F$5,REPORT_raw_dataseen!$D$1:$R$1,1)+2,FALSE)+VLOOKUP(A31&amp;A$24,REPORT_raw_dataseen!$A$1:$R$769, MATCH(Referrals_pub!F$5,REPORT_raw_dataseen!$D$1:$R$1,1)+1,FALSE)</f>
        <v>1357</v>
      </c>
      <c r="G31" s="53"/>
      <c r="H31" s="53"/>
      <c r="I31" s="53"/>
      <c r="J31" s="53"/>
      <c r="K31" s="53"/>
      <c r="L31" s="53"/>
      <c r="M31" s="53"/>
      <c r="N31" s="53"/>
      <c r="O31" s="53"/>
      <c r="P31" s="53"/>
      <c r="Q31" s="53"/>
      <c r="R31" s="53"/>
      <c r="S31" s="53"/>
      <c r="T31" s="53"/>
    </row>
    <row r="32" spans="1:21">
      <c r="A32" s="50" t="s">
        <v>160</v>
      </c>
      <c r="B32" s="53">
        <f>+VLOOKUP($A$30&amp;$A$24,REPORT_raw_dataseen!$A$1:$R$769, MATCH(Referrals_pub!B$5,REPORT_raw_dataseen!$D$1:$R$1,1)+3,FALSE)+VLOOKUP($A32&amp;$A$24,REPORT_raw_dataseen!$A$1:$R$769, MATCH(Referrals_pub!B$5,REPORT_raw_dataseen!$D$1:$R$1,1)+2,FALSE)+VLOOKUP($A32&amp;$A$24,REPORT_raw_dataseen!$A$1:$R$769, MATCH(Referrals_pub!B$5,REPORT_raw_dataseen!$D$1:$R$1,1)+1,FALSE)</f>
        <v>319</v>
      </c>
      <c r="C32" s="53">
        <f>+VLOOKUP($A$30&amp;$A$24,REPORT_raw_dataseen!$A$1:$R$769, MATCH(Referrals_pub!C$5,REPORT_raw_dataseen!$D$1:$R$1,1)+3,FALSE)+VLOOKUP($A32&amp;$A$24,REPORT_raw_dataseen!$A$1:$R$769, MATCH(Referrals_pub!C$5,REPORT_raw_dataseen!$D$1:$R$1,1)+2,FALSE)+VLOOKUP($A32&amp;$A$24,REPORT_raw_dataseen!$A$1:$R$769, MATCH(Referrals_pub!C$5,REPORT_raw_dataseen!$D$1:$R$1,1)+1,FALSE)</f>
        <v>614</v>
      </c>
      <c r="D32" s="53">
        <f>+VLOOKUP(A32&amp;A$24,REPORT_raw_dataseen!$A$1:$R$769, MATCH(Referrals_pub!D$5,REPORT_raw_dataseen!$D$1:$R$1,1)+3,FALSE)+VLOOKUP(A32&amp;A$24,REPORT_raw_dataseen!$A$1:$R$769, MATCH(Referrals_pub!D$5,REPORT_raw_dataseen!$D$1:$R$1,1)+2,FALSE)+VLOOKUP(A32&amp;A$24,REPORT_raw_dataseen!$A$1:$R$769, MATCH(Referrals_pub!D$5,REPORT_raw_dataseen!$D$1:$R$1,1)+1,FALSE)</f>
        <v>789</v>
      </c>
      <c r="E32" s="53">
        <f>+VLOOKUP(A32&amp;A$24,REPORT_raw_dataseen!$A$1:$R$769, MATCH(Referrals_pub!E$5,REPORT_raw_dataseen!$D$1:$R$1,1)+3,FALSE)+VLOOKUP(A32&amp;A$24,REPORT_raw_dataseen!$A$1:$R$769, MATCH(Referrals_pub!E$5,REPORT_raw_dataseen!$D$1:$R$1,1)+2,FALSE)+VLOOKUP(A32&amp;A$24,REPORT_raw_dataseen!$A$1:$R$769, MATCH(Referrals_pub!E$5,REPORT_raw_dataseen!$D$1:$R$1,1)+1,FALSE)</f>
        <v>738</v>
      </c>
      <c r="F32" s="53">
        <f>+VLOOKUP(A32&amp;A$24,REPORT_raw_dataseen!$A$1:$R$769, MATCH(Referrals_pub!F$5,REPORT_raw_dataseen!$D$1:$R$1,1)+3,FALSE)+VLOOKUP(A32&amp;A$24,REPORT_raw_dataseen!$A$1:$R$769, MATCH(Referrals_pub!F$5,REPORT_raw_dataseen!$D$1:$R$1,1)+2,FALSE)+VLOOKUP(A32&amp;A$24,REPORT_raw_dataseen!$A$1:$R$769, MATCH(Referrals_pub!F$5,REPORT_raw_dataseen!$D$1:$R$1,1)+1,FALSE)</f>
        <v>967</v>
      </c>
      <c r="G32" s="53"/>
      <c r="H32" s="53"/>
      <c r="I32" s="53"/>
      <c r="J32" s="53"/>
      <c r="K32" s="53"/>
      <c r="L32" s="53"/>
      <c r="M32" s="53"/>
      <c r="N32" s="53"/>
      <c r="O32" s="53"/>
      <c r="P32" s="53"/>
      <c r="Q32" s="53"/>
      <c r="R32" s="53"/>
      <c r="S32" s="53"/>
      <c r="T32" s="53"/>
    </row>
    <row r="33" spans="1:20">
      <c r="A33" s="50" t="s">
        <v>138</v>
      </c>
      <c r="B33" s="53">
        <f>+VLOOKUP($A$30&amp;$A$24,REPORT_raw_dataseen!$A$1:$R$769, MATCH(Referrals_pub!B$5,REPORT_raw_dataseen!$D$1:$R$1,1)+3,FALSE)+VLOOKUP($A33&amp;$A$24,REPORT_raw_dataseen!$A$1:$R$769, MATCH(Referrals_pub!B$5,REPORT_raw_dataseen!$D$1:$R$1,1)+2,FALSE)+VLOOKUP($A33&amp;$A$24,REPORT_raw_dataseen!$A$1:$R$769, MATCH(Referrals_pub!B$5,REPORT_raw_dataseen!$D$1:$R$1,1)+1,FALSE)</f>
        <v>580</v>
      </c>
      <c r="C33" s="53">
        <f>+VLOOKUP($A$30&amp;$A$24,REPORT_raw_dataseen!$A$1:$R$769, MATCH(Referrals_pub!C$5,REPORT_raw_dataseen!$D$1:$R$1,1)+3,FALSE)+VLOOKUP($A33&amp;$A$24,REPORT_raw_dataseen!$A$1:$R$769, MATCH(Referrals_pub!C$5,REPORT_raw_dataseen!$D$1:$R$1,1)+2,FALSE)+VLOOKUP($A33&amp;$A$24,REPORT_raw_dataseen!$A$1:$R$769, MATCH(Referrals_pub!C$5,REPORT_raw_dataseen!$D$1:$R$1,1)+1,FALSE)</f>
        <v>1565</v>
      </c>
      <c r="D33" s="53">
        <f>+VLOOKUP(A33&amp;A$24,REPORT_raw_dataseen!$A$1:$R$769, MATCH(Referrals_pub!D$5,REPORT_raw_dataseen!$D$1:$R$1,1)+3,FALSE)+VLOOKUP(A33&amp;A$24,REPORT_raw_dataseen!$A$1:$R$769, MATCH(Referrals_pub!D$5,REPORT_raw_dataseen!$D$1:$R$1,1)+2,FALSE)+VLOOKUP(A33&amp;A$24,REPORT_raw_dataseen!$A$1:$R$769, MATCH(Referrals_pub!D$5,REPORT_raw_dataseen!$D$1:$R$1,1)+1,FALSE)</f>
        <v>2455</v>
      </c>
      <c r="E33" s="53">
        <f>+VLOOKUP(A33&amp;A$24,REPORT_raw_dataseen!$A$1:$R$769, MATCH(Referrals_pub!E$5,REPORT_raw_dataseen!$D$1:$R$1,1)+3,FALSE)+VLOOKUP(A33&amp;A$24,REPORT_raw_dataseen!$A$1:$R$769, MATCH(Referrals_pub!E$5,REPORT_raw_dataseen!$D$1:$R$1,1)+2,FALSE)+VLOOKUP(A33&amp;A$24,REPORT_raw_dataseen!$A$1:$R$769, MATCH(Referrals_pub!E$5,REPORT_raw_dataseen!$D$1:$R$1,1)+1,FALSE)</f>
        <v>2223</v>
      </c>
      <c r="F33" s="53">
        <f>+VLOOKUP(A33&amp;A$24,REPORT_raw_dataseen!$A$1:$R$769, MATCH(Referrals_pub!F$5,REPORT_raw_dataseen!$D$1:$R$1,1)+3,FALSE)+VLOOKUP(A33&amp;A$24,REPORT_raw_dataseen!$A$1:$R$769, MATCH(Referrals_pub!F$5,REPORT_raw_dataseen!$D$1:$R$1,1)+2,FALSE)+VLOOKUP(A33&amp;A$24,REPORT_raw_dataseen!$A$1:$R$769, MATCH(Referrals_pub!F$5,REPORT_raw_dataseen!$D$1:$R$1,1)+1,FALSE)</f>
        <v>2774</v>
      </c>
      <c r="G33" s="53"/>
      <c r="H33" s="53"/>
      <c r="I33" s="53"/>
      <c r="J33" s="53"/>
      <c r="K33" s="53"/>
      <c r="L33" s="53"/>
      <c r="M33" s="53"/>
      <c r="N33" s="53"/>
      <c r="O33" s="53"/>
      <c r="P33" s="53"/>
      <c r="Q33" s="53"/>
      <c r="R33" s="53"/>
      <c r="S33" s="53"/>
      <c r="T33" s="53"/>
    </row>
    <row r="34" spans="1:20">
      <c r="A34" s="50" t="s">
        <v>139</v>
      </c>
      <c r="B34" s="53">
        <f>+VLOOKUP($A$30&amp;$A$24,REPORT_raw_dataseen!$A$1:$R$769, MATCH(Referrals_pub!B$5,REPORT_raw_dataseen!$D$1:$R$1,1)+3,FALSE)+VLOOKUP($A34&amp;$A$24,REPORT_raw_dataseen!$A$1:$R$769, MATCH(Referrals_pub!B$5,REPORT_raw_dataseen!$D$1:$R$1,1)+2,FALSE)+VLOOKUP($A34&amp;$A$24,REPORT_raw_dataseen!$A$1:$R$769, MATCH(Referrals_pub!B$5,REPORT_raw_dataseen!$D$1:$R$1,1)+1,FALSE)</f>
        <v>689</v>
      </c>
      <c r="C34" s="53">
        <f>+VLOOKUP($A$30&amp;$A$24,REPORT_raw_dataseen!$A$1:$R$769, MATCH(Referrals_pub!C$5,REPORT_raw_dataseen!$D$1:$R$1,1)+3,FALSE)+VLOOKUP($A34&amp;$A$24,REPORT_raw_dataseen!$A$1:$R$769, MATCH(Referrals_pub!C$5,REPORT_raw_dataseen!$D$1:$R$1,1)+2,FALSE)+VLOOKUP($A34&amp;$A$24,REPORT_raw_dataseen!$A$1:$R$769, MATCH(Referrals_pub!C$5,REPORT_raw_dataseen!$D$1:$R$1,1)+1,FALSE)</f>
        <v>1214</v>
      </c>
      <c r="D34" s="53">
        <f>+VLOOKUP(A34&amp;A$24,REPORT_raw_dataseen!$A$1:$R$769, MATCH(Referrals_pub!D$5,REPORT_raw_dataseen!$D$1:$R$1,1)+3,FALSE)+VLOOKUP(A34&amp;A$24,REPORT_raw_dataseen!$A$1:$R$769, MATCH(Referrals_pub!D$5,REPORT_raw_dataseen!$D$1:$R$1,1)+2,FALSE)+VLOOKUP(A34&amp;A$24,REPORT_raw_dataseen!$A$1:$R$769, MATCH(Referrals_pub!D$5,REPORT_raw_dataseen!$D$1:$R$1,1)+1,FALSE)</f>
        <v>1716</v>
      </c>
      <c r="E34" s="53">
        <f>+VLOOKUP(A34&amp;A$24,REPORT_raw_dataseen!$A$1:$R$769, MATCH(Referrals_pub!E$5,REPORT_raw_dataseen!$D$1:$R$1,1)+3,FALSE)+VLOOKUP(A34&amp;A$24,REPORT_raw_dataseen!$A$1:$R$769, MATCH(Referrals_pub!E$5,REPORT_raw_dataseen!$D$1:$R$1,1)+2,FALSE)+VLOOKUP(A34&amp;A$24,REPORT_raw_dataseen!$A$1:$R$769, MATCH(Referrals_pub!E$5,REPORT_raw_dataseen!$D$1:$R$1,1)+1,FALSE)</f>
        <v>1310</v>
      </c>
      <c r="F34" s="53">
        <f>+VLOOKUP(A34&amp;A$24,REPORT_raw_dataseen!$A$1:$R$769, MATCH(Referrals_pub!F$5,REPORT_raw_dataseen!$D$1:$R$1,1)+3,FALSE)+VLOOKUP(A34&amp;A$24,REPORT_raw_dataseen!$A$1:$R$769, MATCH(Referrals_pub!F$5,REPORT_raw_dataseen!$D$1:$R$1,1)+2,FALSE)+VLOOKUP(A34&amp;A$24,REPORT_raw_dataseen!$A$1:$R$769, MATCH(Referrals_pub!F$5,REPORT_raw_dataseen!$D$1:$R$1,1)+1,FALSE)</f>
        <v>1210</v>
      </c>
      <c r="G34" s="53"/>
      <c r="H34" s="53"/>
      <c r="I34" s="53"/>
      <c r="J34" s="53"/>
      <c r="K34" s="53"/>
      <c r="L34" s="53"/>
      <c r="M34" s="53"/>
      <c r="N34" s="53"/>
      <c r="O34" s="53"/>
      <c r="P34" s="53"/>
      <c r="Q34" s="53"/>
      <c r="R34" s="53"/>
      <c r="S34" s="53"/>
      <c r="T34" s="53"/>
    </row>
    <row r="35" spans="1:20">
      <c r="A35" s="50" t="s">
        <v>140</v>
      </c>
      <c r="B35" s="53">
        <f>+VLOOKUP($A$30&amp;$A$24,REPORT_raw_dataseen!$A$1:$R$769, MATCH(Referrals_pub!B$5,REPORT_raw_dataseen!$D$1:$R$1,1)+3,FALSE)+VLOOKUP($A35&amp;$A$24,REPORT_raw_dataseen!$A$1:$R$769, MATCH(Referrals_pub!B$5,REPORT_raw_dataseen!$D$1:$R$1,1)+2,FALSE)+VLOOKUP($A35&amp;$A$24,REPORT_raw_dataseen!$A$1:$R$769, MATCH(Referrals_pub!B$5,REPORT_raw_dataseen!$D$1:$R$1,1)+1,FALSE)</f>
        <v>733</v>
      </c>
      <c r="C35" s="53">
        <f>+VLOOKUP($A$30&amp;$A$24,REPORT_raw_dataseen!$A$1:$R$769, MATCH(Referrals_pub!C$5,REPORT_raw_dataseen!$D$1:$R$1,1)+3,FALSE)+VLOOKUP($A35&amp;$A$24,REPORT_raw_dataseen!$A$1:$R$769, MATCH(Referrals_pub!C$5,REPORT_raw_dataseen!$D$1:$R$1,1)+2,FALSE)+VLOOKUP($A35&amp;$A$24,REPORT_raw_dataseen!$A$1:$R$769, MATCH(Referrals_pub!C$5,REPORT_raw_dataseen!$D$1:$R$1,1)+1,FALSE)</f>
        <v>1383</v>
      </c>
      <c r="D35" s="53">
        <f>+VLOOKUP(A35&amp;A$24,REPORT_raw_dataseen!$A$1:$R$769, MATCH(Referrals_pub!D$5,REPORT_raw_dataseen!$D$1:$R$1,1)+3,FALSE)+VLOOKUP(A35&amp;A$24,REPORT_raw_dataseen!$A$1:$R$769, MATCH(Referrals_pub!D$5,REPORT_raw_dataseen!$D$1:$R$1,1)+2,FALSE)+VLOOKUP(A35&amp;A$24,REPORT_raw_dataseen!$A$1:$R$769, MATCH(Referrals_pub!D$5,REPORT_raw_dataseen!$D$1:$R$1,1)+1,FALSE)</f>
        <v>2017</v>
      </c>
      <c r="E35" s="53">
        <f>+VLOOKUP(A35&amp;A$24,REPORT_raw_dataseen!$A$1:$R$769, MATCH(Referrals_pub!E$5,REPORT_raw_dataseen!$D$1:$R$1,1)+3,FALSE)+VLOOKUP(A35&amp;A$24,REPORT_raw_dataseen!$A$1:$R$769, MATCH(Referrals_pub!E$5,REPORT_raw_dataseen!$D$1:$R$1,1)+2,FALSE)+VLOOKUP(A35&amp;A$24,REPORT_raw_dataseen!$A$1:$R$769, MATCH(Referrals_pub!E$5,REPORT_raw_dataseen!$D$1:$R$1,1)+1,FALSE)</f>
        <v>2014</v>
      </c>
      <c r="F35" s="53">
        <f>+VLOOKUP(A35&amp;A$24,REPORT_raw_dataseen!$A$1:$R$769, MATCH(Referrals_pub!F$5,REPORT_raw_dataseen!$D$1:$R$1,1)+3,FALSE)+VLOOKUP(A35&amp;A$24,REPORT_raw_dataseen!$A$1:$R$769, MATCH(Referrals_pub!F$5,REPORT_raw_dataseen!$D$1:$R$1,1)+2,FALSE)+VLOOKUP(A35&amp;A$24,REPORT_raw_dataseen!$A$1:$R$769, MATCH(Referrals_pub!F$5,REPORT_raw_dataseen!$D$1:$R$1,1)+1,FALSE)</f>
        <v>2649</v>
      </c>
      <c r="G35" s="53"/>
      <c r="H35" s="53"/>
      <c r="I35" s="53"/>
      <c r="J35" s="53"/>
      <c r="K35" s="53"/>
      <c r="L35" s="53"/>
      <c r="M35" s="53"/>
      <c r="N35" s="53"/>
      <c r="O35" s="53"/>
      <c r="P35" s="53"/>
      <c r="Q35" s="53"/>
      <c r="R35" s="53"/>
      <c r="S35" s="53"/>
      <c r="T35" s="53"/>
    </row>
    <row r="36" spans="1:20">
      <c r="A36" s="50" t="s">
        <v>141</v>
      </c>
      <c r="B36" s="53">
        <f>+VLOOKUP($A$30&amp;$A$24,REPORT_raw_dataseen!$A$1:$R$769, MATCH(Referrals_pub!B$5,REPORT_raw_dataseen!$D$1:$R$1,1)+3,FALSE)+VLOOKUP($A36&amp;$A$24,REPORT_raw_dataseen!$A$1:$R$769, MATCH(Referrals_pub!B$5,REPORT_raw_dataseen!$D$1:$R$1,1)+2,FALSE)+VLOOKUP($A36&amp;$A$24,REPORT_raw_dataseen!$A$1:$R$769, MATCH(Referrals_pub!B$5,REPORT_raw_dataseen!$D$1:$R$1,1)+1,FALSE)</f>
        <v>6174</v>
      </c>
      <c r="C36" s="53">
        <f>+VLOOKUP($A$30&amp;$A$24,REPORT_raw_dataseen!$A$1:$R$769, MATCH(Referrals_pub!C$5,REPORT_raw_dataseen!$D$1:$R$1,1)+3,FALSE)+VLOOKUP($A36&amp;$A$24,REPORT_raw_dataseen!$A$1:$R$769, MATCH(Referrals_pub!C$5,REPORT_raw_dataseen!$D$1:$R$1,1)+2,FALSE)+VLOOKUP($A36&amp;$A$24,REPORT_raw_dataseen!$A$1:$R$769, MATCH(Referrals_pub!C$5,REPORT_raw_dataseen!$D$1:$R$1,1)+1,FALSE)</f>
        <v>11355</v>
      </c>
      <c r="D36" s="53">
        <f>+VLOOKUP(A36&amp;A$24,REPORT_raw_dataseen!$A$1:$R$769, MATCH(Referrals_pub!D$5,REPORT_raw_dataseen!$D$1:$R$1,1)+3,FALSE)+VLOOKUP(A36&amp;A$24,REPORT_raw_dataseen!$A$1:$R$769, MATCH(Referrals_pub!D$5,REPORT_raw_dataseen!$D$1:$R$1,1)+2,FALSE)+VLOOKUP(A36&amp;A$24,REPORT_raw_dataseen!$A$1:$R$769, MATCH(Referrals_pub!D$5,REPORT_raw_dataseen!$D$1:$R$1,1)+1,FALSE)</f>
        <v>18451</v>
      </c>
      <c r="E36" s="53">
        <f>+VLOOKUP(A36&amp;A$24,REPORT_raw_dataseen!$A$1:$R$769, MATCH(Referrals_pub!E$5,REPORT_raw_dataseen!$D$1:$R$1,1)+3,FALSE)+VLOOKUP(A36&amp;A$24,REPORT_raw_dataseen!$A$1:$R$769, MATCH(Referrals_pub!E$5,REPORT_raw_dataseen!$D$1:$R$1,1)+2,FALSE)+VLOOKUP(A36&amp;A$24,REPORT_raw_dataseen!$A$1:$R$769, MATCH(Referrals_pub!E$5,REPORT_raw_dataseen!$D$1:$R$1,1)+1,FALSE)</f>
        <v>17778</v>
      </c>
      <c r="F36" s="53">
        <f>+VLOOKUP(A36&amp;A$24,REPORT_raw_dataseen!$A$1:$R$769, MATCH(Referrals_pub!F$5,REPORT_raw_dataseen!$D$1:$R$1,1)+3,FALSE)+VLOOKUP(A36&amp;A$24,REPORT_raw_dataseen!$A$1:$R$769, MATCH(Referrals_pub!F$5,REPORT_raw_dataseen!$D$1:$R$1,1)+2,FALSE)+VLOOKUP(A36&amp;A$24,REPORT_raw_dataseen!$A$1:$R$769, MATCH(Referrals_pub!F$5,REPORT_raw_dataseen!$D$1:$R$1,1)+1,FALSE)</f>
        <v>18660</v>
      </c>
      <c r="G36" s="53"/>
      <c r="H36" s="53"/>
      <c r="I36" s="53"/>
      <c r="J36" s="53"/>
      <c r="K36" s="53"/>
      <c r="L36" s="53"/>
      <c r="M36" s="53"/>
      <c r="N36" s="53"/>
      <c r="O36" s="53"/>
      <c r="P36" s="53"/>
      <c r="Q36" s="53"/>
      <c r="R36" s="53"/>
      <c r="S36" s="53"/>
      <c r="T36" s="53"/>
    </row>
    <row r="37" spans="1:20">
      <c r="A37" s="50" t="s">
        <v>142</v>
      </c>
      <c r="B37" s="53">
        <f>+VLOOKUP($A$30&amp;$A$24,REPORT_raw_dataseen!$A$1:$R$769, MATCH(Referrals_pub!B$5,REPORT_raw_dataseen!$D$1:$R$1,1)+3,FALSE)+VLOOKUP($A37&amp;$A$24,REPORT_raw_dataseen!$A$1:$R$769, MATCH(Referrals_pub!B$5,REPORT_raw_dataseen!$D$1:$R$1,1)+2,FALSE)+VLOOKUP($A37&amp;$A$24,REPORT_raw_dataseen!$A$1:$R$769, MATCH(Referrals_pub!B$5,REPORT_raw_dataseen!$D$1:$R$1,1)+1,FALSE)</f>
        <v>563</v>
      </c>
      <c r="C37" s="53">
        <f>+VLOOKUP($A$30&amp;$A$24,REPORT_raw_dataseen!$A$1:$R$769, MATCH(Referrals_pub!C$5,REPORT_raw_dataseen!$D$1:$R$1,1)+3,FALSE)+VLOOKUP($A37&amp;$A$24,REPORT_raw_dataseen!$A$1:$R$769, MATCH(Referrals_pub!C$5,REPORT_raw_dataseen!$D$1:$R$1,1)+2,FALSE)+VLOOKUP($A37&amp;$A$24,REPORT_raw_dataseen!$A$1:$R$769, MATCH(Referrals_pub!C$5,REPORT_raw_dataseen!$D$1:$R$1,1)+1,FALSE)</f>
        <v>994</v>
      </c>
      <c r="D37" s="53">
        <f>+VLOOKUP(A37&amp;A$24,REPORT_raw_dataseen!$A$1:$R$769, MATCH(Referrals_pub!D$5,REPORT_raw_dataseen!$D$1:$R$1,1)+3,FALSE)+VLOOKUP(A37&amp;A$24,REPORT_raw_dataseen!$A$1:$R$769, MATCH(Referrals_pub!D$5,REPORT_raw_dataseen!$D$1:$R$1,1)+2,FALSE)+VLOOKUP(A37&amp;A$24,REPORT_raw_dataseen!$A$1:$R$769, MATCH(Referrals_pub!D$5,REPORT_raw_dataseen!$D$1:$R$1,1)+1,FALSE)</f>
        <v>797</v>
      </c>
      <c r="E37" s="53">
        <f>+VLOOKUP(A37&amp;A$24,REPORT_raw_dataseen!$A$1:$R$769, MATCH(Referrals_pub!E$5,REPORT_raw_dataseen!$D$1:$R$1,1)+3,FALSE)+VLOOKUP(A37&amp;A$24,REPORT_raw_dataseen!$A$1:$R$769, MATCH(Referrals_pub!E$5,REPORT_raw_dataseen!$D$1:$R$1,1)+2,FALSE)+VLOOKUP(A37&amp;A$24,REPORT_raw_dataseen!$A$1:$R$769, MATCH(Referrals_pub!E$5,REPORT_raw_dataseen!$D$1:$R$1,1)+1,FALSE)</f>
        <v>1038</v>
      </c>
      <c r="F37" s="53">
        <f>+VLOOKUP(A37&amp;A$24,REPORT_raw_dataseen!$A$1:$R$769, MATCH(Referrals_pub!F$5,REPORT_raw_dataseen!$D$1:$R$1,1)+3,FALSE)+VLOOKUP(A37&amp;A$24,REPORT_raw_dataseen!$A$1:$R$769, MATCH(Referrals_pub!F$5,REPORT_raw_dataseen!$D$1:$R$1,1)+2,FALSE)+VLOOKUP(A37&amp;A$24,REPORT_raw_dataseen!$A$1:$R$769, MATCH(Referrals_pub!F$5,REPORT_raw_dataseen!$D$1:$R$1,1)+1,FALSE)</f>
        <v>1781</v>
      </c>
      <c r="G37" s="53"/>
      <c r="H37" s="53"/>
      <c r="I37" s="53"/>
      <c r="J37" s="53"/>
      <c r="K37" s="53"/>
      <c r="L37" s="53"/>
      <c r="M37" s="53"/>
      <c r="N37" s="53"/>
      <c r="O37" s="53"/>
      <c r="P37" s="53"/>
      <c r="Q37" s="53"/>
      <c r="R37" s="53"/>
      <c r="S37" s="53"/>
      <c r="T37" s="53"/>
    </row>
    <row r="38" spans="1:20">
      <c r="A38" s="50" t="s">
        <v>192</v>
      </c>
      <c r="B38" s="53">
        <f>+VLOOKUP($A$30&amp;$A$24,REPORT_raw_dataseen!$A$1:$R$769, MATCH(Referrals_pub!B$5,REPORT_raw_dataseen!$D$1:$R$1,1)+3,FALSE)+VLOOKUP($A38&amp;$A$24,REPORT_raw_dataseen!$A$1:$R$769, MATCH(Referrals_pub!B$5,REPORT_raw_dataseen!$D$1:$R$1,1)+2,FALSE)+VLOOKUP($A38&amp;$A$24,REPORT_raw_dataseen!$A$1:$R$769, MATCH(Referrals_pub!B$5,REPORT_raw_dataseen!$D$1:$R$1,1)+1,FALSE)</f>
        <v>1146</v>
      </c>
      <c r="C38" s="53">
        <f>+VLOOKUP($A$30&amp;$A$24,REPORT_raw_dataseen!$A$1:$R$769, MATCH(Referrals_pub!C$5,REPORT_raw_dataseen!$D$1:$R$1,1)+3,FALSE)+VLOOKUP($A38&amp;$A$24,REPORT_raw_dataseen!$A$1:$R$769, MATCH(Referrals_pub!C$5,REPORT_raw_dataseen!$D$1:$R$1,1)+2,FALSE)+VLOOKUP($A38&amp;$A$24,REPORT_raw_dataseen!$A$1:$R$769, MATCH(Referrals_pub!C$5,REPORT_raw_dataseen!$D$1:$R$1,1)+1,FALSE)</f>
        <v>2198</v>
      </c>
      <c r="D38" s="53">
        <f>+VLOOKUP(A38&amp;A$24,REPORT_raw_dataseen!$A$1:$R$769, MATCH(Referrals_pub!D$5,REPORT_raw_dataseen!$D$1:$R$1,1)+3,FALSE)+VLOOKUP(A38&amp;A$24,REPORT_raw_dataseen!$A$1:$R$769, MATCH(Referrals_pub!D$5,REPORT_raw_dataseen!$D$1:$R$1,1)+2,FALSE)+VLOOKUP(A38&amp;A$24,REPORT_raw_dataseen!$A$1:$R$769, MATCH(Referrals_pub!D$5,REPORT_raw_dataseen!$D$1:$R$1,1)+1,FALSE)</f>
        <v>3211</v>
      </c>
      <c r="E38" s="53">
        <f>+VLOOKUP(A38&amp;A$24,REPORT_raw_dataseen!$A$1:$R$769, MATCH(Referrals_pub!E$5,REPORT_raw_dataseen!$D$1:$R$1,1)+3,FALSE)+VLOOKUP(A38&amp;A$24,REPORT_raw_dataseen!$A$1:$R$769, MATCH(Referrals_pub!E$5,REPORT_raw_dataseen!$D$1:$R$1,1)+2,FALSE)+VLOOKUP(A38&amp;A$24,REPORT_raw_dataseen!$A$1:$R$769, MATCH(Referrals_pub!E$5,REPORT_raw_dataseen!$D$1:$R$1,1)+1,FALSE)</f>
        <v>3163</v>
      </c>
      <c r="F38" s="53">
        <f>+VLOOKUP(A38&amp;A$24,REPORT_raw_dataseen!$A$1:$R$769, MATCH(Referrals_pub!F$5,REPORT_raw_dataseen!$D$1:$R$1,1)+3,FALSE)+VLOOKUP(A38&amp;A$24,REPORT_raw_dataseen!$A$1:$R$769, MATCH(Referrals_pub!F$5,REPORT_raw_dataseen!$D$1:$R$1,1)+2,FALSE)+VLOOKUP(A38&amp;A$24,REPORT_raw_dataseen!$A$1:$R$769, MATCH(Referrals_pub!F$5,REPORT_raw_dataseen!$D$1:$R$1,1)+1,FALSE)</f>
        <v>3767</v>
      </c>
      <c r="G38" s="53"/>
      <c r="H38" s="53"/>
      <c r="I38" s="53"/>
      <c r="J38" s="53"/>
      <c r="K38" s="53"/>
      <c r="L38" s="53"/>
      <c r="M38" s="53"/>
      <c r="N38" s="53"/>
      <c r="O38" s="53"/>
      <c r="P38" s="53"/>
      <c r="Q38" s="53"/>
      <c r="R38" s="53"/>
      <c r="S38" s="53"/>
      <c r="T38" s="53"/>
    </row>
    <row r="39" spans="1:20">
      <c r="A39" s="50" t="s">
        <v>143</v>
      </c>
      <c r="B39" s="53">
        <f>+VLOOKUP($A$30&amp;$A$24,REPORT_raw_dataseen!$A$1:$R$769, MATCH(Referrals_pub!B$5,REPORT_raw_dataseen!$D$1:$R$1,1)+3,FALSE)+VLOOKUP($A39&amp;$A$24,REPORT_raw_dataseen!$A$1:$R$769, MATCH(Referrals_pub!B$5,REPORT_raw_dataseen!$D$1:$R$1,1)+2,FALSE)+VLOOKUP($A39&amp;$A$24,REPORT_raw_dataseen!$A$1:$R$769, MATCH(Referrals_pub!B$5,REPORT_raw_dataseen!$D$1:$R$1,1)+1,FALSE)</f>
        <v>2790</v>
      </c>
      <c r="C39" s="53">
        <f>+VLOOKUP($A$30&amp;$A$24,REPORT_raw_dataseen!$A$1:$R$769, MATCH(Referrals_pub!C$5,REPORT_raw_dataseen!$D$1:$R$1,1)+3,FALSE)+VLOOKUP($A39&amp;$A$24,REPORT_raw_dataseen!$A$1:$R$769, MATCH(Referrals_pub!C$5,REPORT_raw_dataseen!$D$1:$R$1,1)+2,FALSE)+VLOOKUP($A39&amp;$A$24,REPORT_raw_dataseen!$A$1:$R$769, MATCH(Referrals_pub!C$5,REPORT_raw_dataseen!$D$1:$R$1,1)+1,FALSE)</f>
        <v>2977</v>
      </c>
      <c r="D39" s="53">
        <f>+VLOOKUP(A39&amp;A$24,REPORT_raw_dataseen!$A$1:$R$769, MATCH(Referrals_pub!D$5,REPORT_raw_dataseen!$D$1:$R$1,1)+3,FALSE)+VLOOKUP(A39&amp;A$24,REPORT_raw_dataseen!$A$1:$R$769, MATCH(Referrals_pub!D$5,REPORT_raw_dataseen!$D$1:$R$1,1)+2,FALSE)+VLOOKUP(A39&amp;A$24,REPORT_raw_dataseen!$A$1:$R$769, MATCH(Referrals_pub!D$5,REPORT_raw_dataseen!$D$1:$R$1,1)+1,FALSE)</f>
        <v>4601</v>
      </c>
      <c r="E39" s="53">
        <f>+VLOOKUP(A39&amp;A$24,REPORT_raw_dataseen!$A$1:$R$769, MATCH(Referrals_pub!E$5,REPORT_raw_dataseen!$D$1:$R$1,1)+3,FALSE)+VLOOKUP(A39&amp;A$24,REPORT_raw_dataseen!$A$1:$R$769, MATCH(Referrals_pub!E$5,REPORT_raw_dataseen!$D$1:$R$1,1)+2,FALSE)+VLOOKUP(A39&amp;A$24,REPORT_raw_dataseen!$A$1:$R$769, MATCH(Referrals_pub!E$5,REPORT_raw_dataseen!$D$1:$R$1,1)+1,FALSE)</f>
        <v>4573</v>
      </c>
      <c r="F39" s="53">
        <f>+VLOOKUP(A39&amp;A$24,REPORT_raw_dataseen!$A$1:$R$769, MATCH(Referrals_pub!F$5,REPORT_raw_dataseen!$D$1:$R$1,1)+3,FALSE)+VLOOKUP(A39&amp;A$24,REPORT_raw_dataseen!$A$1:$R$769, MATCH(Referrals_pub!F$5,REPORT_raw_dataseen!$D$1:$R$1,1)+2,FALSE)+VLOOKUP(A39&amp;A$24,REPORT_raw_dataseen!$A$1:$R$769, MATCH(Referrals_pub!F$5,REPORT_raw_dataseen!$D$1:$R$1,1)+1,FALSE)</f>
        <v>4675</v>
      </c>
      <c r="G39" s="53"/>
      <c r="H39" s="53"/>
      <c r="I39" s="53"/>
      <c r="J39" s="53"/>
      <c r="K39" s="53"/>
      <c r="L39" s="53"/>
      <c r="M39" s="53"/>
      <c r="N39" s="53"/>
      <c r="O39" s="53"/>
      <c r="P39" s="53"/>
      <c r="Q39" s="53"/>
      <c r="R39" s="53"/>
      <c r="S39" s="53"/>
      <c r="T39" s="53"/>
    </row>
    <row r="40" spans="1:20">
      <c r="A40" s="50" t="s">
        <v>144</v>
      </c>
      <c r="B40" s="53">
        <f>+VLOOKUP($A$30&amp;$A$24,REPORT_raw_dataseen!$A$1:$R$769, MATCH(Referrals_pub!B$5,REPORT_raw_dataseen!$D$1:$R$1,1)+3,FALSE)+VLOOKUP($A40&amp;$A$24,REPORT_raw_dataseen!$A$1:$R$769, MATCH(Referrals_pub!B$5,REPORT_raw_dataseen!$D$1:$R$1,1)+2,FALSE)+VLOOKUP($A40&amp;$A$24,REPORT_raw_dataseen!$A$1:$R$769, MATCH(Referrals_pub!B$5,REPORT_raw_dataseen!$D$1:$R$1,1)+1,FALSE)</f>
        <v>260</v>
      </c>
      <c r="C40" s="53">
        <f>+VLOOKUP($A$30&amp;$A$24,REPORT_raw_dataseen!$A$1:$R$769, MATCH(Referrals_pub!C$5,REPORT_raw_dataseen!$D$1:$R$1,1)+3,FALSE)+VLOOKUP($A40&amp;$A$24,REPORT_raw_dataseen!$A$1:$R$769, MATCH(Referrals_pub!C$5,REPORT_raw_dataseen!$D$1:$R$1,1)+2,FALSE)+VLOOKUP($A40&amp;$A$24,REPORT_raw_dataseen!$A$1:$R$769, MATCH(Referrals_pub!C$5,REPORT_raw_dataseen!$D$1:$R$1,1)+1,FALSE)</f>
        <v>422</v>
      </c>
      <c r="D40" s="53">
        <f>+VLOOKUP(A40&amp;A$24,REPORT_raw_dataseen!$A$1:$R$769, MATCH(Referrals_pub!D$5,REPORT_raw_dataseen!$D$1:$R$1,1)+3,FALSE)+VLOOKUP(A40&amp;A$24,REPORT_raw_dataseen!$A$1:$R$769, MATCH(Referrals_pub!D$5,REPORT_raw_dataseen!$D$1:$R$1,1)+2,FALSE)+VLOOKUP(A40&amp;A$24,REPORT_raw_dataseen!$A$1:$R$769, MATCH(Referrals_pub!D$5,REPORT_raw_dataseen!$D$1:$R$1,1)+1,FALSE)</f>
        <v>41</v>
      </c>
      <c r="E40" s="53">
        <f>+VLOOKUP(A40&amp;A$24,REPORT_raw_dataseen!$A$1:$R$769, MATCH(Referrals_pub!E$5,REPORT_raw_dataseen!$D$1:$R$1,1)+3,FALSE)+VLOOKUP(A40&amp;A$24,REPORT_raw_dataseen!$A$1:$R$769, MATCH(Referrals_pub!E$5,REPORT_raw_dataseen!$D$1:$R$1,1)+2,FALSE)+VLOOKUP(A40&amp;A$24,REPORT_raw_dataseen!$A$1:$R$769, MATCH(Referrals_pub!E$5,REPORT_raw_dataseen!$D$1:$R$1,1)+1,FALSE)</f>
        <v>33</v>
      </c>
      <c r="F40" s="53">
        <f>+VLOOKUP(A40&amp;A$24,REPORT_raw_dataseen!$A$1:$R$769, MATCH(Referrals_pub!F$5,REPORT_raw_dataseen!$D$1:$R$1,1)+3,FALSE)+VLOOKUP(A40&amp;A$24,REPORT_raw_dataseen!$A$1:$R$769, MATCH(Referrals_pub!F$5,REPORT_raw_dataseen!$D$1:$R$1,1)+2,FALSE)+VLOOKUP(A40&amp;A$24,REPORT_raw_dataseen!$A$1:$R$769, MATCH(Referrals_pub!F$5,REPORT_raw_dataseen!$D$1:$R$1,1)+1,FALSE)</f>
        <v>46</v>
      </c>
      <c r="G40" s="53"/>
      <c r="H40" s="53"/>
      <c r="I40" s="53"/>
      <c r="J40" s="53"/>
      <c r="K40" s="53"/>
      <c r="L40" s="53"/>
      <c r="M40" s="53"/>
      <c r="N40" s="53"/>
      <c r="O40" s="53"/>
      <c r="P40" s="53"/>
      <c r="Q40" s="53"/>
      <c r="R40" s="53"/>
      <c r="S40" s="53"/>
      <c r="T40" s="53"/>
    </row>
    <row r="41" spans="1:20">
      <c r="A41" s="50" t="s">
        <v>145</v>
      </c>
      <c r="B41" s="53">
        <f>+VLOOKUP($A$30&amp;$A$24,REPORT_raw_dataseen!$A$1:$R$769, MATCH(Referrals_pub!B$5,REPORT_raw_dataseen!$D$1:$R$1,1)+3,FALSE)+VLOOKUP($A41&amp;$A$24,REPORT_raw_dataseen!$A$1:$R$769, MATCH(Referrals_pub!B$5,REPORT_raw_dataseen!$D$1:$R$1,1)+2,FALSE)+VLOOKUP($A41&amp;$A$24,REPORT_raw_dataseen!$A$1:$R$769, MATCH(Referrals_pub!B$5,REPORT_raw_dataseen!$D$1:$R$1,1)+1,FALSE)</f>
        <v>258</v>
      </c>
      <c r="C41" s="53">
        <f>+VLOOKUP($A$30&amp;$A$24,REPORT_raw_dataseen!$A$1:$R$769, MATCH(Referrals_pub!C$5,REPORT_raw_dataseen!$D$1:$R$1,1)+3,FALSE)+VLOOKUP($A41&amp;$A$24,REPORT_raw_dataseen!$A$1:$R$769, MATCH(Referrals_pub!C$5,REPORT_raw_dataseen!$D$1:$R$1,1)+2,FALSE)+VLOOKUP($A41&amp;$A$24,REPORT_raw_dataseen!$A$1:$R$769, MATCH(Referrals_pub!C$5,REPORT_raw_dataseen!$D$1:$R$1,1)+1,FALSE)</f>
        <v>420</v>
      </c>
      <c r="D41" s="53">
        <f>+VLOOKUP(A41&amp;A$24,REPORT_raw_dataseen!$A$1:$R$769, MATCH(Referrals_pub!D$5,REPORT_raw_dataseen!$D$1:$R$1,1)+3,FALSE)+VLOOKUP(A41&amp;A$24,REPORT_raw_dataseen!$A$1:$R$769, MATCH(Referrals_pub!D$5,REPORT_raw_dataseen!$D$1:$R$1,1)+2,FALSE)+VLOOKUP(A41&amp;A$24,REPORT_raw_dataseen!$A$1:$R$769, MATCH(Referrals_pub!D$5,REPORT_raw_dataseen!$D$1:$R$1,1)+1,FALSE)</f>
        <v>93</v>
      </c>
      <c r="E41" s="53">
        <f>+VLOOKUP(A41&amp;A$24,REPORT_raw_dataseen!$A$1:$R$769, MATCH(Referrals_pub!E$5,REPORT_raw_dataseen!$D$1:$R$1,1)+3,FALSE)+VLOOKUP(A41&amp;A$24,REPORT_raw_dataseen!$A$1:$R$769, MATCH(Referrals_pub!E$5,REPORT_raw_dataseen!$D$1:$R$1,1)+2,FALSE)+VLOOKUP(A41&amp;A$24,REPORT_raw_dataseen!$A$1:$R$769, MATCH(Referrals_pub!E$5,REPORT_raw_dataseen!$D$1:$R$1,1)+1,FALSE)</f>
        <v>102</v>
      </c>
      <c r="F41" s="53">
        <f>+VLOOKUP(A41&amp;A$24,REPORT_raw_dataseen!$A$1:$R$769, MATCH(Referrals_pub!F$5,REPORT_raw_dataseen!$D$1:$R$1,1)+3,FALSE)+VLOOKUP(A41&amp;A$24,REPORT_raw_dataseen!$A$1:$R$769, MATCH(Referrals_pub!F$5,REPORT_raw_dataseen!$D$1:$R$1,1)+2,FALSE)+VLOOKUP(A41&amp;A$24,REPORT_raw_dataseen!$A$1:$R$769, MATCH(Referrals_pub!F$5,REPORT_raw_dataseen!$D$1:$R$1,1)+1,FALSE)</f>
        <v>106</v>
      </c>
      <c r="G41" s="53"/>
      <c r="H41" s="53"/>
      <c r="I41" s="53"/>
      <c r="J41" s="53"/>
      <c r="K41" s="53"/>
      <c r="L41" s="53"/>
      <c r="M41" s="53"/>
      <c r="N41" s="53"/>
      <c r="O41" s="53"/>
      <c r="P41" s="53"/>
      <c r="Q41" s="53"/>
      <c r="R41" s="53"/>
      <c r="S41" s="53"/>
      <c r="T41" s="53"/>
    </row>
    <row r="42" spans="1:20">
      <c r="A42" s="50" t="s">
        <v>146</v>
      </c>
      <c r="B42" s="53">
        <f>+VLOOKUP($A$30&amp;$A$24,REPORT_raw_dataseen!$A$1:$R$769, MATCH(Referrals_pub!B$5,REPORT_raw_dataseen!$D$1:$R$1,1)+3,FALSE)+VLOOKUP($A42&amp;$A$24,REPORT_raw_dataseen!$A$1:$R$769, MATCH(Referrals_pub!B$5,REPORT_raw_dataseen!$D$1:$R$1,1)+2,FALSE)+VLOOKUP($A42&amp;$A$24,REPORT_raw_dataseen!$A$1:$R$769, MATCH(Referrals_pub!B$5,REPORT_raw_dataseen!$D$1:$R$1,1)+1,FALSE)</f>
        <v>920</v>
      </c>
      <c r="C42" s="53">
        <f>+VLOOKUP($A$30&amp;$A$24,REPORT_raw_dataseen!$A$1:$R$769, MATCH(Referrals_pub!C$5,REPORT_raw_dataseen!$D$1:$R$1,1)+3,FALSE)+VLOOKUP($A42&amp;$A$24,REPORT_raw_dataseen!$A$1:$R$769, MATCH(Referrals_pub!C$5,REPORT_raw_dataseen!$D$1:$R$1,1)+2,FALSE)+VLOOKUP($A42&amp;$A$24,REPORT_raw_dataseen!$A$1:$R$769, MATCH(Referrals_pub!C$5,REPORT_raw_dataseen!$D$1:$R$1,1)+1,FALSE)</f>
        <v>1528</v>
      </c>
      <c r="D42" s="53">
        <f>+VLOOKUP(A42&amp;A$24,REPORT_raw_dataseen!$A$1:$R$769, MATCH(Referrals_pub!D$5,REPORT_raw_dataseen!$D$1:$R$1,1)+3,FALSE)+VLOOKUP(A42&amp;A$24,REPORT_raw_dataseen!$A$1:$R$769, MATCH(Referrals_pub!D$5,REPORT_raw_dataseen!$D$1:$R$1,1)+2,FALSE)+VLOOKUP(A42&amp;A$24,REPORT_raw_dataseen!$A$1:$R$769, MATCH(Referrals_pub!D$5,REPORT_raw_dataseen!$D$1:$R$1,1)+1,FALSE)</f>
        <v>1658</v>
      </c>
      <c r="E42" s="53">
        <f>+VLOOKUP(A42&amp;A$24,REPORT_raw_dataseen!$A$1:$R$769, MATCH(Referrals_pub!E$5,REPORT_raw_dataseen!$D$1:$R$1,1)+3,FALSE)+VLOOKUP(A42&amp;A$24,REPORT_raw_dataseen!$A$1:$R$769, MATCH(Referrals_pub!E$5,REPORT_raw_dataseen!$D$1:$R$1,1)+2,FALSE)+VLOOKUP(A42&amp;A$24,REPORT_raw_dataseen!$A$1:$R$769, MATCH(Referrals_pub!E$5,REPORT_raw_dataseen!$D$1:$R$1,1)+1,FALSE)</f>
        <v>1691</v>
      </c>
      <c r="F42" s="53">
        <f>+VLOOKUP(A42&amp;A$24,REPORT_raw_dataseen!$A$1:$R$769, MATCH(Referrals_pub!F$5,REPORT_raw_dataseen!$D$1:$R$1,1)+3,FALSE)+VLOOKUP(A42&amp;A$24,REPORT_raw_dataseen!$A$1:$R$769, MATCH(Referrals_pub!F$5,REPORT_raw_dataseen!$D$1:$R$1,1)+2,FALSE)+VLOOKUP(A42&amp;A$24,REPORT_raw_dataseen!$A$1:$R$769, MATCH(Referrals_pub!F$5,REPORT_raw_dataseen!$D$1:$R$1,1)+1,FALSE)</f>
        <v>1981</v>
      </c>
      <c r="G42" s="53"/>
      <c r="H42" s="53"/>
      <c r="I42" s="53"/>
      <c r="J42" s="53"/>
      <c r="K42" s="53"/>
      <c r="L42" s="53"/>
      <c r="M42" s="53"/>
      <c r="N42" s="53"/>
      <c r="O42" s="53"/>
      <c r="P42" s="53"/>
      <c r="Q42" s="53"/>
      <c r="R42" s="53"/>
      <c r="S42" s="53"/>
      <c r="T42" s="53"/>
    </row>
    <row r="43" spans="1:20">
      <c r="A43" s="50" t="s">
        <v>147</v>
      </c>
      <c r="B43" s="53">
        <f>+VLOOKUP($A$30&amp;$A$24,REPORT_raw_dataseen!$A$1:$R$769, MATCH(Referrals_pub!B$5,REPORT_raw_dataseen!$D$1:$R$1,1)+3,FALSE)+VLOOKUP($A43&amp;$A$24,REPORT_raw_dataseen!$A$1:$R$769, MATCH(Referrals_pub!B$5,REPORT_raw_dataseen!$D$1:$R$1,1)+2,FALSE)+VLOOKUP($A43&amp;$A$24,REPORT_raw_dataseen!$A$1:$R$769, MATCH(Referrals_pub!B$5,REPORT_raw_dataseen!$D$1:$R$1,1)+1,FALSE)</f>
        <v>265</v>
      </c>
      <c r="C43" s="53">
        <f>+VLOOKUP($A$30&amp;$A$24,REPORT_raw_dataseen!$A$1:$R$769, MATCH(Referrals_pub!C$5,REPORT_raw_dataseen!$D$1:$R$1,1)+3,FALSE)+VLOOKUP($A43&amp;$A$24,REPORT_raw_dataseen!$A$1:$R$769, MATCH(Referrals_pub!C$5,REPORT_raw_dataseen!$D$1:$R$1,1)+2,FALSE)+VLOOKUP($A43&amp;$A$24,REPORT_raw_dataseen!$A$1:$R$769, MATCH(Referrals_pub!C$5,REPORT_raw_dataseen!$D$1:$R$1,1)+1,FALSE)</f>
        <v>421</v>
      </c>
      <c r="D43" s="53">
        <f>+VLOOKUP(A43&amp;A$24,REPORT_raw_dataseen!$A$1:$R$769, MATCH(Referrals_pub!D$5,REPORT_raw_dataseen!$D$1:$R$1,1)+3,FALSE)+VLOOKUP(A43&amp;A$24,REPORT_raw_dataseen!$A$1:$R$769, MATCH(Referrals_pub!D$5,REPORT_raw_dataseen!$D$1:$R$1,1)+2,FALSE)+VLOOKUP(A43&amp;A$24,REPORT_raw_dataseen!$A$1:$R$769, MATCH(Referrals_pub!D$5,REPORT_raw_dataseen!$D$1:$R$1,1)+1,FALSE)</f>
        <v>24</v>
      </c>
      <c r="E43" s="53">
        <f>+VLOOKUP(A43&amp;A$24,REPORT_raw_dataseen!$A$1:$R$769, MATCH(Referrals_pub!E$5,REPORT_raw_dataseen!$D$1:$R$1,1)+3,FALSE)+VLOOKUP(A43&amp;A$24,REPORT_raw_dataseen!$A$1:$R$769, MATCH(Referrals_pub!E$5,REPORT_raw_dataseen!$D$1:$R$1,1)+2,FALSE)+VLOOKUP(A43&amp;A$24,REPORT_raw_dataseen!$A$1:$R$769, MATCH(Referrals_pub!E$5,REPORT_raw_dataseen!$D$1:$R$1,1)+1,FALSE)</f>
        <v>15</v>
      </c>
      <c r="F43" s="53">
        <f>+VLOOKUP(A43&amp;A$24,REPORT_raw_dataseen!$A$1:$R$769, MATCH(Referrals_pub!F$5,REPORT_raw_dataseen!$D$1:$R$1,1)+3,FALSE)+VLOOKUP(A43&amp;A$24,REPORT_raw_dataseen!$A$1:$R$769, MATCH(Referrals_pub!F$5,REPORT_raw_dataseen!$D$1:$R$1,1)+2,FALSE)+VLOOKUP(A43&amp;A$24,REPORT_raw_dataseen!$A$1:$R$769, MATCH(Referrals_pub!F$5,REPORT_raw_dataseen!$D$1:$R$1,1)+1,FALSE)</f>
        <v>11</v>
      </c>
      <c r="G43" s="53"/>
      <c r="H43" s="53"/>
      <c r="I43" s="53"/>
      <c r="J43" s="53"/>
      <c r="K43" s="53"/>
      <c r="L43" s="53"/>
      <c r="M43" s="53"/>
      <c r="N43" s="53"/>
      <c r="O43" s="53"/>
      <c r="P43" s="53"/>
      <c r="Q43" s="53"/>
      <c r="R43" s="53"/>
      <c r="S43" s="53"/>
      <c r="T43" s="53"/>
    </row>
    <row r="44" spans="1:20">
      <c r="A44" s="59" t="s">
        <v>328</v>
      </c>
      <c r="B44" s="53">
        <f>+VLOOKUP($A$30&amp;$A$24,REPORT_raw_dataseen!$A$1:$R$769, MATCH(Referrals_pub!B$5,REPORT_raw_dataseen!$D$1:$R$1,1)+3,FALSE)+VLOOKUP($A44&amp;$A$24,REPORT_raw_dataseen!$A$1:$R$769, MATCH(Referrals_pub!B$5,REPORT_raw_dataseen!$D$1:$R$1,1)+2,FALSE)+VLOOKUP($A44&amp;$A$24,REPORT_raw_dataseen!$A$1:$R$769, MATCH(Referrals_pub!B$5,REPORT_raw_dataseen!$D$1:$R$1,1)+1,FALSE)</f>
        <v>339</v>
      </c>
      <c r="C44" s="53">
        <f>+VLOOKUP($A$30&amp;$A$24,REPORT_raw_dataseen!$A$1:$R$769, MATCH(Referrals_pub!C$5,REPORT_raw_dataseen!$D$1:$R$1,1)+3,FALSE)+VLOOKUP($A44&amp;$A$24,REPORT_raw_dataseen!$A$1:$R$769, MATCH(Referrals_pub!C$5,REPORT_raw_dataseen!$D$1:$R$1,1)+2,FALSE)+VLOOKUP($A44&amp;$A$24,REPORT_raw_dataseen!$A$1:$R$769, MATCH(Referrals_pub!C$5,REPORT_raw_dataseen!$D$1:$R$1,1)+1,FALSE)</f>
        <v>551</v>
      </c>
      <c r="D44" s="53" t="e">
        <f>+VLOOKUP(A44&amp;A$24,REPORT_raw_dataseen!$A$1:$R$769, MATCH(Referrals_pub!D$5,REPORT_raw_dataseen!$D$1:$R$1,1)+3,FALSE)+VLOOKUP(A44&amp;A$24,REPORT_raw_dataseen!$A$1:$R$769, MATCH(Referrals_pub!D$5,REPORT_raw_dataseen!$D$1:$R$1,1)+2,FALSE)+VLOOKUP(A44&amp;A$24,REPORT_raw_dataseen!$A$1:$R$769, MATCH(Referrals_pub!D$5,REPORT_raw_dataseen!$D$1:$R$1,1)+1,FALSE)</f>
        <v>#VALUE!</v>
      </c>
      <c r="E44" s="53" t="e">
        <f>+VLOOKUP(A44&amp;A$24,REPORT_raw_dataseen!$A$1:$R$769, MATCH(Referrals_pub!E$5,REPORT_raw_dataseen!$D$1:$R$1,1)+3,FALSE)+VLOOKUP(A44&amp;A$24,REPORT_raw_dataseen!$A$1:$R$769, MATCH(Referrals_pub!E$5,REPORT_raw_dataseen!$D$1:$R$1,1)+2,FALSE)+VLOOKUP(A44&amp;A$24,REPORT_raw_dataseen!$A$1:$R$769, MATCH(Referrals_pub!E$5,REPORT_raw_dataseen!$D$1:$R$1,1)+1,FALSE)</f>
        <v>#VALUE!</v>
      </c>
      <c r="F44" s="53" t="e">
        <f>+VLOOKUP(A44&amp;A$24,REPORT_raw_dataseen!$A$1:$R$769, MATCH(Referrals_pub!F$5,REPORT_raw_dataseen!$D$1:$R$1,1)+3,FALSE)+VLOOKUP(A44&amp;A$24,REPORT_raw_dataseen!$A$1:$R$769, MATCH(Referrals_pub!F$5,REPORT_raw_dataseen!$D$1:$R$1,1)+2,FALSE)+VLOOKUP(A44&amp;A$24,REPORT_raw_dataseen!$A$1:$R$769, MATCH(Referrals_pub!F$5,REPORT_raw_dataseen!$D$1:$R$1,1)+1,FALSE)</f>
        <v>#VALUE!</v>
      </c>
      <c r="G44" s="53"/>
      <c r="H44" s="53"/>
      <c r="I44" s="53"/>
      <c r="J44" s="53"/>
      <c r="K44" s="53"/>
      <c r="L44" s="53"/>
      <c r="M44" s="53"/>
      <c r="N44" s="53"/>
      <c r="O44" s="53"/>
      <c r="P44" s="53"/>
      <c r="Q44" s="53"/>
      <c r="R44" s="53"/>
      <c r="S44" s="53"/>
      <c r="T44" s="53"/>
    </row>
    <row r="45" spans="1:20" ht="18">
      <c r="A45" s="54" t="s">
        <v>303</v>
      </c>
      <c r="B45" s="54"/>
      <c r="C45" s="54"/>
      <c r="D45" s="54"/>
      <c r="E45" s="54"/>
      <c r="F45" s="54"/>
      <c r="G45" s="54"/>
      <c r="H45" s="54"/>
    </row>
    <row r="47" spans="1:20">
      <c r="A47" t="s">
        <v>360</v>
      </c>
    </row>
    <row r="48" spans="1:20">
      <c r="A48" t="s">
        <v>176</v>
      </c>
      <c r="I48" t="s">
        <v>177</v>
      </c>
    </row>
    <row r="49" spans="1:20">
      <c r="A49" t="s">
        <v>301</v>
      </c>
    </row>
    <row r="50" spans="1:20">
      <c r="D50" s="3">
        <f>REPORT_raw_dataseen!L1</f>
        <v>44166</v>
      </c>
      <c r="E50" s="3">
        <f>REPORT_raw_dataseen!O1</f>
        <v>44256</v>
      </c>
      <c r="F50" s="3">
        <f>REPORT_raw_dataseen!R1</f>
        <v>44348</v>
      </c>
    </row>
    <row r="51" spans="1:20">
      <c r="A51" s="50"/>
      <c r="B51" s="50"/>
      <c r="C51" s="50"/>
      <c r="D51" s="50"/>
      <c r="E51" s="50"/>
      <c r="F51" s="51" t="e">
        <f>DATE(YEAR(G51),MONTH(G51)-1,DAY(G51))</f>
        <v>#NUM!</v>
      </c>
      <c r="G51" s="51"/>
      <c r="H51" s="51"/>
      <c r="I51" s="51"/>
      <c r="J51" s="51"/>
      <c r="K51" s="51"/>
      <c r="L51" s="51"/>
      <c r="M51" s="51"/>
      <c r="N51" s="51"/>
      <c r="O51" s="51"/>
      <c r="P51" s="51"/>
      <c r="Q51" s="51"/>
      <c r="R51" s="51"/>
      <c r="S51" s="51"/>
      <c r="T51" s="10"/>
    </row>
    <row r="52" spans="1:20">
      <c r="A52" s="52" t="s">
        <v>28</v>
      </c>
      <c r="B52" s="52"/>
      <c r="C52" s="52"/>
      <c r="D52" s="53" t="e">
        <f>SUM(D53:D67)</f>
        <v>#VALUE!</v>
      </c>
      <c r="E52" s="53" t="e">
        <f>SUM(E53:E67)</f>
        <v>#VALUE!</v>
      </c>
      <c r="F52" s="53" t="e">
        <f>SUM(F53:F67)</f>
        <v>#VALUE!</v>
      </c>
      <c r="G52" s="53"/>
      <c r="H52" s="53"/>
      <c r="I52" s="53"/>
      <c r="J52" s="53"/>
      <c r="K52" s="53"/>
      <c r="L52" s="53"/>
      <c r="M52" s="53"/>
      <c r="N52" s="53"/>
      <c r="O52" s="53"/>
      <c r="P52" s="53"/>
      <c r="Q52" s="53"/>
      <c r="R52" s="53"/>
      <c r="S52" s="53"/>
      <c r="T52" s="53"/>
    </row>
    <row r="53" spans="1:20">
      <c r="A53" s="50" t="s">
        <v>136</v>
      </c>
      <c r="B53" s="50"/>
      <c r="C53" s="50"/>
      <c r="D53" s="53">
        <f>+VLOOKUP(A53&amp;A$47,REPORT_raw_dataseen!$A$1:$R$769, MATCH(Referrals_pub!D$5,REPORT_raw_dataseen!$D$1:$R$1,1)+3,FALSE)+VLOOKUP(A53&amp;A$47,REPORT_raw_dataseen!$A$1:$R$769, MATCH(Referrals_pub!D$5,REPORT_raw_dataseen!$D$1:$R$1,1)+2,FALSE)+VLOOKUP(A53&amp;A$47,REPORT_raw_dataseen!$A$1:$R$769, MATCH(Referrals_pub!D$5,REPORT_raw_dataseen!$D$1:$R$1,1)+1,FALSE)</f>
        <v>56</v>
      </c>
      <c r="E53" s="53">
        <f>+VLOOKUP(A53&amp;A$47,REPORT_raw_dataseen!$A$1:$R$769, MATCH(Referrals_pub!E$5,REPORT_raw_dataseen!$D$1:$R$1,1)+3,FALSE)+VLOOKUP(A53&amp;A$47,REPORT_raw_dataseen!$A$1:$R$769, MATCH(Referrals_pub!E$5,REPORT_raw_dataseen!$D$1:$R$1,1)+2,FALSE)+VLOOKUP(A53&amp;A$47,REPORT_raw_dataseen!$A$1:$R$769, MATCH(Referrals_pub!E$5,REPORT_raw_dataseen!$D$1:$R$1,1)+1,FALSE)</f>
        <v>45</v>
      </c>
      <c r="F53" s="53">
        <f>+VLOOKUP(A53&amp;A$47,REPORT_raw_dataseen!$A$1:$R$769, MATCH(Referrals_pub!F$5,REPORT_raw_dataseen!$D$1:$R$1,1)+3,FALSE)+VLOOKUP(A53&amp;A$47,REPORT_raw_dataseen!$A$1:$R$769, MATCH(Referrals_pub!F$5,REPORT_raw_dataseen!$D$1:$R$1,1)+2,FALSE)+VLOOKUP(A53&amp;A$47,REPORT_raw_dataseen!$A$1:$R$769, MATCH(Referrals_pub!F$5,REPORT_raw_dataseen!$D$1:$R$1,1)+1,FALSE)</f>
        <v>82</v>
      </c>
      <c r="G53" s="53"/>
      <c r="H53" s="53"/>
      <c r="I53" s="53"/>
      <c r="J53" s="53"/>
      <c r="K53" s="53"/>
      <c r="L53" s="53"/>
      <c r="M53" s="53"/>
      <c r="N53" s="53"/>
      <c r="O53" s="53"/>
      <c r="P53" s="53"/>
      <c r="Q53" s="53"/>
      <c r="R53" s="53"/>
      <c r="S53" s="53"/>
      <c r="T53" s="53"/>
    </row>
    <row r="54" spans="1:20">
      <c r="A54" s="50" t="s">
        <v>137</v>
      </c>
      <c r="B54" s="50"/>
      <c r="C54" s="50"/>
      <c r="D54" s="53">
        <f>+VLOOKUP(A54&amp;A$47,REPORT_raw_dataseen!$A$1:$R$769, MATCH(Referrals_pub!D$5,REPORT_raw_dataseen!$D$1:$R$1,1)+3,FALSE)+VLOOKUP(A54&amp;A$47,REPORT_raw_dataseen!$A$1:$R$769, MATCH(Referrals_pub!D$5,REPORT_raw_dataseen!$D$1:$R$1,1)+2,FALSE)+VLOOKUP(A54&amp;A$47,REPORT_raw_dataseen!$A$1:$R$769, MATCH(Referrals_pub!D$5,REPORT_raw_dataseen!$D$1:$R$1,1)+1,FALSE)</f>
        <v>53</v>
      </c>
      <c r="E54" s="53">
        <f>+VLOOKUP(A54&amp;A$47,REPORT_raw_dataseen!$A$1:$R$769, MATCH(Referrals_pub!E$5,REPORT_raw_dataseen!$D$1:$R$1,1)+3,FALSE)+VLOOKUP(A54&amp;A$47,REPORT_raw_dataseen!$A$1:$R$769, MATCH(Referrals_pub!E$5,REPORT_raw_dataseen!$D$1:$R$1,1)+2,FALSE)+VLOOKUP(A54&amp;A$47,REPORT_raw_dataseen!$A$1:$R$769, MATCH(Referrals_pub!E$5,REPORT_raw_dataseen!$D$1:$R$1,1)+1,FALSE)</f>
        <v>38</v>
      </c>
      <c r="F54" s="53">
        <f>+VLOOKUP(A54&amp;A$47,REPORT_raw_dataseen!$A$1:$R$769, MATCH(Referrals_pub!F$5,REPORT_raw_dataseen!$D$1:$R$1,1)+3,FALSE)+VLOOKUP(A54&amp;A$47,REPORT_raw_dataseen!$A$1:$R$769, MATCH(Referrals_pub!F$5,REPORT_raw_dataseen!$D$1:$R$1,1)+2,FALSE)+VLOOKUP(A54&amp;A$47,REPORT_raw_dataseen!$A$1:$R$769, MATCH(Referrals_pub!F$5,REPORT_raw_dataseen!$D$1:$R$1,1)+1,FALSE)</f>
        <v>103</v>
      </c>
      <c r="G54" s="53"/>
      <c r="H54" s="53"/>
      <c r="I54" s="53"/>
      <c r="J54" s="53"/>
      <c r="K54" s="53"/>
      <c r="L54" s="53"/>
      <c r="M54" s="53"/>
      <c r="N54" s="53"/>
      <c r="O54" s="53"/>
      <c r="P54" s="53"/>
      <c r="Q54" s="53"/>
      <c r="R54" s="53"/>
      <c r="S54" s="53"/>
      <c r="T54" s="53"/>
    </row>
    <row r="55" spans="1:20">
      <c r="A55" s="50" t="s">
        <v>160</v>
      </c>
      <c r="B55" s="50"/>
      <c r="C55" s="50"/>
      <c r="D55" s="53">
        <f>+VLOOKUP(A55&amp;A$47,REPORT_raw_dataseen!$A$1:$R$769, MATCH(Referrals_pub!D$5,REPORT_raw_dataseen!$D$1:$R$1,1)+3,FALSE)+VLOOKUP(A55&amp;A$47,REPORT_raw_dataseen!$A$1:$R$769, MATCH(Referrals_pub!D$5,REPORT_raw_dataseen!$D$1:$R$1,1)+2,FALSE)+VLOOKUP(A55&amp;A$47,REPORT_raw_dataseen!$A$1:$R$769, MATCH(Referrals_pub!D$5,REPORT_raw_dataseen!$D$1:$R$1,1)+1,FALSE)</f>
        <v>99</v>
      </c>
      <c r="E55" s="53">
        <f>+VLOOKUP(A55&amp;A$47,REPORT_raw_dataseen!$A$1:$R$769, MATCH(Referrals_pub!E$5,REPORT_raw_dataseen!$D$1:$R$1,1)+3,FALSE)+VLOOKUP(A55&amp;A$47,REPORT_raw_dataseen!$A$1:$R$769, MATCH(Referrals_pub!E$5,REPORT_raw_dataseen!$D$1:$R$1,1)+2,FALSE)+VLOOKUP(A55&amp;A$47,REPORT_raw_dataseen!$A$1:$R$769, MATCH(Referrals_pub!E$5,REPORT_raw_dataseen!$D$1:$R$1,1)+1,FALSE)</f>
        <v>79</v>
      </c>
      <c r="F55" s="53">
        <f>+VLOOKUP(A55&amp;A$47,REPORT_raw_dataseen!$A$1:$R$769, MATCH(Referrals_pub!F$5,REPORT_raw_dataseen!$D$1:$R$1,1)+3,FALSE)+VLOOKUP(A55&amp;A$47,REPORT_raw_dataseen!$A$1:$R$769, MATCH(Referrals_pub!F$5,REPORT_raw_dataseen!$D$1:$R$1,1)+2,FALSE)+VLOOKUP(A55&amp;A$47,REPORT_raw_dataseen!$A$1:$R$769, MATCH(Referrals_pub!F$5,REPORT_raw_dataseen!$D$1:$R$1,1)+1,FALSE)</f>
        <v>78</v>
      </c>
      <c r="G55" s="53"/>
      <c r="H55" s="53"/>
      <c r="I55" s="53"/>
      <c r="J55" s="53"/>
      <c r="K55" s="53"/>
      <c r="L55" s="53"/>
      <c r="M55" s="53"/>
      <c r="N55" s="53"/>
      <c r="O55" s="53"/>
      <c r="P55" s="53"/>
      <c r="Q55" s="53"/>
      <c r="R55" s="53"/>
      <c r="S55" s="53"/>
      <c r="T55" s="53"/>
    </row>
    <row r="56" spans="1:20">
      <c r="A56" s="50" t="s">
        <v>138</v>
      </c>
      <c r="B56" s="50"/>
      <c r="C56" s="50"/>
      <c r="D56" s="53">
        <f>+VLOOKUP(A56&amp;A$47,REPORT_raw_dataseen!$A$1:$R$769, MATCH(Referrals_pub!D$5,REPORT_raw_dataseen!$D$1:$R$1,1)+3,FALSE)+VLOOKUP(A56&amp;A$47,REPORT_raw_dataseen!$A$1:$R$769, MATCH(Referrals_pub!D$5,REPORT_raw_dataseen!$D$1:$R$1,1)+2,FALSE)+VLOOKUP(A56&amp;A$47,REPORT_raw_dataseen!$A$1:$R$769, MATCH(Referrals_pub!D$5,REPORT_raw_dataseen!$D$1:$R$1,1)+1,FALSE)</f>
        <v>67</v>
      </c>
      <c r="E56" s="53">
        <f>+VLOOKUP(A56&amp;A$47,REPORT_raw_dataseen!$A$1:$R$769, MATCH(Referrals_pub!E$5,REPORT_raw_dataseen!$D$1:$R$1,1)+3,FALSE)+VLOOKUP(A56&amp;A$47,REPORT_raw_dataseen!$A$1:$R$769, MATCH(Referrals_pub!E$5,REPORT_raw_dataseen!$D$1:$R$1,1)+2,FALSE)+VLOOKUP(A56&amp;A$47,REPORT_raw_dataseen!$A$1:$R$769, MATCH(Referrals_pub!E$5,REPORT_raw_dataseen!$D$1:$R$1,1)+1,FALSE)</f>
        <v>52</v>
      </c>
      <c r="F56" s="53">
        <f>+VLOOKUP(A56&amp;A$47,REPORT_raw_dataseen!$A$1:$R$769, MATCH(Referrals_pub!F$5,REPORT_raw_dataseen!$D$1:$R$1,1)+3,FALSE)+VLOOKUP(A56&amp;A$47,REPORT_raw_dataseen!$A$1:$R$769, MATCH(Referrals_pub!F$5,REPORT_raw_dataseen!$D$1:$R$1,1)+2,FALSE)+VLOOKUP(A56&amp;A$47,REPORT_raw_dataseen!$A$1:$R$769, MATCH(Referrals_pub!F$5,REPORT_raw_dataseen!$D$1:$R$1,1)+1,FALSE)</f>
        <v>80</v>
      </c>
      <c r="G56" s="53"/>
      <c r="H56" s="53"/>
      <c r="I56" s="53"/>
      <c r="J56" s="53"/>
      <c r="K56" s="53"/>
      <c r="L56" s="53"/>
      <c r="M56" s="53"/>
      <c r="N56" s="53"/>
      <c r="O56" s="53"/>
      <c r="P56" s="53"/>
      <c r="Q56" s="53"/>
      <c r="R56" s="53"/>
      <c r="S56" s="53"/>
      <c r="T56" s="53"/>
    </row>
    <row r="57" spans="1:20">
      <c r="A57" s="50" t="s">
        <v>139</v>
      </c>
      <c r="B57" s="50"/>
      <c r="C57" s="50"/>
      <c r="D57" s="53">
        <f>+VLOOKUP(A57&amp;A$47,REPORT_raw_dataseen!$A$1:$R$769, MATCH(Referrals_pub!D$5,REPORT_raw_dataseen!$D$1:$R$1,1)+3,FALSE)+VLOOKUP(A57&amp;A$47,REPORT_raw_dataseen!$A$1:$R$769, MATCH(Referrals_pub!D$5,REPORT_raw_dataseen!$D$1:$R$1,1)+2,FALSE)+VLOOKUP(A57&amp;A$47,REPORT_raw_dataseen!$A$1:$R$769, MATCH(Referrals_pub!D$5,REPORT_raw_dataseen!$D$1:$R$1,1)+1,FALSE)</f>
        <v>64</v>
      </c>
      <c r="E57" s="53">
        <f>+VLOOKUP(A57&amp;A$47,REPORT_raw_dataseen!$A$1:$R$769, MATCH(Referrals_pub!E$5,REPORT_raw_dataseen!$D$1:$R$1,1)+3,FALSE)+VLOOKUP(A57&amp;A$47,REPORT_raw_dataseen!$A$1:$R$769, MATCH(Referrals_pub!E$5,REPORT_raw_dataseen!$D$1:$R$1,1)+2,FALSE)+VLOOKUP(A57&amp;A$47,REPORT_raw_dataseen!$A$1:$R$769, MATCH(Referrals_pub!E$5,REPORT_raw_dataseen!$D$1:$R$1,1)+1,FALSE)</f>
        <v>70</v>
      </c>
      <c r="F57" s="53">
        <f>+VLOOKUP(A57&amp;A$47,REPORT_raw_dataseen!$A$1:$R$769, MATCH(Referrals_pub!F$5,REPORT_raw_dataseen!$D$1:$R$1,1)+3,FALSE)+VLOOKUP(A57&amp;A$47,REPORT_raw_dataseen!$A$1:$R$769, MATCH(Referrals_pub!F$5,REPORT_raw_dataseen!$D$1:$R$1,1)+2,FALSE)+VLOOKUP(A57&amp;A$47,REPORT_raw_dataseen!$A$1:$R$769, MATCH(Referrals_pub!F$5,REPORT_raw_dataseen!$D$1:$R$1,1)+1,FALSE)</f>
        <v>79</v>
      </c>
      <c r="G57" s="53"/>
      <c r="H57" s="53"/>
      <c r="I57" s="53"/>
      <c r="J57" s="53"/>
      <c r="K57" s="53"/>
      <c r="L57" s="53"/>
      <c r="M57" s="53"/>
      <c r="N57" s="53"/>
      <c r="O57" s="53"/>
      <c r="P57" s="53"/>
      <c r="Q57" s="53"/>
      <c r="R57" s="53"/>
      <c r="S57" s="53"/>
      <c r="T57" s="53"/>
    </row>
    <row r="58" spans="1:20">
      <c r="A58" s="50" t="s">
        <v>140</v>
      </c>
      <c r="B58" s="50"/>
      <c r="C58" s="50"/>
      <c r="D58" s="53">
        <f>+VLOOKUP(A58&amp;A$47,REPORT_raw_dataseen!$A$1:$R$769, MATCH(Referrals_pub!D$5,REPORT_raw_dataseen!$D$1:$R$1,1)+3,FALSE)+VLOOKUP(A58&amp;A$47,REPORT_raw_dataseen!$A$1:$R$769, MATCH(Referrals_pub!D$5,REPORT_raw_dataseen!$D$1:$R$1,1)+2,FALSE)+VLOOKUP(A58&amp;A$47,REPORT_raw_dataseen!$A$1:$R$769, MATCH(Referrals_pub!D$5,REPORT_raw_dataseen!$D$1:$R$1,1)+1,FALSE)</f>
        <v>50</v>
      </c>
      <c r="E58" s="53">
        <f>+VLOOKUP(A58&amp;A$47,REPORT_raw_dataseen!$A$1:$R$769, MATCH(Referrals_pub!E$5,REPORT_raw_dataseen!$D$1:$R$1,1)+3,FALSE)+VLOOKUP(A58&amp;A$47,REPORT_raw_dataseen!$A$1:$R$769, MATCH(Referrals_pub!E$5,REPORT_raw_dataseen!$D$1:$R$1,1)+2,FALSE)+VLOOKUP(A58&amp;A$47,REPORT_raw_dataseen!$A$1:$R$769, MATCH(Referrals_pub!E$5,REPORT_raw_dataseen!$D$1:$R$1,1)+1,FALSE)</f>
        <v>57</v>
      </c>
      <c r="F58" s="53">
        <f>+VLOOKUP(A58&amp;A$47,REPORT_raw_dataseen!$A$1:$R$769, MATCH(Referrals_pub!F$5,REPORT_raw_dataseen!$D$1:$R$1,1)+3,FALSE)+VLOOKUP(A58&amp;A$47,REPORT_raw_dataseen!$A$1:$R$769, MATCH(Referrals_pub!F$5,REPORT_raw_dataseen!$D$1:$R$1,1)+2,FALSE)+VLOOKUP(A58&amp;A$47,REPORT_raw_dataseen!$A$1:$R$769, MATCH(Referrals_pub!F$5,REPORT_raw_dataseen!$D$1:$R$1,1)+1,FALSE)</f>
        <v>100</v>
      </c>
      <c r="G58" s="53"/>
      <c r="H58" s="53"/>
      <c r="I58" s="53"/>
      <c r="J58" s="53"/>
      <c r="K58" s="53"/>
      <c r="L58" s="53"/>
      <c r="M58" s="53"/>
      <c r="N58" s="53"/>
      <c r="O58" s="53"/>
      <c r="P58" s="53"/>
      <c r="Q58" s="53"/>
      <c r="R58" s="53"/>
      <c r="S58" s="53"/>
      <c r="T58" s="53"/>
    </row>
    <row r="59" spans="1:20">
      <c r="A59" s="50" t="s">
        <v>141</v>
      </c>
      <c r="B59" s="50"/>
      <c r="C59" s="50"/>
      <c r="D59" s="53">
        <f>+VLOOKUP(A59&amp;A$47,REPORT_raw_dataseen!$A$1:$R$769, MATCH(Referrals_pub!D$5,REPORT_raw_dataseen!$D$1:$R$1,1)+3,FALSE)+VLOOKUP(A59&amp;A$47,REPORT_raw_dataseen!$A$1:$R$769, MATCH(Referrals_pub!D$5,REPORT_raw_dataseen!$D$1:$R$1,1)+2,FALSE)+VLOOKUP(A59&amp;A$47,REPORT_raw_dataseen!$A$1:$R$769, MATCH(Referrals_pub!D$5,REPORT_raw_dataseen!$D$1:$R$1,1)+1,FALSE)</f>
        <v>2796</v>
      </c>
      <c r="E59" s="53">
        <f>+VLOOKUP(A59&amp;A$47,REPORT_raw_dataseen!$A$1:$R$769, MATCH(Referrals_pub!E$5,REPORT_raw_dataseen!$D$1:$R$1,1)+3,FALSE)+VLOOKUP(A59&amp;A$47,REPORT_raw_dataseen!$A$1:$R$769, MATCH(Referrals_pub!E$5,REPORT_raw_dataseen!$D$1:$R$1,1)+2,FALSE)+VLOOKUP(A59&amp;A$47,REPORT_raw_dataseen!$A$1:$R$769, MATCH(Referrals_pub!E$5,REPORT_raw_dataseen!$D$1:$R$1,1)+1,FALSE)</f>
        <v>2819</v>
      </c>
      <c r="F59" s="53">
        <f>+VLOOKUP(A59&amp;A$47,REPORT_raw_dataseen!$A$1:$R$769, MATCH(Referrals_pub!F$5,REPORT_raw_dataseen!$D$1:$R$1,1)+3,FALSE)+VLOOKUP(A59&amp;A$47,REPORT_raw_dataseen!$A$1:$R$769, MATCH(Referrals_pub!F$5,REPORT_raw_dataseen!$D$1:$R$1,1)+2,FALSE)+VLOOKUP(A59&amp;A$47,REPORT_raw_dataseen!$A$1:$R$769, MATCH(Referrals_pub!F$5,REPORT_raw_dataseen!$D$1:$R$1,1)+1,FALSE)</f>
        <v>3111</v>
      </c>
      <c r="G59" s="53"/>
      <c r="H59" s="53"/>
      <c r="I59" s="53"/>
      <c r="J59" s="53"/>
      <c r="K59" s="53"/>
      <c r="L59" s="53"/>
      <c r="M59" s="53"/>
      <c r="N59" s="53"/>
      <c r="O59" s="53"/>
      <c r="P59" s="53"/>
      <c r="Q59" s="53"/>
      <c r="R59" s="53"/>
      <c r="S59" s="53"/>
      <c r="T59" s="53"/>
    </row>
    <row r="60" spans="1:20">
      <c r="A60" s="50" t="s">
        <v>142</v>
      </c>
      <c r="B60" s="50"/>
      <c r="C60" s="50"/>
      <c r="D60" s="53">
        <f>+VLOOKUP(A60&amp;A$47,REPORT_raw_dataseen!$A$1:$R$769, MATCH(Referrals_pub!D$5,REPORT_raw_dataseen!$D$1:$R$1,1)+3,FALSE)+VLOOKUP(A60&amp;A$47,REPORT_raw_dataseen!$A$1:$R$769, MATCH(Referrals_pub!D$5,REPORT_raw_dataseen!$D$1:$R$1,1)+2,FALSE)+VLOOKUP(A60&amp;A$47,REPORT_raw_dataseen!$A$1:$R$769, MATCH(Referrals_pub!D$5,REPORT_raw_dataseen!$D$1:$R$1,1)+1,FALSE)</f>
        <v>78</v>
      </c>
      <c r="E60" s="53">
        <f>+VLOOKUP(A60&amp;A$47,REPORT_raw_dataseen!$A$1:$R$769, MATCH(Referrals_pub!E$5,REPORT_raw_dataseen!$D$1:$R$1,1)+3,FALSE)+VLOOKUP(A60&amp;A$47,REPORT_raw_dataseen!$A$1:$R$769, MATCH(Referrals_pub!E$5,REPORT_raw_dataseen!$D$1:$R$1,1)+2,FALSE)+VLOOKUP(A60&amp;A$47,REPORT_raw_dataseen!$A$1:$R$769, MATCH(Referrals_pub!E$5,REPORT_raw_dataseen!$D$1:$R$1,1)+1,FALSE)</f>
        <v>83</v>
      </c>
      <c r="F60" s="53">
        <f>+VLOOKUP(A60&amp;A$47,REPORT_raw_dataseen!$A$1:$R$769, MATCH(Referrals_pub!F$5,REPORT_raw_dataseen!$D$1:$R$1,1)+3,FALSE)+VLOOKUP(A60&amp;A$47,REPORT_raw_dataseen!$A$1:$R$769, MATCH(Referrals_pub!F$5,REPORT_raw_dataseen!$D$1:$R$1,1)+2,FALSE)+VLOOKUP(A60&amp;A$47,REPORT_raw_dataseen!$A$1:$R$769, MATCH(Referrals_pub!F$5,REPORT_raw_dataseen!$D$1:$R$1,1)+1,FALSE)</f>
        <v>135</v>
      </c>
      <c r="G60" s="53"/>
      <c r="H60" s="53"/>
      <c r="I60" s="53"/>
      <c r="J60" s="53"/>
      <c r="K60" s="53"/>
      <c r="L60" s="53"/>
      <c r="M60" s="53"/>
      <c r="N60" s="53"/>
      <c r="O60" s="53"/>
      <c r="P60" s="53"/>
      <c r="Q60" s="53"/>
      <c r="R60" s="53"/>
      <c r="S60" s="53"/>
      <c r="T60" s="53"/>
    </row>
    <row r="61" spans="1:20">
      <c r="A61" s="50" t="s">
        <v>192</v>
      </c>
      <c r="B61" s="50"/>
      <c r="C61" s="50"/>
      <c r="D61" s="53">
        <f>+VLOOKUP(A61&amp;A$47,REPORT_raw_dataseen!$A$1:$R$769, MATCH(Referrals_pub!D$5,REPORT_raw_dataseen!$D$1:$R$1,1)+3,FALSE)+VLOOKUP(A61&amp;A$47,REPORT_raw_dataseen!$A$1:$R$769, MATCH(Referrals_pub!D$5,REPORT_raw_dataseen!$D$1:$R$1,1)+2,FALSE)+VLOOKUP(A61&amp;A$47,REPORT_raw_dataseen!$A$1:$R$769, MATCH(Referrals_pub!D$5,REPORT_raw_dataseen!$D$1:$R$1,1)+1,FALSE)</f>
        <v>128</v>
      </c>
      <c r="E61" s="53">
        <f>+VLOOKUP(A61&amp;A$47,REPORT_raw_dataseen!$A$1:$R$769, MATCH(Referrals_pub!E$5,REPORT_raw_dataseen!$D$1:$R$1,1)+3,FALSE)+VLOOKUP(A61&amp;A$47,REPORT_raw_dataseen!$A$1:$R$769, MATCH(Referrals_pub!E$5,REPORT_raw_dataseen!$D$1:$R$1,1)+2,FALSE)+VLOOKUP(A61&amp;A$47,REPORT_raw_dataseen!$A$1:$R$769, MATCH(Referrals_pub!E$5,REPORT_raw_dataseen!$D$1:$R$1,1)+1,FALSE)</f>
        <v>145</v>
      </c>
      <c r="F61" s="53">
        <f>+VLOOKUP(A61&amp;A$47,REPORT_raw_dataseen!$A$1:$R$769, MATCH(Referrals_pub!F$5,REPORT_raw_dataseen!$D$1:$R$1,1)+3,FALSE)+VLOOKUP(A61&amp;A$47,REPORT_raw_dataseen!$A$1:$R$769, MATCH(Referrals_pub!F$5,REPORT_raw_dataseen!$D$1:$R$1,1)+2,FALSE)+VLOOKUP(A61&amp;A$47,REPORT_raw_dataseen!$A$1:$R$769, MATCH(Referrals_pub!F$5,REPORT_raw_dataseen!$D$1:$R$1,1)+1,FALSE)</f>
        <v>213</v>
      </c>
      <c r="G61" s="53"/>
      <c r="H61" s="53"/>
      <c r="I61" s="53"/>
      <c r="J61" s="53"/>
      <c r="K61" s="53"/>
      <c r="L61" s="53"/>
      <c r="M61" s="53"/>
      <c r="N61" s="53"/>
      <c r="O61" s="53"/>
      <c r="P61" s="53"/>
      <c r="Q61" s="53"/>
      <c r="R61" s="53"/>
      <c r="S61" s="53"/>
      <c r="T61" s="53"/>
    </row>
    <row r="62" spans="1:20">
      <c r="A62" s="50" t="s">
        <v>143</v>
      </c>
      <c r="B62" s="50"/>
      <c r="C62" s="50"/>
      <c r="D62" s="53">
        <f>+VLOOKUP(A62&amp;A$47,REPORT_raw_dataseen!$A$1:$R$769, MATCH(Referrals_pub!D$5,REPORT_raw_dataseen!$D$1:$R$1,1)+3,FALSE)+VLOOKUP(A62&amp;A$47,REPORT_raw_dataseen!$A$1:$R$769, MATCH(Referrals_pub!D$5,REPORT_raw_dataseen!$D$1:$R$1,1)+2,FALSE)+VLOOKUP(A62&amp;A$47,REPORT_raw_dataseen!$A$1:$R$769, MATCH(Referrals_pub!D$5,REPORT_raw_dataseen!$D$1:$R$1,1)+1,FALSE)</f>
        <v>258</v>
      </c>
      <c r="E62" s="53">
        <f>+VLOOKUP(A62&amp;A$47,REPORT_raw_dataseen!$A$1:$R$769, MATCH(Referrals_pub!E$5,REPORT_raw_dataseen!$D$1:$R$1,1)+3,FALSE)+VLOOKUP(A62&amp;A$47,REPORT_raw_dataseen!$A$1:$R$769, MATCH(Referrals_pub!E$5,REPORT_raw_dataseen!$D$1:$R$1,1)+2,FALSE)+VLOOKUP(A62&amp;A$47,REPORT_raw_dataseen!$A$1:$R$769, MATCH(Referrals_pub!E$5,REPORT_raw_dataseen!$D$1:$R$1,1)+1,FALSE)</f>
        <v>270</v>
      </c>
      <c r="F62" s="53">
        <f>+VLOOKUP(A62&amp;A$47,REPORT_raw_dataseen!$A$1:$R$769, MATCH(Referrals_pub!F$5,REPORT_raw_dataseen!$D$1:$R$1,1)+3,FALSE)+VLOOKUP(A62&amp;A$47,REPORT_raw_dataseen!$A$1:$R$769, MATCH(Referrals_pub!F$5,REPORT_raw_dataseen!$D$1:$R$1,1)+2,FALSE)+VLOOKUP(A62&amp;A$47,REPORT_raw_dataseen!$A$1:$R$769, MATCH(Referrals_pub!F$5,REPORT_raw_dataseen!$D$1:$R$1,1)+1,FALSE)</f>
        <v>297</v>
      </c>
      <c r="G62" s="53"/>
      <c r="H62" s="53"/>
      <c r="I62" s="53"/>
      <c r="J62" s="53"/>
      <c r="K62" s="53"/>
      <c r="L62" s="53"/>
      <c r="M62" s="53"/>
      <c r="N62" s="53"/>
      <c r="O62" s="53"/>
      <c r="P62" s="53"/>
      <c r="Q62" s="53"/>
      <c r="R62" s="53"/>
      <c r="S62" s="53"/>
      <c r="T62" s="53"/>
    </row>
    <row r="63" spans="1:20">
      <c r="A63" s="50" t="s">
        <v>144</v>
      </c>
      <c r="B63" s="50"/>
      <c r="C63" s="50"/>
      <c r="D63" s="53">
        <f>+VLOOKUP(A63&amp;A$47,REPORT_raw_dataseen!$A$1:$R$769, MATCH(Referrals_pub!D$5,REPORT_raw_dataseen!$D$1:$R$1,1)+3,FALSE)+VLOOKUP(A63&amp;A$47,REPORT_raw_dataseen!$A$1:$R$769, MATCH(Referrals_pub!D$5,REPORT_raw_dataseen!$D$1:$R$1,1)+2,FALSE)+VLOOKUP(A63&amp;A$47,REPORT_raw_dataseen!$A$1:$R$769, MATCH(Referrals_pub!D$5,REPORT_raw_dataseen!$D$1:$R$1,1)+1,FALSE)</f>
        <v>1</v>
      </c>
      <c r="E63" s="53">
        <f>+VLOOKUP(A63&amp;A$47,REPORT_raw_dataseen!$A$1:$R$769, MATCH(Referrals_pub!E$5,REPORT_raw_dataseen!$D$1:$R$1,1)+3,FALSE)+VLOOKUP(A63&amp;A$47,REPORT_raw_dataseen!$A$1:$R$769, MATCH(Referrals_pub!E$5,REPORT_raw_dataseen!$D$1:$R$1,1)+2,FALSE)+VLOOKUP(A63&amp;A$47,REPORT_raw_dataseen!$A$1:$R$769, MATCH(Referrals_pub!E$5,REPORT_raw_dataseen!$D$1:$R$1,1)+1,FALSE)</f>
        <v>0</v>
      </c>
      <c r="F63" s="53">
        <f>+VLOOKUP(A63&amp;A$47,REPORT_raw_dataseen!$A$1:$R$769, MATCH(Referrals_pub!F$5,REPORT_raw_dataseen!$D$1:$R$1,1)+3,FALSE)+VLOOKUP(A63&amp;A$47,REPORT_raw_dataseen!$A$1:$R$769, MATCH(Referrals_pub!F$5,REPORT_raw_dataseen!$D$1:$R$1,1)+2,FALSE)+VLOOKUP(A63&amp;A$47,REPORT_raw_dataseen!$A$1:$R$769, MATCH(Referrals_pub!F$5,REPORT_raw_dataseen!$D$1:$R$1,1)+1,FALSE)</f>
        <v>2</v>
      </c>
      <c r="G63" s="53"/>
      <c r="H63" s="53"/>
      <c r="I63" s="53"/>
      <c r="J63" s="53"/>
      <c r="K63" s="53"/>
      <c r="L63" s="53"/>
      <c r="M63" s="53"/>
      <c r="N63" s="53"/>
      <c r="O63" s="53"/>
      <c r="P63" s="53"/>
      <c r="Q63" s="53"/>
      <c r="R63" s="53"/>
      <c r="S63" s="53"/>
      <c r="T63" s="53"/>
    </row>
    <row r="64" spans="1:20">
      <c r="A64" s="50" t="s">
        <v>145</v>
      </c>
      <c r="B64" s="50"/>
      <c r="C64" s="50"/>
      <c r="D64" s="53">
        <f>+VLOOKUP(A64&amp;A$47,REPORT_raw_dataseen!$A$1:$R$769, MATCH(Referrals_pub!D$5,REPORT_raw_dataseen!$D$1:$R$1,1)+3,FALSE)+VLOOKUP(A64&amp;A$47,REPORT_raw_dataseen!$A$1:$R$769, MATCH(Referrals_pub!D$5,REPORT_raw_dataseen!$D$1:$R$1,1)+2,FALSE)+VLOOKUP(A64&amp;A$47,REPORT_raw_dataseen!$A$1:$R$769, MATCH(Referrals_pub!D$5,REPORT_raw_dataseen!$D$1:$R$1,1)+1,FALSE)</f>
        <v>5</v>
      </c>
      <c r="E64" s="53">
        <f>+VLOOKUP(A64&amp;A$47,REPORT_raw_dataseen!$A$1:$R$769, MATCH(Referrals_pub!E$5,REPORT_raw_dataseen!$D$1:$R$1,1)+3,FALSE)+VLOOKUP(A64&amp;A$47,REPORT_raw_dataseen!$A$1:$R$769, MATCH(Referrals_pub!E$5,REPORT_raw_dataseen!$D$1:$R$1,1)+2,FALSE)+VLOOKUP(A64&amp;A$47,REPORT_raw_dataseen!$A$1:$R$769, MATCH(Referrals_pub!E$5,REPORT_raw_dataseen!$D$1:$R$1,1)+1,FALSE)</f>
        <v>1</v>
      </c>
      <c r="F64" s="53">
        <f>+VLOOKUP(A64&amp;A$47,REPORT_raw_dataseen!$A$1:$R$769, MATCH(Referrals_pub!F$5,REPORT_raw_dataseen!$D$1:$R$1,1)+3,FALSE)+VLOOKUP(A64&amp;A$47,REPORT_raw_dataseen!$A$1:$R$769, MATCH(Referrals_pub!F$5,REPORT_raw_dataseen!$D$1:$R$1,1)+2,FALSE)+VLOOKUP(A64&amp;A$47,REPORT_raw_dataseen!$A$1:$R$769, MATCH(Referrals_pub!F$5,REPORT_raw_dataseen!$D$1:$R$1,1)+1,FALSE)</f>
        <v>5</v>
      </c>
      <c r="G64" s="53"/>
      <c r="H64" s="53"/>
      <c r="I64" s="53"/>
      <c r="J64" s="53"/>
      <c r="K64" s="53"/>
      <c r="L64" s="53"/>
      <c r="M64" s="53"/>
      <c r="N64" s="53"/>
      <c r="O64" s="53"/>
      <c r="P64" s="53"/>
      <c r="Q64" s="53"/>
      <c r="R64" s="53"/>
      <c r="S64" s="53"/>
      <c r="T64" s="53"/>
    </row>
    <row r="65" spans="1:20">
      <c r="A65" s="50" t="s">
        <v>146</v>
      </c>
      <c r="B65" s="50"/>
      <c r="C65" s="50"/>
      <c r="D65" s="53">
        <f>+VLOOKUP(A65&amp;A$47,REPORT_raw_dataseen!$A$1:$R$769, MATCH(Referrals_pub!D$5,REPORT_raw_dataseen!$D$1:$R$1,1)+3,FALSE)+VLOOKUP(A65&amp;A$47,REPORT_raw_dataseen!$A$1:$R$769, MATCH(Referrals_pub!D$5,REPORT_raw_dataseen!$D$1:$R$1,1)+2,FALSE)+VLOOKUP(A65&amp;A$47,REPORT_raw_dataseen!$A$1:$R$769, MATCH(Referrals_pub!D$5,REPORT_raw_dataseen!$D$1:$R$1,1)+1,FALSE)</f>
        <v>201</v>
      </c>
      <c r="E65" s="53">
        <f>+VLOOKUP(A65&amp;A$47,REPORT_raw_dataseen!$A$1:$R$769, MATCH(Referrals_pub!E$5,REPORT_raw_dataseen!$D$1:$R$1,1)+3,FALSE)+VLOOKUP(A65&amp;A$47,REPORT_raw_dataseen!$A$1:$R$769, MATCH(Referrals_pub!E$5,REPORT_raw_dataseen!$D$1:$R$1,1)+2,FALSE)+VLOOKUP(A65&amp;A$47,REPORT_raw_dataseen!$A$1:$R$769, MATCH(Referrals_pub!E$5,REPORT_raw_dataseen!$D$1:$R$1,1)+1,FALSE)</f>
        <v>267</v>
      </c>
      <c r="F65" s="53">
        <f>+VLOOKUP(A65&amp;A$47,REPORT_raw_dataseen!$A$1:$R$769, MATCH(Referrals_pub!F$5,REPORT_raw_dataseen!$D$1:$R$1,1)+3,FALSE)+VLOOKUP(A65&amp;A$47,REPORT_raw_dataseen!$A$1:$R$769, MATCH(Referrals_pub!F$5,REPORT_raw_dataseen!$D$1:$R$1,1)+2,FALSE)+VLOOKUP(A65&amp;A$47,REPORT_raw_dataseen!$A$1:$R$769, MATCH(Referrals_pub!F$5,REPORT_raw_dataseen!$D$1:$R$1,1)+1,FALSE)</f>
        <v>300</v>
      </c>
      <c r="G65" s="53"/>
      <c r="H65" s="53"/>
      <c r="I65" s="53"/>
      <c r="J65" s="53"/>
      <c r="K65" s="53"/>
      <c r="L65" s="53"/>
      <c r="M65" s="53"/>
      <c r="N65" s="53"/>
      <c r="O65" s="53"/>
      <c r="P65" s="53"/>
      <c r="Q65" s="53"/>
      <c r="R65" s="53"/>
      <c r="S65" s="53"/>
      <c r="T65" s="53"/>
    </row>
    <row r="66" spans="1:20">
      <c r="A66" s="50" t="s">
        <v>147</v>
      </c>
      <c r="B66" s="50"/>
      <c r="C66" s="50"/>
      <c r="D66" s="53">
        <f>+VLOOKUP(A66&amp;A$47,REPORT_raw_dataseen!$A$1:$R$769, MATCH(Referrals_pub!D$5,REPORT_raw_dataseen!$D$1:$R$1,1)+3,FALSE)+VLOOKUP(A66&amp;A$47,REPORT_raw_dataseen!$A$1:$R$769, MATCH(Referrals_pub!D$5,REPORT_raw_dataseen!$D$1:$R$1,1)+2,FALSE)+VLOOKUP(A66&amp;A$47,REPORT_raw_dataseen!$A$1:$R$769, MATCH(Referrals_pub!D$5,REPORT_raw_dataseen!$D$1:$R$1,1)+1,FALSE)</f>
        <v>0</v>
      </c>
      <c r="E66" s="53">
        <f>+VLOOKUP(A66&amp;A$47,REPORT_raw_dataseen!$A$1:$R$769, MATCH(Referrals_pub!E$5,REPORT_raw_dataseen!$D$1:$R$1,1)+3,FALSE)+VLOOKUP(A66&amp;A$47,REPORT_raw_dataseen!$A$1:$R$769, MATCH(Referrals_pub!E$5,REPORT_raw_dataseen!$D$1:$R$1,1)+2,FALSE)+VLOOKUP(A66&amp;A$47,REPORT_raw_dataseen!$A$1:$R$769, MATCH(Referrals_pub!E$5,REPORT_raw_dataseen!$D$1:$R$1,1)+1,FALSE)</f>
        <v>1</v>
      </c>
      <c r="F66" s="53">
        <f>+VLOOKUP(A66&amp;A$47,REPORT_raw_dataseen!$A$1:$R$769, MATCH(Referrals_pub!F$5,REPORT_raw_dataseen!$D$1:$R$1,1)+3,FALSE)+VLOOKUP(A66&amp;A$47,REPORT_raw_dataseen!$A$1:$R$769, MATCH(Referrals_pub!F$5,REPORT_raw_dataseen!$D$1:$R$1,1)+2,FALSE)+VLOOKUP(A66&amp;A$47,REPORT_raw_dataseen!$A$1:$R$769, MATCH(Referrals_pub!F$5,REPORT_raw_dataseen!$D$1:$R$1,1)+1,FALSE)</f>
        <v>0</v>
      </c>
      <c r="G66" s="53"/>
      <c r="H66" s="53"/>
      <c r="I66" s="53"/>
      <c r="J66" s="53"/>
      <c r="K66" s="53"/>
      <c r="L66" s="53"/>
      <c r="M66" s="53"/>
      <c r="N66" s="53"/>
      <c r="O66" s="53"/>
      <c r="P66" s="53"/>
      <c r="Q66" s="53"/>
      <c r="R66" s="53"/>
      <c r="S66" s="53"/>
      <c r="T66" s="53"/>
    </row>
    <row r="67" spans="1:20">
      <c r="A67" s="59" t="s">
        <v>328</v>
      </c>
      <c r="B67" s="59"/>
      <c r="C67" s="59"/>
      <c r="D67" s="53" t="e">
        <f>+VLOOKUP(A67&amp;A$47,REPORT_raw_dataseen!$A$1:$R$769, MATCH(Referrals_pub!D$5,REPORT_raw_dataseen!$D$1:$R$1,1)+3,FALSE)+VLOOKUP(A67&amp;A$47,REPORT_raw_dataseen!$A$1:$R$769, MATCH(Referrals_pub!D$5,REPORT_raw_dataseen!$D$1:$R$1,1)+2,FALSE)+VLOOKUP(A67&amp;A$47,REPORT_raw_dataseen!$A$1:$R$769, MATCH(Referrals_pub!D$5,REPORT_raw_dataseen!$D$1:$R$1,1)+1,FALSE)</f>
        <v>#VALUE!</v>
      </c>
      <c r="E67" s="53" t="e">
        <f>+VLOOKUP(A67&amp;A$47,REPORT_raw_dataseen!$A$1:$R$769, MATCH(Referrals_pub!E$5,REPORT_raw_dataseen!$D$1:$R$1,1)+3,FALSE)+VLOOKUP(A67&amp;A$47,REPORT_raw_dataseen!$A$1:$R$769, MATCH(Referrals_pub!E$5,REPORT_raw_dataseen!$D$1:$R$1,1)+2,FALSE)+VLOOKUP(A67&amp;A$47,REPORT_raw_dataseen!$A$1:$R$769, MATCH(Referrals_pub!E$5,REPORT_raw_dataseen!$D$1:$R$1,1)+1,FALSE)</f>
        <v>#VALUE!</v>
      </c>
      <c r="F67" s="53" t="e">
        <f>+VLOOKUP(A67&amp;A$47,REPORT_raw_dataseen!$A$1:$R$769, MATCH(Referrals_pub!F$5,REPORT_raw_dataseen!$D$1:$R$1,1)+3,FALSE)+VLOOKUP(A67&amp;A$47,REPORT_raw_dataseen!$A$1:$R$769, MATCH(Referrals_pub!F$5,REPORT_raw_dataseen!$D$1:$R$1,1)+2,FALSE)+VLOOKUP(A67&amp;A$47,REPORT_raw_dataseen!$A$1:$R$769, MATCH(Referrals_pub!F$5,REPORT_raw_dataseen!$D$1:$R$1,1)+1,FALSE)</f>
        <v>#VALUE!</v>
      </c>
      <c r="G67" s="53"/>
      <c r="H67" s="53"/>
      <c r="I67" s="53"/>
      <c r="J67" s="53"/>
      <c r="K67" s="53"/>
      <c r="L67" s="53"/>
      <c r="M67" s="53"/>
      <c r="N67" s="53"/>
      <c r="O67" s="53"/>
      <c r="P67" s="53"/>
      <c r="Q67" s="53"/>
      <c r="R67" s="53"/>
      <c r="S67" s="53"/>
      <c r="T67" s="53"/>
    </row>
    <row r="69" spans="1:20">
      <c r="A69" t="s">
        <v>361</v>
      </c>
    </row>
    <row r="70" spans="1:20">
      <c r="A70" t="s">
        <v>176</v>
      </c>
      <c r="I70" t="s">
        <v>178</v>
      </c>
    </row>
    <row r="71" spans="1:20">
      <c r="A71" t="s">
        <v>301</v>
      </c>
    </row>
    <row r="72" spans="1:20">
      <c r="D72" s="3">
        <f>REPORT_raw_dataseen!L1</f>
        <v>44166</v>
      </c>
      <c r="E72" s="3">
        <f>REPORT_raw_dataseen!O1</f>
        <v>44256</v>
      </c>
      <c r="F72" s="3">
        <f>REPORT_raw_dataseen!R1</f>
        <v>44348</v>
      </c>
    </row>
    <row r="73" spans="1:20">
      <c r="A73" s="50"/>
      <c r="B73" s="50"/>
      <c r="C73" s="50"/>
      <c r="D73" s="50"/>
      <c r="E73" s="50"/>
      <c r="F73" s="51" t="e">
        <f>DATE(YEAR(G73),MONTH(G73)-1,DAY(G73))</f>
        <v>#NUM!</v>
      </c>
      <c r="G73" s="51"/>
      <c r="H73" s="51"/>
      <c r="I73" s="51"/>
      <c r="J73" s="51"/>
      <c r="K73" s="51"/>
      <c r="L73" s="51"/>
      <c r="M73" s="51"/>
      <c r="N73" s="51"/>
      <c r="O73" s="51"/>
      <c r="P73" s="51"/>
      <c r="Q73" s="51"/>
      <c r="R73" s="51"/>
      <c r="S73" s="51"/>
      <c r="T73" s="10"/>
    </row>
    <row r="74" spans="1:20">
      <c r="A74" s="52" t="s">
        <v>28</v>
      </c>
      <c r="B74" s="52"/>
      <c r="C74" s="52"/>
      <c r="D74" s="53" t="e">
        <f>SUM(D75:D89)</f>
        <v>#VALUE!</v>
      </c>
      <c r="E74" s="53" t="e">
        <f>SUM(E75:E89)</f>
        <v>#VALUE!</v>
      </c>
      <c r="F74" s="53" t="e">
        <f>SUM(F75:F89)</f>
        <v>#VALUE!</v>
      </c>
      <c r="G74" s="53"/>
      <c r="H74" s="53"/>
      <c r="I74" s="53"/>
      <c r="J74" s="53"/>
      <c r="K74" s="53"/>
      <c r="L74" s="53"/>
      <c r="M74" s="53"/>
      <c r="N74" s="53"/>
      <c r="O74" s="53"/>
      <c r="P74" s="53"/>
      <c r="Q74" s="53"/>
      <c r="R74" s="53"/>
      <c r="S74" s="53"/>
      <c r="T74" s="53"/>
    </row>
    <row r="75" spans="1:20">
      <c r="A75" s="50" t="s">
        <v>136</v>
      </c>
      <c r="B75" s="50"/>
      <c r="C75" s="50"/>
      <c r="D75" s="53">
        <f>+VLOOKUP(A75&amp;A$69,REPORT_raw_dataseen!$A$1:$R$769, MATCH(Referrals_pub!D$5,REPORT_raw_dataseen!$D$1:$R$1,1)+3,FALSE)+VLOOKUP(A75&amp;A$69,REPORT_raw_dataseen!$A$1:$R$769, MATCH(Referrals_pub!D$5,REPORT_raw_dataseen!$D$1:$R$1,1)+2,FALSE)+VLOOKUP(A75&amp;A$69,REPORT_raw_dataseen!$A$1:$R$769, MATCH(Referrals_pub!D$5,REPORT_raw_dataseen!$D$1:$R$1,1)+1,FALSE)</f>
        <v>46</v>
      </c>
      <c r="E75" s="53">
        <f>+VLOOKUP(A75&amp;A$69,REPORT_raw_dataseen!$A$1:$R$769, MATCH(Referrals_pub!E$5,REPORT_raw_dataseen!$D$1:$R$1,1)+3,FALSE)+VLOOKUP(A75&amp;A$69,REPORT_raw_dataseen!$A$1:$R$769, MATCH(Referrals_pub!E$5,REPORT_raw_dataseen!$D$1:$R$1,1)+2,FALSE)+VLOOKUP(A75&amp;A$69,REPORT_raw_dataseen!$A$1:$R$769, MATCH(Referrals_pub!E$5,REPORT_raw_dataseen!$D$1:$R$1,1)+1,FALSE)</f>
        <v>22</v>
      </c>
      <c r="F75" s="53">
        <f>+VLOOKUP(A75&amp;A$69,REPORT_raw_dataseen!$A$1:$R$769, MATCH(Referrals_pub!F$5,REPORT_raw_dataseen!$D$1:$R$1,1)+3,FALSE)+VLOOKUP(A75&amp;A$69,REPORT_raw_dataseen!$A$1:$R$769, MATCH(Referrals_pub!F$5,REPORT_raw_dataseen!$D$1:$R$1,1)+2,FALSE)+VLOOKUP(A75&amp;A$69,REPORT_raw_dataseen!$A$1:$R$769, MATCH(Referrals_pub!F$5,REPORT_raw_dataseen!$D$1:$R$1,1)+1,FALSE)</f>
        <v>71</v>
      </c>
      <c r="G75" s="53"/>
      <c r="H75" s="53"/>
      <c r="I75" s="53"/>
      <c r="J75" s="53"/>
      <c r="K75" s="53"/>
      <c r="L75" s="53"/>
      <c r="M75" s="53"/>
      <c r="N75" s="53"/>
      <c r="O75" s="53"/>
      <c r="P75" s="53"/>
      <c r="Q75" s="53"/>
      <c r="R75" s="53"/>
      <c r="S75" s="53"/>
      <c r="T75" s="53"/>
    </row>
    <row r="76" spans="1:20">
      <c r="A76" s="50" t="s">
        <v>137</v>
      </c>
      <c r="B76" s="50"/>
      <c r="C76" s="50"/>
      <c r="D76" s="53">
        <f>+VLOOKUP(A76&amp;A$69,REPORT_raw_dataseen!$A$1:$R$769, MATCH(Referrals_pub!D$5,REPORT_raw_dataseen!$D$1:$R$1,1)+3,FALSE)+VLOOKUP(A76&amp;A$69,REPORT_raw_dataseen!$A$1:$R$769, MATCH(Referrals_pub!D$5,REPORT_raw_dataseen!$D$1:$R$1,1)+2,FALSE)+VLOOKUP(A76&amp;A$69,REPORT_raw_dataseen!$A$1:$R$769, MATCH(Referrals_pub!D$5,REPORT_raw_dataseen!$D$1:$R$1,1)+1,FALSE)</f>
        <v>52</v>
      </c>
      <c r="E76" s="53">
        <f>+VLOOKUP(A76&amp;A$69,REPORT_raw_dataseen!$A$1:$R$769, MATCH(Referrals_pub!E$5,REPORT_raw_dataseen!$D$1:$R$1,1)+3,FALSE)+VLOOKUP(A76&amp;A$69,REPORT_raw_dataseen!$A$1:$R$769, MATCH(Referrals_pub!E$5,REPORT_raw_dataseen!$D$1:$R$1,1)+2,FALSE)+VLOOKUP(A76&amp;A$69,REPORT_raw_dataseen!$A$1:$R$769, MATCH(Referrals_pub!E$5,REPORT_raw_dataseen!$D$1:$R$1,1)+1,FALSE)</f>
        <v>38</v>
      </c>
      <c r="F76" s="53">
        <f>+VLOOKUP(A76&amp;A$69,REPORT_raw_dataseen!$A$1:$R$769, MATCH(Referrals_pub!F$5,REPORT_raw_dataseen!$D$1:$R$1,1)+3,FALSE)+VLOOKUP(A76&amp;A$69,REPORT_raw_dataseen!$A$1:$R$769, MATCH(Referrals_pub!F$5,REPORT_raw_dataseen!$D$1:$R$1,1)+2,FALSE)+VLOOKUP(A76&amp;A$69,REPORT_raw_dataseen!$A$1:$R$769, MATCH(Referrals_pub!F$5,REPORT_raw_dataseen!$D$1:$R$1,1)+1,FALSE)</f>
        <v>101</v>
      </c>
      <c r="G76" s="53"/>
      <c r="H76" s="53"/>
      <c r="I76" s="53"/>
      <c r="J76" s="53"/>
      <c r="K76" s="53"/>
      <c r="L76" s="53"/>
      <c r="M76" s="53"/>
      <c r="N76" s="53"/>
      <c r="O76" s="53"/>
      <c r="P76" s="53"/>
      <c r="Q76" s="53"/>
      <c r="R76" s="53"/>
      <c r="S76" s="53"/>
      <c r="T76" s="53"/>
    </row>
    <row r="77" spans="1:20">
      <c r="A77" s="50" t="s">
        <v>160</v>
      </c>
      <c r="B77" s="50"/>
      <c r="C77" s="50"/>
      <c r="D77" s="53">
        <f>+VLOOKUP(A77&amp;A$69,REPORT_raw_dataseen!$A$1:$R$769, MATCH(Referrals_pub!D$5,REPORT_raw_dataseen!$D$1:$R$1,1)+3,FALSE)+VLOOKUP(A77&amp;A$69,REPORT_raw_dataseen!$A$1:$R$769, MATCH(Referrals_pub!D$5,REPORT_raw_dataseen!$D$1:$R$1,1)+2,FALSE)+VLOOKUP(A77&amp;A$69,REPORT_raw_dataseen!$A$1:$R$769, MATCH(Referrals_pub!D$5,REPORT_raw_dataseen!$D$1:$R$1,1)+1,FALSE)</f>
        <v>99</v>
      </c>
      <c r="E77" s="53">
        <f>+VLOOKUP(A77&amp;A$69,REPORT_raw_dataseen!$A$1:$R$769, MATCH(Referrals_pub!E$5,REPORT_raw_dataseen!$D$1:$R$1,1)+3,FALSE)+VLOOKUP(A77&amp;A$69,REPORT_raw_dataseen!$A$1:$R$769, MATCH(Referrals_pub!E$5,REPORT_raw_dataseen!$D$1:$R$1,1)+2,FALSE)+VLOOKUP(A77&amp;A$69,REPORT_raw_dataseen!$A$1:$R$769, MATCH(Referrals_pub!E$5,REPORT_raw_dataseen!$D$1:$R$1,1)+1,FALSE)</f>
        <v>79</v>
      </c>
      <c r="F77" s="53">
        <f>+VLOOKUP(A77&amp;A$69,REPORT_raw_dataseen!$A$1:$R$769, MATCH(Referrals_pub!F$5,REPORT_raw_dataseen!$D$1:$R$1,1)+3,FALSE)+VLOOKUP(A77&amp;A$69,REPORT_raw_dataseen!$A$1:$R$769, MATCH(Referrals_pub!F$5,REPORT_raw_dataseen!$D$1:$R$1,1)+2,FALSE)+VLOOKUP(A77&amp;A$69,REPORT_raw_dataseen!$A$1:$R$769, MATCH(Referrals_pub!F$5,REPORT_raw_dataseen!$D$1:$R$1,1)+1,FALSE)</f>
        <v>76</v>
      </c>
      <c r="G77" s="53"/>
      <c r="H77" s="53"/>
      <c r="I77" s="53"/>
      <c r="J77" s="53"/>
      <c r="K77" s="53"/>
      <c r="L77" s="53"/>
      <c r="M77" s="53"/>
      <c r="N77" s="53"/>
      <c r="O77" s="53"/>
      <c r="P77" s="53"/>
      <c r="Q77" s="53"/>
      <c r="R77" s="53"/>
      <c r="S77" s="53"/>
      <c r="T77" s="53"/>
    </row>
    <row r="78" spans="1:20">
      <c r="A78" s="50" t="s">
        <v>138</v>
      </c>
      <c r="B78" s="50"/>
      <c r="C78" s="50"/>
      <c r="D78" s="53">
        <f>+VLOOKUP(A78&amp;A$69,REPORT_raw_dataseen!$A$1:$R$769, MATCH(Referrals_pub!D$5,REPORT_raw_dataseen!$D$1:$R$1,1)+3,FALSE)+VLOOKUP(A78&amp;A$69,REPORT_raw_dataseen!$A$1:$R$769, MATCH(Referrals_pub!D$5,REPORT_raw_dataseen!$D$1:$R$1,1)+2,FALSE)+VLOOKUP(A78&amp;A$69,REPORT_raw_dataseen!$A$1:$R$769, MATCH(Referrals_pub!D$5,REPORT_raw_dataseen!$D$1:$R$1,1)+1,FALSE)</f>
        <v>67</v>
      </c>
      <c r="E78" s="53">
        <f>+VLOOKUP(A78&amp;A$69,REPORT_raw_dataseen!$A$1:$R$769, MATCH(Referrals_pub!E$5,REPORT_raw_dataseen!$D$1:$R$1,1)+3,FALSE)+VLOOKUP(A78&amp;A$69,REPORT_raw_dataseen!$A$1:$R$769, MATCH(Referrals_pub!E$5,REPORT_raw_dataseen!$D$1:$R$1,1)+2,FALSE)+VLOOKUP(A78&amp;A$69,REPORT_raw_dataseen!$A$1:$R$769, MATCH(Referrals_pub!E$5,REPORT_raw_dataseen!$D$1:$R$1,1)+1,FALSE)</f>
        <v>52</v>
      </c>
      <c r="F78" s="53">
        <f>+VLOOKUP(A78&amp;A$69,REPORT_raw_dataseen!$A$1:$R$769, MATCH(Referrals_pub!F$5,REPORT_raw_dataseen!$D$1:$R$1,1)+3,FALSE)+VLOOKUP(A78&amp;A$69,REPORT_raw_dataseen!$A$1:$R$769, MATCH(Referrals_pub!F$5,REPORT_raw_dataseen!$D$1:$R$1,1)+2,FALSE)+VLOOKUP(A78&amp;A$69,REPORT_raw_dataseen!$A$1:$R$769, MATCH(Referrals_pub!F$5,REPORT_raw_dataseen!$D$1:$R$1,1)+1,FALSE)</f>
        <v>79</v>
      </c>
      <c r="G78" s="53"/>
      <c r="H78" s="53"/>
      <c r="I78" s="53"/>
      <c r="J78" s="53"/>
      <c r="K78" s="53"/>
      <c r="L78" s="53"/>
      <c r="M78" s="53"/>
      <c r="N78" s="53"/>
      <c r="O78" s="53"/>
      <c r="P78" s="53"/>
      <c r="Q78" s="53"/>
      <c r="R78" s="53"/>
      <c r="S78" s="53"/>
      <c r="T78" s="53"/>
    </row>
    <row r="79" spans="1:20">
      <c r="A79" s="50" t="s">
        <v>139</v>
      </c>
      <c r="B79" s="50"/>
      <c r="C79" s="50"/>
      <c r="D79" s="53">
        <f>+VLOOKUP(A79&amp;A$69,REPORT_raw_dataseen!$A$1:$R$769, MATCH(Referrals_pub!D$5,REPORT_raw_dataseen!$D$1:$R$1,1)+3,FALSE)+VLOOKUP(A79&amp;A$69,REPORT_raw_dataseen!$A$1:$R$769, MATCH(Referrals_pub!D$5,REPORT_raw_dataseen!$D$1:$R$1,1)+2,FALSE)+VLOOKUP(A79&amp;A$69,REPORT_raw_dataseen!$A$1:$R$769, MATCH(Referrals_pub!D$5,REPORT_raw_dataseen!$D$1:$R$1,1)+1,FALSE)</f>
        <v>56</v>
      </c>
      <c r="E79" s="53">
        <f>+VLOOKUP(A79&amp;A$69,REPORT_raw_dataseen!$A$1:$R$769, MATCH(Referrals_pub!E$5,REPORT_raw_dataseen!$D$1:$R$1,1)+3,FALSE)+VLOOKUP(A79&amp;A$69,REPORT_raw_dataseen!$A$1:$R$769, MATCH(Referrals_pub!E$5,REPORT_raw_dataseen!$D$1:$R$1,1)+2,FALSE)+VLOOKUP(A79&amp;A$69,REPORT_raw_dataseen!$A$1:$R$769, MATCH(Referrals_pub!E$5,REPORT_raw_dataseen!$D$1:$R$1,1)+1,FALSE)</f>
        <v>68</v>
      </c>
      <c r="F79" s="53">
        <f>+VLOOKUP(A79&amp;A$69,REPORT_raw_dataseen!$A$1:$R$769, MATCH(Referrals_pub!F$5,REPORT_raw_dataseen!$D$1:$R$1,1)+3,FALSE)+VLOOKUP(A79&amp;A$69,REPORT_raw_dataseen!$A$1:$R$769, MATCH(Referrals_pub!F$5,REPORT_raw_dataseen!$D$1:$R$1,1)+2,FALSE)+VLOOKUP(A79&amp;A$69,REPORT_raw_dataseen!$A$1:$R$769, MATCH(Referrals_pub!F$5,REPORT_raw_dataseen!$D$1:$R$1,1)+1,FALSE)</f>
        <v>76</v>
      </c>
      <c r="G79" s="53"/>
      <c r="H79" s="53"/>
      <c r="I79" s="53"/>
      <c r="J79" s="53"/>
      <c r="K79" s="53"/>
      <c r="L79" s="53"/>
      <c r="M79" s="53"/>
      <c r="N79" s="53"/>
      <c r="O79" s="53"/>
      <c r="P79" s="53"/>
      <c r="Q79" s="53"/>
      <c r="R79" s="53"/>
      <c r="S79" s="53"/>
      <c r="T79" s="53"/>
    </row>
    <row r="80" spans="1:20">
      <c r="A80" s="50" t="s">
        <v>140</v>
      </c>
      <c r="B80" s="50"/>
      <c r="C80" s="50"/>
      <c r="D80" s="53">
        <f>+VLOOKUP(A80&amp;A$69,REPORT_raw_dataseen!$A$1:$R$769, MATCH(Referrals_pub!D$5,REPORT_raw_dataseen!$D$1:$R$1,1)+3,FALSE)+VLOOKUP(A80&amp;A$69,REPORT_raw_dataseen!$A$1:$R$769, MATCH(Referrals_pub!D$5,REPORT_raw_dataseen!$D$1:$R$1,1)+2,FALSE)+VLOOKUP(A80&amp;A$69,REPORT_raw_dataseen!$A$1:$R$769, MATCH(Referrals_pub!D$5,REPORT_raw_dataseen!$D$1:$R$1,1)+1,FALSE)</f>
        <v>50</v>
      </c>
      <c r="E80" s="53">
        <f>+VLOOKUP(A80&amp;A$69,REPORT_raw_dataseen!$A$1:$R$769, MATCH(Referrals_pub!E$5,REPORT_raw_dataseen!$D$1:$R$1,1)+3,FALSE)+VLOOKUP(A80&amp;A$69,REPORT_raw_dataseen!$A$1:$R$769, MATCH(Referrals_pub!E$5,REPORT_raw_dataseen!$D$1:$R$1,1)+2,FALSE)+VLOOKUP(A80&amp;A$69,REPORT_raw_dataseen!$A$1:$R$769, MATCH(Referrals_pub!E$5,REPORT_raw_dataseen!$D$1:$R$1,1)+1,FALSE)</f>
        <v>57</v>
      </c>
      <c r="F80" s="53">
        <f>+VLOOKUP(A80&amp;A$69,REPORT_raw_dataseen!$A$1:$R$769, MATCH(Referrals_pub!F$5,REPORT_raw_dataseen!$D$1:$R$1,1)+3,FALSE)+VLOOKUP(A80&amp;A$69,REPORT_raw_dataseen!$A$1:$R$769, MATCH(Referrals_pub!F$5,REPORT_raw_dataseen!$D$1:$R$1,1)+2,FALSE)+VLOOKUP(A80&amp;A$69,REPORT_raw_dataseen!$A$1:$R$769, MATCH(Referrals_pub!F$5,REPORT_raw_dataseen!$D$1:$R$1,1)+1,FALSE)</f>
        <v>100</v>
      </c>
      <c r="G80" s="53"/>
      <c r="H80" s="53"/>
      <c r="I80" s="53"/>
      <c r="J80" s="53"/>
      <c r="K80" s="53"/>
      <c r="L80" s="53"/>
      <c r="M80" s="53"/>
      <c r="N80" s="53"/>
      <c r="O80" s="53"/>
      <c r="P80" s="53"/>
      <c r="Q80" s="53"/>
      <c r="R80" s="53"/>
      <c r="S80" s="53"/>
      <c r="T80" s="53"/>
    </row>
    <row r="81" spans="1:20">
      <c r="A81" s="50" t="s">
        <v>141</v>
      </c>
      <c r="B81" s="50"/>
      <c r="C81" s="50"/>
      <c r="D81" s="53">
        <f>+VLOOKUP(A81&amp;A$69,REPORT_raw_dataseen!$A$1:$R$769, MATCH(Referrals_pub!D$5,REPORT_raw_dataseen!$D$1:$R$1,1)+3,FALSE)+VLOOKUP(A81&amp;A$69,REPORT_raw_dataseen!$A$1:$R$769, MATCH(Referrals_pub!D$5,REPORT_raw_dataseen!$D$1:$R$1,1)+2,FALSE)+VLOOKUP(A81&amp;A$69,REPORT_raw_dataseen!$A$1:$R$769, MATCH(Referrals_pub!D$5,REPORT_raw_dataseen!$D$1:$R$1,1)+1,FALSE)</f>
        <v>2796</v>
      </c>
      <c r="E81" s="53">
        <f>+VLOOKUP(A81&amp;A$69,REPORT_raw_dataseen!$A$1:$R$769, MATCH(Referrals_pub!E$5,REPORT_raw_dataseen!$D$1:$R$1,1)+3,FALSE)+VLOOKUP(A81&amp;A$69,REPORT_raw_dataseen!$A$1:$R$769, MATCH(Referrals_pub!E$5,REPORT_raw_dataseen!$D$1:$R$1,1)+2,FALSE)+VLOOKUP(A81&amp;A$69,REPORT_raw_dataseen!$A$1:$R$769, MATCH(Referrals_pub!E$5,REPORT_raw_dataseen!$D$1:$R$1,1)+1,FALSE)</f>
        <v>2819</v>
      </c>
      <c r="F81" s="53">
        <f>+VLOOKUP(A81&amp;A$69,REPORT_raw_dataseen!$A$1:$R$769, MATCH(Referrals_pub!F$5,REPORT_raw_dataseen!$D$1:$R$1,1)+3,FALSE)+VLOOKUP(A81&amp;A$69,REPORT_raw_dataseen!$A$1:$R$769, MATCH(Referrals_pub!F$5,REPORT_raw_dataseen!$D$1:$R$1,1)+2,FALSE)+VLOOKUP(A81&amp;A$69,REPORT_raw_dataseen!$A$1:$R$769, MATCH(Referrals_pub!F$5,REPORT_raw_dataseen!$D$1:$R$1,1)+1,FALSE)</f>
        <v>3111</v>
      </c>
      <c r="G81" s="53"/>
      <c r="H81" s="53"/>
      <c r="I81" s="53"/>
      <c r="J81" s="53"/>
      <c r="K81" s="53"/>
      <c r="L81" s="53"/>
      <c r="M81" s="53"/>
      <c r="N81" s="53"/>
      <c r="O81" s="53"/>
      <c r="P81" s="53"/>
      <c r="Q81" s="53"/>
      <c r="R81" s="53"/>
      <c r="S81" s="53"/>
      <c r="T81" s="53"/>
    </row>
    <row r="82" spans="1:20">
      <c r="A82" s="50" t="s">
        <v>142</v>
      </c>
      <c r="B82" s="50"/>
      <c r="C82" s="50"/>
      <c r="D82" s="53">
        <f>+VLOOKUP(A82&amp;A$69,REPORT_raw_dataseen!$A$1:$R$769, MATCH(Referrals_pub!D$5,REPORT_raw_dataseen!$D$1:$R$1,1)+3,FALSE)+VLOOKUP(A82&amp;A$69,REPORT_raw_dataseen!$A$1:$R$769, MATCH(Referrals_pub!D$5,REPORT_raw_dataseen!$D$1:$R$1,1)+2,FALSE)+VLOOKUP(A82&amp;A$69,REPORT_raw_dataseen!$A$1:$R$769, MATCH(Referrals_pub!D$5,REPORT_raw_dataseen!$D$1:$R$1,1)+1,FALSE)</f>
        <v>75</v>
      </c>
      <c r="E82" s="53">
        <f>+VLOOKUP(A82&amp;A$69,REPORT_raw_dataseen!$A$1:$R$769, MATCH(Referrals_pub!E$5,REPORT_raw_dataseen!$D$1:$R$1,1)+3,FALSE)+VLOOKUP(A82&amp;A$69,REPORT_raw_dataseen!$A$1:$R$769, MATCH(Referrals_pub!E$5,REPORT_raw_dataseen!$D$1:$R$1,1)+2,FALSE)+VLOOKUP(A82&amp;A$69,REPORT_raw_dataseen!$A$1:$R$769, MATCH(Referrals_pub!E$5,REPORT_raw_dataseen!$D$1:$R$1,1)+1,FALSE)</f>
        <v>83</v>
      </c>
      <c r="F82" s="53">
        <f>+VLOOKUP(A82&amp;A$69,REPORT_raw_dataseen!$A$1:$R$769, MATCH(Referrals_pub!F$5,REPORT_raw_dataseen!$D$1:$R$1,1)+3,FALSE)+VLOOKUP(A82&amp;A$69,REPORT_raw_dataseen!$A$1:$R$769, MATCH(Referrals_pub!F$5,REPORT_raw_dataseen!$D$1:$R$1,1)+2,FALSE)+VLOOKUP(A82&amp;A$69,REPORT_raw_dataseen!$A$1:$R$769, MATCH(Referrals_pub!F$5,REPORT_raw_dataseen!$D$1:$R$1,1)+1,FALSE)</f>
        <v>133</v>
      </c>
      <c r="G82" s="53"/>
      <c r="H82" s="53"/>
      <c r="I82" s="53"/>
      <c r="J82" s="53"/>
      <c r="K82" s="53"/>
      <c r="L82" s="53"/>
      <c r="M82" s="53"/>
      <c r="N82" s="53"/>
      <c r="O82" s="53"/>
      <c r="P82" s="53"/>
      <c r="Q82" s="53"/>
      <c r="R82" s="53"/>
      <c r="S82" s="53"/>
      <c r="T82" s="53"/>
    </row>
    <row r="83" spans="1:20">
      <c r="A83" s="50" t="s">
        <v>192</v>
      </c>
      <c r="B83" s="50"/>
      <c r="C83" s="50"/>
      <c r="D83" s="53">
        <f>+VLOOKUP(A83&amp;A$69,REPORT_raw_dataseen!$A$1:$R$769, MATCH(Referrals_pub!D$5,REPORT_raw_dataseen!$D$1:$R$1,1)+3,FALSE)+VLOOKUP(A83&amp;A$69,REPORT_raw_dataseen!$A$1:$R$769, MATCH(Referrals_pub!D$5,REPORT_raw_dataseen!$D$1:$R$1,1)+2,FALSE)+VLOOKUP(A83&amp;A$69,REPORT_raw_dataseen!$A$1:$R$769, MATCH(Referrals_pub!D$5,REPORT_raw_dataseen!$D$1:$R$1,1)+1,FALSE)</f>
        <v>116</v>
      </c>
      <c r="E83" s="53">
        <f>+VLOOKUP(A83&amp;A$69,REPORT_raw_dataseen!$A$1:$R$769, MATCH(Referrals_pub!E$5,REPORT_raw_dataseen!$D$1:$R$1,1)+3,FALSE)+VLOOKUP(A83&amp;A$69,REPORT_raw_dataseen!$A$1:$R$769, MATCH(Referrals_pub!E$5,REPORT_raw_dataseen!$D$1:$R$1,1)+2,FALSE)+VLOOKUP(A83&amp;A$69,REPORT_raw_dataseen!$A$1:$R$769, MATCH(Referrals_pub!E$5,REPORT_raw_dataseen!$D$1:$R$1,1)+1,FALSE)</f>
        <v>141</v>
      </c>
      <c r="F83" s="53">
        <f>+VLOOKUP(A83&amp;A$69,REPORT_raw_dataseen!$A$1:$R$769, MATCH(Referrals_pub!F$5,REPORT_raw_dataseen!$D$1:$R$1,1)+3,FALSE)+VLOOKUP(A83&amp;A$69,REPORT_raw_dataseen!$A$1:$R$769, MATCH(Referrals_pub!F$5,REPORT_raw_dataseen!$D$1:$R$1,1)+2,FALSE)+VLOOKUP(A83&amp;A$69,REPORT_raw_dataseen!$A$1:$R$769, MATCH(Referrals_pub!F$5,REPORT_raw_dataseen!$D$1:$R$1,1)+1,FALSE)</f>
        <v>208</v>
      </c>
      <c r="G83" s="53"/>
      <c r="H83" s="53"/>
      <c r="I83" s="53"/>
      <c r="J83" s="53"/>
      <c r="K83" s="53"/>
      <c r="L83" s="53"/>
      <c r="M83" s="53"/>
      <c r="N83" s="53"/>
      <c r="O83" s="53"/>
      <c r="P83" s="53"/>
      <c r="Q83" s="53"/>
      <c r="R83" s="53"/>
      <c r="S83" s="53"/>
      <c r="T83" s="53"/>
    </row>
    <row r="84" spans="1:20">
      <c r="A84" s="50" t="s">
        <v>143</v>
      </c>
      <c r="B84" s="50"/>
      <c r="C84" s="50"/>
      <c r="D84" s="53">
        <f>+VLOOKUP(A84&amp;A$69,REPORT_raw_dataseen!$A$1:$R$769, MATCH(Referrals_pub!D$5,REPORT_raw_dataseen!$D$1:$R$1,1)+3,FALSE)+VLOOKUP(A84&amp;A$69,REPORT_raw_dataseen!$A$1:$R$769, MATCH(Referrals_pub!D$5,REPORT_raw_dataseen!$D$1:$R$1,1)+2,FALSE)+VLOOKUP(A84&amp;A$69,REPORT_raw_dataseen!$A$1:$R$769, MATCH(Referrals_pub!D$5,REPORT_raw_dataseen!$D$1:$R$1,1)+1,FALSE)</f>
        <v>250</v>
      </c>
      <c r="E84" s="53">
        <f>+VLOOKUP(A84&amp;A$69,REPORT_raw_dataseen!$A$1:$R$769, MATCH(Referrals_pub!E$5,REPORT_raw_dataseen!$D$1:$R$1,1)+3,FALSE)+VLOOKUP(A84&amp;A$69,REPORT_raw_dataseen!$A$1:$R$769, MATCH(Referrals_pub!E$5,REPORT_raw_dataseen!$D$1:$R$1,1)+2,FALSE)+VLOOKUP(A84&amp;A$69,REPORT_raw_dataseen!$A$1:$R$769, MATCH(Referrals_pub!E$5,REPORT_raw_dataseen!$D$1:$R$1,1)+1,FALSE)</f>
        <v>263</v>
      </c>
      <c r="F84" s="53">
        <f>+VLOOKUP(A84&amp;A$69,REPORT_raw_dataseen!$A$1:$R$769, MATCH(Referrals_pub!F$5,REPORT_raw_dataseen!$D$1:$R$1,1)+3,FALSE)+VLOOKUP(A84&amp;A$69,REPORT_raw_dataseen!$A$1:$R$769, MATCH(Referrals_pub!F$5,REPORT_raw_dataseen!$D$1:$R$1,1)+2,FALSE)+VLOOKUP(A84&amp;A$69,REPORT_raw_dataseen!$A$1:$R$769, MATCH(Referrals_pub!F$5,REPORT_raw_dataseen!$D$1:$R$1,1)+1,FALSE)</f>
        <v>287</v>
      </c>
      <c r="G84" s="53"/>
      <c r="H84" s="53"/>
      <c r="I84" s="53"/>
      <c r="J84" s="53"/>
      <c r="K84" s="53"/>
      <c r="L84" s="53"/>
      <c r="M84" s="53"/>
      <c r="N84" s="53"/>
      <c r="O84" s="53"/>
      <c r="P84" s="53"/>
      <c r="Q84" s="53"/>
      <c r="R84" s="53"/>
      <c r="S84" s="53"/>
      <c r="T84" s="53"/>
    </row>
    <row r="85" spans="1:20">
      <c r="A85" s="50" t="s">
        <v>144</v>
      </c>
      <c r="B85" s="50"/>
      <c r="C85" s="50"/>
      <c r="D85" s="53">
        <f>+VLOOKUP(A85&amp;A$69,REPORT_raw_dataseen!$A$1:$R$769, MATCH(Referrals_pub!D$5,REPORT_raw_dataseen!$D$1:$R$1,1)+3,FALSE)+VLOOKUP(A85&amp;A$69,REPORT_raw_dataseen!$A$1:$R$769, MATCH(Referrals_pub!D$5,REPORT_raw_dataseen!$D$1:$R$1,1)+2,FALSE)+VLOOKUP(A85&amp;A$69,REPORT_raw_dataseen!$A$1:$R$769, MATCH(Referrals_pub!D$5,REPORT_raw_dataseen!$D$1:$R$1,1)+1,FALSE)</f>
        <v>1</v>
      </c>
      <c r="E85" s="53">
        <f>+VLOOKUP(A85&amp;A$69,REPORT_raw_dataseen!$A$1:$R$769, MATCH(Referrals_pub!E$5,REPORT_raw_dataseen!$D$1:$R$1,1)+3,FALSE)+VLOOKUP(A85&amp;A$69,REPORT_raw_dataseen!$A$1:$R$769, MATCH(Referrals_pub!E$5,REPORT_raw_dataseen!$D$1:$R$1,1)+2,FALSE)+VLOOKUP(A85&amp;A$69,REPORT_raw_dataseen!$A$1:$R$769, MATCH(Referrals_pub!E$5,REPORT_raw_dataseen!$D$1:$R$1,1)+1,FALSE)</f>
        <v>0</v>
      </c>
      <c r="F85" s="53">
        <f>+VLOOKUP(A85&amp;A$69,REPORT_raw_dataseen!$A$1:$R$769, MATCH(Referrals_pub!F$5,REPORT_raw_dataseen!$D$1:$R$1,1)+3,FALSE)+VLOOKUP(A85&amp;A$69,REPORT_raw_dataseen!$A$1:$R$769, MATCH(Referrals_pub!F$5,REPORT_raw_dataseen!$D$1:$R$1,1)+2,FALSE)+VLOOKUP(A85&amp;A$69,REPORT_raw_dataseen!$A$1:$R$769, MATCH(Referrals_pub!F$5,REPORT_raw_dataseen!$D$1:$R$1,1)+1,FALSE)</f>
        <v>2</v>
      </c>
      <c r="G85" s="53"/>
      <c r="H85" s="53"/>
      <c r="I85" s="53"/>
      <c r="J85" s="53"/>
      <c r="K85" s="53"/>
      <c r="L85" s="53"/>
      <c r="M85" s="53"/>
      <c r="N85" s="53"/>
      <c r="O85" s="53"/>
      <c r="P85" s="53"/>
      <c r="Q85" s="53"/>
      <c r="R85" s="53"/>
      <c r="S85" s="53"/>
      <c r="T85" s="53"/>
    </row>
    <row r="86" spans="1:20">
      <c r="A86" s="50" t="s">
        <v>145</v>
      </c>
      <c r="B86" s="50"/>
      <c r="C86" s="50"/>
      <c r="D86" s="53">
        <f>+VLOOKUP(A86&amp;A$69,REPORT_raw_dataseen!$A$1:$R$769, MATCH(Referrals_pub!D$5,REPORT_raw_dataseen!$D$1:$R$1,1)+3,FALSE)+VLOOKUP(A86&amp;A$69,REPORT_raw_dataseen!$A$1:$R$769, MATCH(Referrals_pub!D$5,REPORT_raw_dataseen!$D$1:$R$1,1)+2,FALSE)+VLOOKUP(A86&amp;A$69,REPORT_raw_dataseen!$A$1:$R$769, MATCH(Referrals_pub!D$5,REPORT_raw_dataseen!$D$1:$R$1,1)+1,FALSE)</f>
        <v>3</v>
      </c>
      <c r="E86" s="53">
        <f>+VLOOKUP(A86&amp;A$69,REPORT_raw_dataseen!$A$1:$R$769, MATCH(Referrals_pub!E$5,REPORT_raw_dataseen!$D$1:$R$1,1)+3,FALSE)+VLOOKUP(A86&amp;A$69,REPORT_raw_dataseen!$A$1:$R$769, MATCH(Referrals_pub!E$5,REPORT_raw_dataseen!$D$1:$R$1,1)+2,FALSE)+VLOOKUP(A86&amp;A$69,REPORT_raw_dataseen!$A$1:$R$769, MATCH(Referrals_pub!E$5,REPORT_raw_dataseen!$D$1:$R$1,1)+1,FALSE)</f>
        <v>1</v>
      </c>
      <c r="F86" s="53">
        <f>+VLOOKUP(A86&amp;A$69,REPORT_raw_dataseen!$A$1:$R$769, MATCH(Referrals_pub!F$5,REPORT_raw_dataseen!$D$1:$R$1,1)+3,FALSE)+VLOOKUP(A86&amp;A$69,REPORT_raw_dataseen!$A$1:$R$769, MATCH(Referrals_pub!F$5,REPORT_raw_dataseen!$D$1:$R$1,1)+2,FALSE)+VLOOKUP(A86&amp;A$69,REPORT_raw_dataseen!$A$1:$R$769, MATCH(Referrals_pub!F$5,REPORT_raw_dataseen!$D$1:$R$1,1)+1,FALSE)</f>
        <v>5</v>
      </c>
      <c r="G86" s="53"/>
      <c r="H86" s="53"/>
      <c r="I86" s="53"/>
      <c r="J86" s="53"/>
      <c r="K86" s="53"/>
      <c r="L86" s="53"/>
      <c r="M86" s="53"/>
      <c r="N86" s="53"/>
      <c r="O86" s="53"/>
      <c r="P86" s="53"/>
      <c r="Q86" s="53"/>
      <c r="R86" s="53"/>
      <c r="S86" s="53"/>
      <c r="T86" s="53"/>
    </row>
    <row r="87" spans="1:20">
      <c r="A87" s="50" t="s">
        <v>146</v>
      </c>
      <c r="B87" s="50"/>
      <c r="C87" s="50"/>
      <c r="D87" s="53">
        <f>+VLOOKUP(A87&amp;A$69,REPORT_raw_dataseen!$A$1:$R$769, MATCH(Referrals_pub!D$5,REPORT_raw_dataseen!$D$1:$R$1,1)+3,FALSE)+VLOOKUP(A87&amp;A$69,REPORT_raw_dataseen!$A$1:$R$769, MATCH(Referrals_pub!D$5,REPORT_raw_dataseen!$D$1:$R$1,1)+2,FALSE)+VLOOKUP(A87&amp;A$69,REPORT_raw_dataseen!$A$1:$R$769, MATCH(Referrals_pub!D$5,REPORT_raw_dataseen!$D$1:$R$1,1)+1,FALSE)</f>
        <v>193</v>
      </c>
      <c r="E87" s="53">
        <f>+VLOOKUP(A87&amp;A$69,REPORT_raw_dataseen!$A$1:$R$769, MATCH(Referrals_pub!E$5,REPORT_raw_dataseen!$D$1:$R$1,1)+3,FALSE)+VLOOKUP(A87&amp;A$69,REPORT_raw_dataseen!$A$1:$R$769, MATCH(Referrals_pub!E$5,REPORT_raw_dataseen!$D$1:$R$1,1)+2,FALSE)+VLOOKUP(A87&amp;A$69,REPORT_raw_dataseen!$A$1:$R$769, MATCH(Referrals_pub!E$5,REPORT_raw_dataseen!$D$1:$R$1,1)+1,FALSE)</f>
        <v>263</v>
      </c>
      <c r="F87" s="53">
        <f>+VLOOKUP(A87&amp;A$69,REPORT_raw_dataseen!$A$1:$R$769, MATCH(Referrals_pub!F$5,REPORT_raw_dataseen!$D$1:$R$1,1)+3,FALSE)+VLOOKUP(A87&amp;A$69,REPORT_raw_dataseen!$A$1:$R$769, MATCH(Referrals_pub!F$5,REPORT_raw_dataseen!$D$1:$R$1,1)+2,FALSE)+VLOOKUP(A87&amp;A$69,REPORT_raw_dataseen!$A$1:$R$769, MATCH(Referrals_pub!F$5,REPORT_raw_dataseen!$D$1:$R$1,1)+1,FALSE)</f>
        <v>296</v>
      </c>
      <c r="G87" s="53"/>
      <c r="H87" s="53"/>
      <c r="I87" s="53"/>
      <c r="J87" s="53"/>
      <c r="K87" s="53"/>
      <c r="L87" s="53"/>
      <c r="M87" s="53"/>
      <c r="N87" s="53"/>
      <c r="O87" s="53"/>
      <c r="P87" s="53"/>
      <c r="Q87" s="53"/>
      <c r="R87" s="53"/>
      <c r="S87" s="53"/>
      <c r="T87" s="53"/>
    </row>
    <row r="88" spans="1:20">
      <c r="A88" s="50" t="s">
        <v>147</v>
      </c>
      <c r="B88" s="50"/>
      <c r="C88" s="50"/>
      <c r="D88" s="53">
        <f>+VLOOKUP(A88&amp;A$69,REPORT_raw_dataseen!$A$1:$R$769, MATCH(Referrals_pub!D$5,REPORT_raw_dataseen!$D$1:$R$1,1)+3,FALSE)+VLOOKUP(A88&amp;A$69,REPORT_raw_dataseen!$A$1:$R$769, MATCH(Referrals_pub!D$5,REPORT_raw_dataseen!$D$1:$R$1,1)+2,FALSE)+VLOOKUP(A88&amp;A$69,REPORT_raw_dataseen!$A$1:$R$769, MATCH(Referrals_pub!D$5,REPORT_raw_dataseen!$D$1:$R$1,1)+1,FALSE)</f>
        <v>0</v>
      </c>
      <c r="E88" s="53">
        <f>+VLOOKUP(A88&amp;A$69,REPORT_raw_dataseen!$A$1:$R$769, MATCH(Referrals_pub!E$5,REPORT_raw_dataseen!$D$1:$R$1,1)+3,FALSE)+VLOOKUP(A88&amp;A$69,REPORT_raw_dataseen!$A$1:$R$769, MATCH(Referrals_pub!E$5,REPORT_raw_dataseen!$D$1:$R$1,1)+2,FALSE)+VLOOKUP(A88&amp;A$69,REPORT_raw_dataseen!$A$1:$R$769, MATCH(Referrals_pub!E$5,REPORT_raw_dataseen!$D$1:$R$1,1)+1,FALSE)</f>
        <v>1</v>
      </c>
      <c r="F88" s="53">
        <f>+VLOOKUP(A88&amp;A$69,REPORT_raw_dataseen!$A$1:$R$769, MATCH(Referrals_pub!F$5,REPORT_raw_dataseen!$D$1:$R$1,1)+3,FALSE)+VLOOKUP(A88&amp;A$69,REPORT_raw_dataseen!$A$1:$R$769, MATCH(Referrals_pub!F$5,REPORT_raw_dataseen!$D$1:$R$1,1)+2,FALSE)+VLOOKUP(A88&amp;A$69,REPORT_raw_dataseen!$A$1:$R$769, MATCH(Referrals_pub!F$5,REPORT_raw_dataseen!$D$1:$R$1,1)+1,FALSE)</f>
        <v>0</v>
      </c>
      <c r="G88" s="53"/>
      <c r="H88" s="53"/>
      <c r="I88" s="53"/>
      <c r="J88" s="53"/>
      <c r="K88" s="53"/>
      <c r="L88" s="53"/>
      <c r="M88" s="53"/>
      <c r="N88" s="53"/>
      <c r="O88" s="53"/>
      <c r="P88" s="53"/>
      <c r="Q88" s="53"/>
      <c r="R88" s="53"/>
      <c r="S88" s="53"/>
      <c r="T88" s="53"/>
    </row>
    <row r="89" spans="1:20">
      <c r="A89" s="59" t="s">
        <v>328</v>
      </c>
      <c r="B89" s="59"/>
      <c r="C89" s="59"/>
      <c r="D89" s="53" t="e">
        <f>+VLOOKUP(A89&amp;A$69,REPORT_raw_dataseen!$A$1:$R$769, MATCH(Referrals_pub!D$5,REPORT_raw_dataseen!$D$1:$R$1,1)+3,FALSE)+VLOOKUP(A89&amp;A$69,REPORT_raw_dataseen!$A$1:$R$769, MATCH(Referrals_pub!D$5,REPORT_raw_dataseen!$D$1:$R$1,1)+2,FALSE)+VLOOKUP(A89&amp;A$69,REPORT_raw_dataseen!$A$1:$R$769, MATCH(Referrals_pub!D$5,REPORT_raw_dataseen!$D$1:$R$1,1)+1,FALSE)</f>
        <v>#VALUE!</v>
      </c>
      <c r="E89" s="53" t="e">
        <f>+VLOOKUP(A89&amp;A$69,REPORT_raw_dataseen!$A$1:$R$769, MATCH(Referrals_pub!E$5,REPORT_raw_dataseen!$D$1:$R$1,1)+3,FALSE)+VLOOKUP(A89&amp;A$69,REPORT_raw_dataseen!$A$1:$R$769, MATCH(Referrals_pub!E$5,REPORT_raw_dataseen!$D$1:$R$1,1)+2,FALSE)+VLOOKUP(A89&amp;A$69,REPORT_raw_dataseen!$A$1:$R$769, MATCH(Referrals_pub!E$5,REPORT_raw_dataseen!$D$1:$R$1,1)+1,FALSE)</f>
        <v>#VALUE!</v>
      </c>
      <c r="F89" s="53" t="e">
        <f>+VLOOKUP(A89&amp;A$69,REPORT_raw_dataseen!$A$1:$R$769, MATCH(Referrals_pub!F$5,REPORT_raw_dataseen!$D$1:$R$1,1)+3,FALSE)+VLOOKUP(A89&amp;A$69,REPORT_raw_dataseen!$A$1:$R$769, MATCH(Referrals_pub!F$5,REPORT_raw_dataseen!$D$1:$R$1,1)+2,FALSE)+VLOOKUP(A89&amp;A$69,REPORT_raw_dataseen!$A$1:$R$769, MATCH(Referrals_pub!F$5,REPORT_raw_dataseen!$D$1:$R$1,1)+1,FALSE)</f>
        <v>#VALUE!</v>
      </c>
      <c r="G89" s="53"/>
      <c r="H89" s="53"/>
      <c r="I89" s="53"/>
      <c r="J89" s="53"/>
      <c r="K89" s="53"/>
      <c r="L89" s="53"/>
      <c r="M89" s="53"/>
      <c r="N89" s="53"/>
      <c r="O89" s="53"/>
      <c r="P89" s="53"/>
      <c r="Q89" s="53"/>
      <c r="R89" s="53"/>
      <c r="S89" s="53"/>
      <c r="T89" s="53"/>
    </row>
    <row r="90" spans="1:20">
      <c r="F90" s="53"/>
    </row>
  </sheetData>
  <pageMargins left="0.70866141732283472" right="0.70866141732283472" top="0.74803149606299213" bottom="0.74803149606299213" header="0.31496062992125984" footer="0.31496062992125984"/>
  <pageSetup paperSize="9" scale="75" fitToHeight="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2:P89"/>
  <sheetViews>
    <sheetView workbookViewId="0">
      <selection activeCell="P6" sqref="P6"/>
    </sheetView>
  </sheetViews>
  <sheetFormatPr defaultRowHeight="15"/>
  <cols>
    <col min="1" max="1" width="27.85546875" customWidth="1"/>
    <col min="2" max="2" width="18.7109375" customWidth="1"/>
  </cols>
  <sheetData>
    <row r="2" spans="1:16">
      <c r="A2" t="s">
        <v>302</v>
      </c>
    </row>
    <row r="3" spans="1:16">
      <c r="A3" t="s">
        <v>175</v>
      </c>
      <c r="B3" t="s">
        <v>177</v>
      </c>
    </row>
    <row r="4" spans="1:16">
      <c r="A4" t="s">
        <v>301</v>
      </c>
    </row>
    <row r="5" spans="1:16">
      <c r="B5" s="3"/>
    </row>
    <row r="6" spans="1:16">
      <c r="A6" s="50"/>
      <c r="B6" s="51">
        <f>DATE(YEAR(C6),MONTH(C6)-1,DAY(C6))</f>
        <v>43922</v>
      </c>
      <c r="C6" s="51">
        <f>DATE(YEAR(D6),MONTH(D6)-1,DAY(D6))</f>
        <v>43952</v>
      </c>
      <c r="D6" s="51">
        <f>DATE(YEAR(E6),MONTH(E6)-1,DAY(E6))</f>
        <v>43983</v>
      </c>
      <c r="E6" s="51">
        <f t="shared" ref="E6:N6" si="0">DATE(YEAR(F6),MONTH(F6)-1,DAY(F6))</f>
        <v>44013</v>
      </c>
      <c r="F6" s="51">
        <f t="shared" si="0"/>
        <v>44044</v>
      </c>
      <c r="G6" s="51">
        <f t="shared" si="0"/>
        <v>44075</v>
      </c>
      <c r="H6" s="51">
        <f t="shared" si="0"/>
        <v>44105</v>
      </c>
      <c r="I6" s="51">
        <f t="shared" si="0"/>
        <v>44136</v>
      </c>
      <c r="J6" s="51">
        <f t="shared" si="0"/>
        <v>44166</v>
      </c>
      <c r="K6" s="51">
        <f t="shared" si="0"/>
        <v>44197</v>
      </c>
      <c r="L6" s="51">
        <f t="shared" si="0"/>
        <v>44228</v>
      </c>
      <c r="M6" s="51">
        <f t="shared" si="0"/>
        <v>44256</v>
      </c>
      <c r="N6" s="51">
        <f t="shared" si="0"/>
        <v>44287</v>
      </c>
      <c r="O6" s="51">
        <f>DATE(YEAR(P6),MONTH(P6)-1,DAY(P6))</f>
        <v>44317</v>
      </c>
      <c r="P6" s="10">
        <f>+Sheet1!A20</f>
        <v>44348</v>
      </c>
    </row>
    <row r="7" spans="1:16">
      <c r="A7" s="52" t="s">
        <v>28</v>
      </c>
      <c r="B7" s="53">
        <f>+VLOOKUP($A7&amp;$A$3&amp;$B$3,REPORT_raw_dataseen!$A$1:$P$721, MATCH(Referrals!B$6,REPORT_raw_dataseen!$D$1:$O$1,1)+3,FALSE)</f>
        <v>5809</v>
      </c>
      <c r="C7" s="53">
        <f>+VLOOKUP($A7&amp;$A$3&amp;$B$3,REPORT_raw_dataseen!$A$1:$P$721, MATCH(Referrals!C$6,REPORT_raw_dataseen!$D$1:$O$1,1)+3,FALSE)</f>
        <v>6834</v>
      </c>
      <c r="D7" s="53">
        <f>+VLOOKUP($A7&amp;$A$3&amp;$B$3,REPORT_raw_dataseen!$A$1:$P$721, MATCH(Referrals!D$6,REPORT_raw_dataseen!$D$1:$O$1,1)+3,FALSE)</f>
        <v>9272</v>
      </c>
      <c r="E7" s="53">
        <f>+VLOOKUP($A7&amp;$A$3&amp;$B$3,REPORT_raw_dataseen!$A$1:$P$721, MATCH(Referrals!E$6,REPORT_raw_dataseen!$D$1:$O$1,1)+3,FALSE)</f>
        <v>10443</v>
      </c>
      <c r="F7" s="53">
        <f>+VLOOKUP($A7&amp;$A$3&amp;$B$3,REPORT_raw_dataseen!$A$1:$P$721, MATCH(Referrals!F$6,REPORT_raw_dataseen!$D$1:$O$1,1)+3,FALSE)</f>
        <v>11382</v>
      </c>
      <c r="G7" s="53">
        <f>+VLOOKUP($A7&amp;$A$3&amp;$B$3,REPORT_raw_dataseen!$A$1:$P$721, MATCH(Referrals!G$6,REPORT_raw_dataseen!$D$1:$O$1,1)+3,FALSE)</f>
        <v>12569</v>
      </c>
      <c r="H7" s="53">
        <f>+VLOOKUP($A7&amp;$A$3&amp;$B$3,REPORT_raw_dataseen!$A$1:$P$721, MATCH(Referrals!H$6,REPORT_raw_dataseen!$D$1:$O$1,1)+3,FALSE)</f>
        <v>12877</v>
      </c>
      <c r="I7" s="53">
        <f>+VLOOKUP($A7&amp;$A$3&amp;$B$3,REPORT_raw_dataseen!$A$1:$P$721, MATCH(Referrals!I$6,REPORT_raw_dataseen!$D$1:$O$1,1)+3,FALSE)</f>
        <v>13619</v>
      </c>
      <c r="J7" s="53">
        <f>+VLOOKUP($A7&amp;$A$3&amp;$B$3,REPORT_raw_dataseen!$A$1:$P$721, MATCH(Referrals!J$6,REPORT_raw_dataseen!$D$1:$O$1,1)+3,FALSE)</f>
        <v>12377</v>
      </c>
      <c r="K7" s="53">
        <f>+VLOOKUP($A7&amp;$A$3&amp;$B$3,REPORT_raw_dataseen!$A$1:$P$721, MATCH(Referrals!K$6,REPORT_raw_dataseen!$D$1:$O$1,1)+3,FALSE)</f>
        <v>11634</v>
      </c>
      <c r="L7" s="53">
        <f>+VLOOKUP($A7&amp;$A$3&amp;$B$3,REPORT_raw_dataseen!$A$1:$P$721, MATCH(Referrals!L$6,REPORT_raw_dataseen!$D$1:$O$1,1)+3,FALSE)</f>
        <v>11323</v>
      </c>
      <c r="M7" s="53">
        <f>+VLOOKUP($A7&amp;$A$3&amp;$B$3,REPORT_raw_dataseen!$A$1:$S$721, MATCH(Referrals!M$6,REPORT_raw_dataseen!$D$1:$S$1,1)+3,FALSE)</f>
        <v>14582</v>
      </c>
      <c r="N7" s="53">
        <f>+VLOOKUP($A7&amp;$A$3&amp;$B$3,REPORT_raw_dataseen!$A$1:$S$721, MATCH(Referrals!N$6,REPORT_raw_dataseen!$D$1:$S$1,1)+3,FALSE)</f>
        <v>13339</v>
      </c>
      <c r="O7" s="53">
        <f>+VLOOKUP($A7&amp;$A$3&amp;$B$3,REPORT_raw_dataseen!$A$1:$S$721, MATCH(Referrals!O$6,REPORT_raw_dataseen!$D$1:$S$1,1)+3,FALSE)</f>
        <v>13815</v>
      </c>
      <c r="P7" s="53">
        <f>+VLOOKUP($A7&amp;$A$3&amp;$B$3,REPORT_raw_dataseen!$A$1:$S$721, MATCH(Referrals!P$6,REPORT_raw_dataseen!$D$1:$S$1,1)+3,FALSE)</f>
        <v>14796</v>
      </c>
    </row>
    <row r="8" spans="1:16">
      <c r="A8" s="50" t="s">
        <v>136</v>
      </c>
      <c r="B8" s="53">
        <f>+VLOOKUP($A8&amp;$A$3&amp;$B$3,REPORT_raw_dataseen!$A$1:$P$721, MATCH(Referrals!B$6,REPORT_raw_dataseen!$D$1:$O$1,1)+3,FALSE)</f>
        <v>111</v>
      </c>
      <c r="C8" s="53">
        <f>+VLOOKUP($A8&amp;$A$3&amp;$B$3,REPORT_raw_dataseen!$A$1:$P$721, MATCH(Referrals!C$6,REPORT_raw_dataseen!$D$1:$O$1,1)+3,FALSE)</f>
        <v>217</v>
      </c>
      <c r="D8" s="53">
        <f>+VLOOKUP($A8&amp;$A$3&amp;$B$3,REPORT_raw_dataseen!$A$1:$P$721, MATCH(Referrals!D$6,REPORT_raw_dataseen!$D$1:$O$1,1)+3,FALSE)</f>
        <v>267</v>
      </c>
      <c r="E8" s="53">
        <f>+VLOOKUP($A8&amp;$A$3&amp;$B$3,REPORT_raw_dataseen!$A$1:$P$721, MATCH(Referrals!E$6,REPORT_raw_dataseen!$D$1:$O$1,1)+3,FALSE)</f>
        <v>312</v>
      </c>
      <c r="F8" s="53">
        <f>+VLOOKUP($A8&amp;$A$3&amp;$B$3,REPORT_raw_dataseen!$A$1:$P$721, MATCH(Referrals!F$6,REPORT_raw_dataseen!$D$1:$O$1,1)+3,FALSE)</f>
        <v>376</v>
      </c>
      <c r="G8" s="53">
        <f>+VLOOKUP($A8&amp;$A$3&amp;$B$3,REPORT_raw_dataseen!$A$1:$P$721, MATCH(Referrals!G$6,REPORT_raw_dataseen!$D$1:$O$1,1)+3,FALSE)</f>
        <v>413</v>
      </c>
      <c r="H8" s="53">
        <f>+VLOOKUP($A8&amp;$A$3&amp;$B$3,REPORT_raw_dataseen!$A$1:$P$721, MATCH(Referrals!H$6,REPORT_raw_dataseen!$D$1:$O$1,1)+3,FALSE)</f>
        <v>370</v>
      </c>
      <c r="I8" s="53">
        <f>+VLOOKUP($A8&amp;$A$3&amp;$B$3,REPORT_raw_dataseen!$A$1:$P$721, MATCH(Referrals!I$6,REPORT_raw_dataseen!$D$1:$O$1,1)+3,FALSE)</f>
        <v>402</v>
      </c>
      <c r="J8" s="53">
        <f>+VLOOKUP($A8&amp;$A$3&amp;$B$3,REPORT_raw_dataseen!$A$1:$P$721, MATCH(Referrals!J$6,REPORT_raw_dataseen!$D$1:$O$1,1)+3,FALSE)</f>
        <v>399</v>
      </c>
      <c r="K8" s="53">
        <f>+VLOOKUP($A8&amp;$A$3&amp;$B$3,REPORT_raw_dataseen!$A$1:$P$721, MATCH(Referrals!K$6,REPORT_raw_dataseen!$D$1:$O$1,1)+3,FALSE)</f>
        <v>390</v>
      </c>
      <c r="L8" s="53">
        <f>+VLOOKUP($A8&amp;$A$3&amp;$B$3,REPORT_raw_dataseen!$A$1:$P$721, MATCH(Referrals!L$6,REPORT_raw_dataseen!$D$1:$O$1,1)+3,FALSE)</f>
        <v>434</v>
      </c>
      <c r="M8" s="53">
        <f>+VLOOKUP($A8&amp;$A$3&amp;$B$3,REPORT_raw_dataseen!$A$1:$S$721, MATCH(Referrals!M$6,REPORT_raw_dataseen!$D$1:$S$1,1)+3,FALSE)</f>
        <v>486</v>
      </c>
      <c r="N8" s="53">
        <f>+VLOOKUP($A8&amp;$A$3&amp;$B$3,REPORT_raw_dataseen!$A$1:$S$721, MATCH(Referrals!N$6,REPORT_raw_dataseen!$D$1:$S$1,1)+3,FALSE)</f>
        <v>355</v>
      </c>
      <c r="O8" s="53">
        <f>+VLOOKUP($A8&amp;$A$3&amp;$B$3,REPORT_raw_dataseen!$A$1:$S$721, MATCH(Referrals!O$6,REPORT_raw_dataseen!$D$1:$S$1,1)+3,FALSE)</f>
        <v>425</v>
      </c>
      <c r="P8" s="53">
        <f>+VLOOKUP($A8&amp;$A$3&amp;$B$3,REPORT_raw_dataseen!$A$1:$S$721, MATCH(Referrals!P$6,REPORT_raw_dataseen!$D$1:$S$1,1)+3,FALSE)</f>
        <v>469</v>
      </c>
    </row>
    <row r="9" spans="1:16">
      <c r="A9" s="50" t="s">
        <v>137</v>
      </c>
      <c r="B9" s="53">
        <f>+VLOOKUP($A9&amp;$A$3&amp;$B$3,REPORT_raw_dataseen!$A$1:$P$721, MATCH(Referrals!B$6,REPORT_raw_dataseen!$D$1:$O$1,1)+3,FALSE)</f>
        <v>58</v>
      </c>
      <c r="C9" s="53">
        <f>+VLOOKUP($A9&amp;$A$3&amp;$B$3,REPORT_raw_dataseen!$A$1:$P$721, MATCH(Referrals!C$6,REPORT_raw_dataseen!$D$1:$O$1,1)+3,FALSE)</f>
        <v>39</v>
      </c>
      <c r="D9" s="53">
        <f>+VLOOKUP($A9&amp;$A$3&amp;$B$3,REPORT_raw_dataseen!$A$1:$P$721, MATCH(Referrals!D$6,REPORT_raw_dataseen!$D$1:$O$1,1)+3,FALSE)</f>
        <v>43</v>
      </c>
      <c r="E9" s="53">
        <f>+VLOOKUP($A9&amp;$A$3&amp;$B$3,REPORT_raw_dataseen!$A$1:$P$721, MATCH(Referrals!E$6,REPORT_raw_dataseen!$D$1:$O$1,1)+3,FALSE)</f>
        <v>65</v>
      </c>
      <c r="F9" s="53">
        <f>+VLOOKUP($A9&amp;$A$3&amp;$B$3,REPORT_raw_dataseen!$A$1:$P$721, MATCH(Referrals!F$6,REPORT_raw_dataseen!$D$1:$O$1,1)+3,FALSE)</f>
        <v>57</v>
      </c>
      <c r="G9" s="53">
        <f>+VLOOKUP($A9&amp;$A$3&amp;$B$3,REPORT_raw_dataseen!$A$1:$P$721, MATCH(Referrals!G$6,REPORT_raw_dataseen!$D$1:$O$1,1)+3,FALSE)</f>
        <v>84</v>
      </c>
      <c r="H9" s="53">
        <f>+VLOOKUP($A9&amp;$A$3&amp;$B$3,REPORT_raw_dataseen!$A$1:$P$721, MATCH(Referrals!H$6,REPORT_raw_dataseen!$D$1:$O$1,1)+3,FALSE)</f>
        <v>77</v>
      </c>
      <c r="I9" s="53">
        <f>+VLOOKUP($A9&amp;$A$3&amp;$B$3,REPORT_raw_dataseen!$A$1:$P$721, MATCH(Referrals!I$6,REPORT_raw_dataseen!$D$1:$O$1,1)+3,FALSE)</f>
        <v>248</v>
      </c>
      <c r="J9" s="53">
        <f>+VLOOKUP($A9&amp;$A$3&amp;$B$3,REPORT_raw_dataseen!$A$1:$P$721, MATCH(Referrals!J$6,REPORT_raw_dataseen!$D$1:$O$1,1)+3,FALSE)</f>
        <v>240</v>
      </c>
      <c r="K9" s="53">
        <f>+VLOOKUP($A9&amp;$A$3&amp;$B$3,REPORT_raw_dataseen!$A$1:$P$721, MATCH(Referrals!K$6,REPORT_raw_dataseen!$D$1:$O$1,1)+3,FALSE)</f>
        <v>163</v>
      </c>
      <c r="L9" s="53">
        <f>+VLOOKUP($A9&amp;$A$3&amp;$B$3,REPORT_raw_dataseen!$A$1:$P$721, MATCH(Referrals!L$6,REPORT_raw_dataseen!$D$1:$O$1,1)+3,FALSE)</f>
        <v>211</v>
      </c>
      <c r="M9" s="53">
        <f>+VLOOKUP($A9&amp;$A$3&amp;$B$3,REPORT_raw_dataseen!$A$1:$S$721, MATCH(Referrals!M$6,REPORT_raw_dataseen!$D$1:$S$1,1)+3,FALSE)</f>
        <v>239</v>
      </c>
      <c r="N9" s="53">
        <f>+VLOOKUP($A9&amp;$A$3&amp;$B$3,REPORT_raw_dataseen!$A$1:$S$721, MATCH(Referrals!N$6,REPORT_raw_dataseen!$D$1:$S$1,1)+3,FALSE)</f>
        <v>463</v>
      </c>
      <c r="O9" s="53">
        <f>+VLOOKUP($A9&amp;$A$3&amp;$B$3,REPORT_raw_dataseen!$A$1:$S$721, MATCH(Referrals!O$6,REPORT_raw_dataseen!$D$1:$S$1,1)+3,FALSE)</f>
        <v>463</v>
      </c>
      <c r="P9" s="53">
        <f>+VLOOKUP($A9&amp;$A$3&amp;$B$3,REPORT_raw_dataseen!$A$1:$S$721, MATCH(Referrals!P$6,REPORT_raw_dataseen!$D$1:$S$1,1)+3,FALSE)</f>
        <v>466</v>
      </c>
    </row>
    <row r="10" spans="1:16">
      <c r="A10" s="50" t="s">
        <v>160</v>
      </c>
      <c r="B10" s="53">
        <f>+VLOOKUP($A10&amp;$A$3&amp;$B$3,REPORT_raw_dataseen!$A$1:$P$721, MATCH(Referrals!B$6,REPORT_raw_dataseen!$D$1:$O$1,1)+3,FALSE)</f>
        <v>51</v>
      </c>
      <c r="C10" s="53">
        <f>+VLOOKUP($A10&amp;$A$3&amp;$B$3,REPORT_raw_dataseen!$A$1:$P$721, MATCH(Referrals!C$6,REPORT_raw_dataseen!$D$1:$O$1,1)+3,FALSE)</f>
        <v>25</v>
      </c>
      <c r="D10" s="53">
        <f>+VLOOKUP($A10&amp;$A$3&amp;$B$3,REPORT_raw_dataseen!$A$1:$P$721, MATCH(Referrals!D$6,REPORT_raw_dataseen!$D$1:$O$1,1)+3,FALSE)</f>
        <v>46</v>
      </c>
      <c r="E10" s="53">
        <f>+VLOOKUP($A10&amp;$A$3&amp;$B$3,REPORT_raw_dataseen!$A$1:$P$721, MATCH(Referrals!E$6,REPORT_raw_dataseen!$D$1:$O$1,1)+3,FALSE)</f>
        <v>104</v>
      </c>
      <c r="F10" s="53">
        <f>+VLOOKUP($A10&amp;$A$3&amp;$B$3,REPORT_raw_dataseen!$A$1:$P$721, MATCH(Referrals!F$6,REPORT_raw_dataseen!$D$1:$O$1,1)+3,FALSE)</f>
        <v>116</v>
      </c>
      <c r="G10" s="53">
        <f>+VLOOKUP($A10&amp;$A$3&amp;$B$3,REPORT_raw_dataseen!$A$1:$P$721, MATCH(Referrals!G$6,REPORT_raw_dataseen!$D$1:$O$1,1)+3,FALSE)</f>
        <v>248</v>
      </c>
      <c r="H10" s="53">
        <f>+VLOOKUP($A10&amp;$A$3&amp;$B$3,REPORT_raw_dataseen!$A$1:$P$721, MATCH(Referrals!H$6,REPORT_raw_dataseen!$D$1:$O$1,1)+3,FALSE)</f>
        <v>252</v>
      </c>
      <c r="I10" s="53">
        <f>+VLOOKUP($A10&amp;$A$3&amp;$B$3,REPORT_raw_dataseen!$A$1:$P$721, MATCH(Referrals!I$6,REPORT_raw_dataseen!$D$1:$O$1,1)+3,FALSE)</f>
        <v>278</v>
      </c>
      <c r="J10" s="53">
        <f>+VLOOKUP($A10&amp;$A$3&amp;$B$3,REPORT_raw_dataseen!$A$1:$P$721, MATCH(Referrals!J$6,REPORT_raw_dataseen!$D$1:$O$1,1)+3,FALSE)</f>
        <v>278</v>
      </c>
      <c r="K10" s="53">
        <f>+VLOOKUP($A10&amp;$A$3&amp;$B$3,REPORT_raw_dataseen!$A$1:$P$721, MATCH(Referrals!K$6,REPORT_raw_dataseen!$D$1:$O$1,1)+3,FALSE)</f>
        <v>253</v>
      </c>
      <c r="L10" s="53">
        <f>+VLOOKUP($A10&amp;$A$3&amp;$B$3,REPORT_raw_dataseen!$A$1:$P$721, MATCH(Referrals!L$6,REPORT_raw_dataseen!$D$1:$O$1,1)+3,FALSE)</f>
        <v>219</v>
      </c>
      <c r="M10" s="53">
        <f>+VLOOKUP($A10&amp;$A$3&amp;$B$3,REPORT_raw_dataseen!$A$1:$S$721, MATCH(Referrals!M$6,REPORT_raw_dataseen!$D$1:$S$1,1)+3,FALSE)</f>
        <v>281</v>
      </c>
      <c r="N10" s="53">
        <f>+VLOOKUP($A10&amp;$A$3&amp;$B$3,REPORT_raw_dataseen!$A$1:$S$721, MATCH(Referrals!N$6,REPORT_raw_dataseen!$D$1:$S$1,1)+3,FALSE)</f>
        <v>340</v>
      </c>
      <c r="O10" s="53">
        <f>+VLOOKUP($A10&amp;$A$3&amp;$B$3,REPORT_raw_dataseen!$A$1:$S$721, MATCH(Referrals!O$6,REPORT_raw_dataseen!$D$1:$S$1,1)+3,FALSE)</f>
        <v>282</v>
      </c>
      <c r="P10" s="53">
        <f>+VLOOKUP($A10&amp;$A$3&amp;$B$3,REPORT_raw_dataseen!$A$1:$S$721, MATCH(Referrals!P$6,REPORT_raw_dataseen!$D$1:$S$1,1)+3,FALSE)</f>
        <v>370</v>
      </c>
    </row>
    <row r="11" spans="1:16">
      <c r="A11" s="50" t="s">
        <v>138</v>
      </c>
      <c r="B11" s="53">
        <f>+VLOOKUP($A11&amp;$A$3&amp;$B$3,REPORT_raw_dataseen!$A$1:$P$721, MATCH(Referrals!B$6,REPORT_raw_dataseen!$D$1:$O$1,1)+3,FALSE)</f>
        <v>174</v>
      </c>
      <c r="C11" s="53">
        <f>+VLOOKUP($A11&amp;$A$3&amp;$B$3,REPORT_raw_dataseen!$A$1:$P$721, MATCH(Referrals!C$6,REPORT_raw_dataseen!$D$1:$O$1,1)+3,FALSE)</f>
        <v>213</v>
      </c>
      <c r="D11" s="53">
        <f>+VLOOKUP($A11&amp;$A$3&amp;$B$3,REPORT_raw_dataseen!$A$1:$P$721, MATCH(Referrals!D$6,REPORT_raw_dataseen!$D$1:$O$1,1)+3,FALSE)</f>
        <v>336</v>
      </c>
      <c r="E11" s="53">
        <f>+VLOOKUP($A11&amp;$A$3&amp;$B$3,REPORT_raw_dataseen!$A$1:$P$721, MATCH(Referrals!E$6,REPORT_raw_dataseen!$D$1:$O$1,1)+3,FALSE)</f>
        <v>455</v>
      </c>
      <c r="F11" s="53">
        <f>+VLOOKUP($A11&amp;$A$3&amp;$B$3,REPORT_raw_dataseen!$A$1:$P$721, MATCH(Referrals!F$6,REPORT_raw_dataseen!$D$1:$O$1,1)+3,FALSE)</f>
        <v>804</v>
      </c>
      <c r="G11" s="53">
        <f>+VLOOKUP($A11&amp;$A$3&amp;$B$3,REPORT_raw_dataseen!$A$1:$P$721, MATCH(Referrals!G$6,REPORT_raw_dataseen!$D$1:$O$1,1)+3,FALSE)</f>
        <v>828</v>
      </c>
      <c r="H11" s="53">
        <f>+VLOOKUP($A11&amp;$A$3&amp;$B$3,REPORT_raw_dataseen!$A$1:$P$721, MATCH(Referrals!H$6,REPORT_raw_dataseen!$D$1:$O$1,1)+3,FALSE)</f>
        <v>889</v>
      </c>
      <c r="I11" s="53">
        <f>+VLOOKUP($A11&amp;$A$3&amp;$B$3,REPORT_raw_dataseen!$A$1:$P$721, MATCH(Referrals!I$6,REPORT_raw_dataseen!$D$1:$O$1,1)+3,FALSE)</f>
        <v>961</v>
      </c>
      <c r="J11" s="53">
        <f>+VLOOKUP($A11&amp;$A$3&amp;$B$3,REPORT_raw_dataseen!$A$1:$P$721, MATCH(Referrals!J$6,REPORT_raw_dataseen!$D$1:$O$1,1)+3,FALSE)</f>
        <v>772</v>
      </c>
      <c r="K11" s="53">
        <f>+VLOOKUP($A11&amp;$A$3&amp;$B$3,REPORT_raw_dataseen!$A$1:$P$721, MATCH(Referrals!K$6,REPORT_raw_dataseen!$D$1:$O$1,1)+3,FALSE)</f>
        <v>635</v>
      </c>
      <c r="L11" s="53">
        <f>+VLOOKUP($A11&amp;$A$3&amp;$B$3,REPORT_raw_dataseen!$A$1:$P$721, MATCH(Referrals!L$6,REPORT_raw_dataseen!$D$1:$O$1,1)+3,FALSE)</f>
        <v>742</v>
      </c>
      <c r="M11" s="53">
        <f>+VLOOKUP($A11&amp;$A$3&amp;$B$3,REPORT_raw_dataseen!$A$1:$S$721, MATCH(Referrals!M$6,REPORT_raw_dataseen!$D$1:$S$1,1)+3,FALSE)</f>
        <v>995</v>
      </c>
      <c r="N11" s="53">
        <f>+VLOOKUP($A11&amp;$A$3&amp;$B$3,REPORT_raw_dataseen!$A$1:$S$721, MATCH(Referrals!N$6,REPORT_raw_dataseen!$D$1:$S$1,1)+3,FALSE)</f>
        <v>939</v>
      </c>
      <c r="O11" s="53">
        <f>+VLOOKUP($A11&amp;$A$3&amp;$B$3,REPORT_raw_dataseen!$A$1:$S$721, MATCH(Referrals!O$6,REPORT_raw_dataseen!$D$1:$S$1,1)+3,FALSE)</f>
        <v>979</v>
      </c>
      <c r="P11" s="53">
        <f>+VLOOKUP($A11&amp;$A$3&amp;$B$3,REPORT_raw_dataseen!$A$1:$S$721, MATCH(Referrals!P$6,REPORT_raw_dataseen!$D$1:$S$1,1)+3,FALSE)</f>
        <v>1046</v>
      </c>
    </row>
    <row r="12" spans="1:16">
      <c r="A12" s="50" t="s">
        <v>139</v>
      </c>
      <c r="B12" s="53">
        <f>+VLOOKUP($A12&amp;$A$3&amp;$B$3,REPORT_raw_dataseen!$A$1:$P$721, MATCH(Referrals!B$6,REPORT_raw_dataseen!$D$1:$O$1,1)+3,FALSE)</f>
        <v>196</v>
      </c>
      <c r="C12" s="53">
        <f>+VLOOKUP($A12&amp;$A$3&amp;$B$3,REPORT_raw_dataseen!$A$1:$P$721, MATCH(Referrals!C$6,REPORT_raw_dataseen!$D$1:$O$1,1)+3,FALSE)</f>
        <v>256</v>
      </c>
      <c r="D12" s="53">
        <f>+VLOOKUP($A12&amp;$A$3&amp;$B$3,REPORT_raw_dataseen!$A$1:$P$721, MATCH(Referrals!D$6,REPORT_raw_dataseen!$D$1:$O$1,1)+3,FALSE)</f>
        <v>349</v>
      </c>
      <c r="E12" s="53">
        <f>+VLOOKUP($A12&amp;$A$3&amp;$B$3,REPORT_raw_dataseen!$A$1:$P$721, MATCH(Referrals!E$6,REPORT_raw_dataseen!$D$1:$O$1,1)+3,FALSE)</f>
        <v>371</v>
      </c>
      <c r="F12" s="53">
        <f>+VLOOKUP($A12&amp;$A$3&amp;$B$3,REPORT_raw_dataseen!$A$1:$P$721, MATCH(Referrals!F$6,REPORT_raw_dataseen!$D$1:$O$1,1)+3,FALSE)</f>
        <v>482</v>
      </c>
      <c r="G12" s="53">
        <f>+VLOOKUP($A12&amp;$A$3&amp;$B$3,REPORT_raw_dataseen!$A$1:$P$721, MATCH(Referrals!G$6,REPORT_raw_dataseen!$D$1:$O$1,1)+3,FALSE)</f>
        <v>479</v>
      </c>
      <c r="H12" s="53">
        <f>+VLOOKUP($A12&amp;$A$3&amp;$B$3,REPORT_raw_dataseen!$A$1:$P$721, MATCH(Referrals!H$6,REPORT_raw_dataseen!$D$1:$O$1,1)+3,FALSE)</f>
        <v>647</v>
      </c>
      <c r="I12" s="53">
        <f>+VLOOKUP($A12&amp;$A$3&amp;$B$3,REPORT_raw_dataseen!$A$1:$P$721, MATCH(Referrals!I$6,REPORT_raw_dataseen!$D$1:$O$1,1)+3,FALSE)</f>
        <v>632</v>
      </c>
      <c r="J12" s="53">
        <f>+VLOOKUP($A12&amp;$A$3&amp;$B$3,REPORT_raw_dataseen!$A$1:$P$721, MATCH(Referrals!J$6,REPORT_raw_dataseen!$D$1:$O$1,1)+3,FALSE)</f>
        <v>491</v>
      </c>
      <c r="K12" s="53">
        <f>+VLOOKUP($A12&amp;$A$3&amp;$B$3,REPORT_raw_dataseen!$A$1:$P$721, MATCH(Referrals!K$6,REPORT_raw_dataseen!$D$1:$O$1,1)+3,FALSE)</f>
        <v>501</v>
      </c>
      <c r="L12" s="53">
        <f>+VLOOKUP($A12&amp;$A$3&amp;$B$3,REPORT_raw_dataseen!$A$1:$P$721, MATCH(Referrals!L$6,REPORT_raw_dataseen!$D$1:$O$1,1)+3,FALSE)</f>
        <v>394</v>
      </c>
      <c r="M12" s="53">
        <f>+VLOOKUP($A12&amp;$A$3&amp;$B$3,REPORT_raw_dataseen!$A$1:$S$721, MATCH(Referrals!M$6,REPORT_raw_dataseen!$D$1:$S$1,1)+3,FALSE)</f>
        <v>477</v>
      </c>
      <c r="N12" s="53">
        <f>+VLOOKUP($A12&amp;$A$3&amp;$B$3,REPORT_raw_dataseen!$A$1:$S$721, MATCH(Referrals!N$6,REPORT_raw_dataseen!$D$1:$S$1,1)+3,FALSE)</f>
        <v>409</v>
      </c>
      <c r="O12" s="53">
        <f>+VLOOKUP($A12&amp;$A$3&amp;$B$3,REPORT_raw_dataseen!$A$1:$S$721, MATCH(Referrals!O$6,REPORT_raw_dataseen!$D$1:$S$1,1)+3,FALSE)</f>
        <v>409</v>
      </c>
      <c r="P12" s="53">
        <f>+VLOOKUP($A12&amp;$A$3&amp;$B$3,REPORT_raw_dataseen!$A$1:$S$721, MATCH(Referrals!P$6,REPORT_raw_dataseen!$D$1:$S$1,1)+3,FALSE)</f>
        <v>453</v>
      </c>
    </row>
    <row r="13" spans="1:16">
      <c r="A13" s="50" t="s">
        <v>140</v>
      </c>
      <c r="B13" s="53">
        <f>+VLOOKUP($A13&amp;$A$3&amp;$B$3,REPORT_raw_dataseen!$A$1:$P$721, MATCH(Referrals!B$6,REPORT_raw_dataseen!$D$1:$O$1,1)+3,FALSE)</f>
        <v>158</v>
      </c>
      <c r="C13" s="53">
        <f>+VLOOKUP($A13&amp;$A$3&amp;$B$3,REPORT_raw_dataseen!$A$1:$P$721, MATCH(Referrals!C$6,REPORT_raw_dataseen!$D$1:$O$1,1)+3,FALSE)</f>
        <v>325</v>
      </c>
      <c r="D13" s="53">
        <f>+VLOOKUP($A13&amp;$A$3&amp;$B$3,REPORT_raw_dataseen!$A$1:$P$721, MATCH(Referrals!D$6,REPORT_raw_dataseen!$D$1:$O$1,1)+3,FALSE)</f>
        <v>457</v>
      </c>
      <c r="E13" s="53">
        <f>+VLOOKUP($A13&amp;$A$3&amp;$B$3,REPORT_raw_dataseen!$A$1:$P$721, MATCH(Referrals!E$6,REPORT_raw_dataseen!$D$1:$O$1,1)+3,FALSE)</f>
        <v>488</v>
      </c>
      <c r="F13" s="53">
        <f>+VLOOKUP($A13&amp;$A$3&amp;$B$3,REPORT_raw_dataseen!$A$1:$P$721, MATCH(Referrals!F$6,REPORT_raw_dataseen!$D$1:$O$1,1)+3,FALSE)</f>
        <v>494</v>
      </c>
      <c r="G13" s="53">
        <f>+VLOOKUP($A13&amp;$A$3&amp;$B$3,REPORT_raw_dataseen!$A$1:$P$721, MATCH(Referrals!G$6,REPORT_raw_dataseen!$D$1:$O$1,1)+3,FALSE)</f>
        <v>588</v>
      </c>
      <c r="H13" s="53">
        <f>+VLOOKUP($A13&amp;$A$3&amp;$B$3,REPORT_raw_dataseen!$A$1:$P$721, MATCH(Referrals!H$6,REPORT_raw_dataseen!$D$1:$O$1,1)+3,FALSE)</f>
        <v>576</v>
      </c>
      <c r="I13" s="53">
        <f>+VLOOKUP($A13&amp;$A$3&amp;$B$3,REPORT_raw_dataseen!$A$1:$P$721, MATCH(Referrals!I$6,REPORT_raw_dataseen!$D$1:$O$1,1)+3,FALSE)</f>
        <v>744</v>
      </c>
      <c r="J13" s="53">
        <f>+VLOOKUP($A13&amp;$A$3&amp;$B$3,REPORT_raw_dataseen!$A$1:$P$721, MATCH(Referrals!J$6,REPORT_raw_dataseen!$D$1:$O$1,1)+3,FALSE)</f>
        <v>697</v>
      </c>
      <c r="K13" s="53">
        <f>+VLOOKUP($A13&amp;$A$3&amp;$B$3,REPORT_raw_dataseen!$A$1:$P$721, MATCH(Referrals!K$6,REPORT_raw_dataseen!$D$1:$O$1,1)+3,FALSE)</f>
        <v>535</v>
      </c>
      <c r="L13" s="53">
        <f>+VLOOKUP($A13&amp;$A$3&amp;$B$3,REPORT_raw_dataseen!$A$1:$P$721, MATCH(Referrals!L$6,REPORT_raw_dataseen!$D$1:$O$1,1)+3,FALSE)</f>
        <v>631</v>
      </c>
      <c r="M13" s="53">
        <f>+VLOOKUP($A13&amp;$A$3&amp;$B$3,REPORT_raw_dataseen!$A$1:$S$721, MATCH(Referrals!M$6,REPORT_raw_dataseen!$D$1:$S$1,1)+3,FALSE)</f>
        <v>848</v>
      </c>
      <c r="N13" s="53">
        <f>+VLOOKUP($A13&amp;$A$3&amp;$B$3,REPORT_raw_dataseen!$A$1:$S$721, MATCH(Referrals!N$6,REPORT_raw_dataseen!$D$1:$S$1,1)+3,FALSE)</f>
        <v>768</v>
      </c>
      <c r="O13" s="53">
        <f>+VLOOKUP($A13&amp;$A$3&amp;$B$3,REPORT_raw_dataseen!$A$1:$S$721, MATCH(Referrals!O$6,REPORT_raw_dataseen!$D$1:$S$1,1)+3,FALSE)</f>
        <v>935</v>
      </c>
      <c r="P13" s="53">
        <f>+VLOOKUP($A13&amp;$A$3&amp;$B$3,REPORT_raw_dataseen!$A$1:$S$721, MATCH(Referrals!P$6,REPORT_raw_dataseen!$D$1:$S$1,1)+3,FALSE)</f>
        <v>946</v>
      </c>
    </row>
    <row r="14" spans="1:16">
      <c r="A14" s="50" t="s">
        <v>141</v>
      </c>
      <c r="B14" s="53">
        <f>+VLOOKUP($A14&amp;$A$3&amp;$B$3,REPORT_raw_dataseen!$A$1:$P$721, MATCH(Referrals!B$6,REPORT_raw_dataseen!$D$1:$O$1,1)+3,FALSE)</f>
        <v>2464</v>
      </c>
      <c r="C14" s="53">
        <f>+VLOOKUP($A14&amp;$A$3&amp;$B$3,REPORT_raw_dataseen!$A$1:$P$721, MATCH(Referrals!C$6,REPORT_raw_dataseen!$D$1:$O$1,1)+3,FALSE)</f>
        <v>3460</v>
      </c>
      <c r="D14" s="53">
        <f>+VLOOKUP($A14&amp;$A$3&amp;$B$3,REPORT_raw_dataseen!$A$1:$P$721, MATCH(Referrals!D$6,REPORT_raw_dataseen!$D$1:$O$1,1)+3,FALSE)</f>
        <v>4717</v>
      </c>
      <c r="E14" s="53">
        <f>+VLOOKUP($A14&amp;$A$3&amp;$B$3,REPORT_raw_dataseen!$A$1:$P$721, MATCH(Referrals!E$6,REPORT_raw_dataseen!$D$1:$O$1,1)+3,FALSE)</f>
        <v>5331</v>
      </c>
      <c r="F14" s="53">
        <f>+VLOOKUP($A14&amp;$A$3&amp;$B$3,REPORT_raw_dataseen!$A$1:$P$721, MATCH(Referrals!F$6,REPORT_raw_dataseen!$D$1:$O$1,1)+3,FALSE)</f>
        <v>5623</v>
      </c>
      <c r="G14" s="53">
        <f>+VLOOKUP($A14&amp;$A$3&amp;$B$3,REPORT_raw_dataseen!$A$1:$P$721, MATCH(Referrals!G$6,REPORT_raw_dataseen!$D$1:$O$1,1)+3,FALSE)</f>
        <v>6142</v>
      </c>
      <c r="H14" s="53">
        <f>+VLOOKUP($A14&amp;$A$3&amp;$B$3,REPORT_raw_dataseen!$A$1:$P$721, MATCH(Referrals!H$6,REPORT_raw_dataseen!$D$1:$O$1,1)+3,FALSE)</f>
        <v>6272</v>
      </c>
      <c r="I14" s="53">
        <f>+VLOOKUP($A14&amp;$A$3&amp;$B$3,REPORT_raw_dataseen!$A$1:$P$721, MATCH(Referrals!I$6,REPORT_raw_dataseen!$D$1:$O$1,1)+3,FALSE)</f>
        <v>6205</v>
      </c>
      <c r="J14" s="53">
        <f>+VLOOKUP($A14&amp;$A$3&amp;$B$3,REPORT_raw_dataseen!$A$1:$P$721, MATCH(Referrals!J$6,REPORT_raw_dataseen!$D$1:$O$1,1)+3,FALSE)</f>
        <v>5974</v>
      </c>
      <c r="K14" s="53">
        <f>+VLOOKUP($A14&amp;$A$3&amp;$B$3,REPORT_raw_dataseen!$A$1:$P$721, MATCH(Referrals!K$6,REPORT_raw_dataseen!$D$1:$O$1,1)+3,FALSE)</f>
        <v>5777</v>
      </c>
      <c r="L14" s="53">
        <f>+VLOOKUP($A14&amp;$A$3&amp;$B$3,REPORT_raw_dataseen!$A$1:$P$721, MATCH(Referrals!L$6,REPORT_raw_dataseen!$D$1:$O$1,1)+3,FALSE)</f>
        <v>5224</v>
      </c>
      <c r="M14" s="53">
        <f>+VLOOKUP($A14&amp;$A$3&amp;$B$3,REPORT_raw_dataseen!$A$1:$S$721, MATCH(Referrals!M$6,REPORT_raw_dataseen!$D$1:$S$1,1)+3,FALSE)</f>
        <v>6777</v>
      </c>
      <c r="N14" s="53">
        <f>+VLOOKUP($A14&amp;$A$3&amp;$B$3,REPORT_raw_dataseen!$A$1:$S$721, MATCH(Referrals!N$6,REPORT_raw_dataseen!$D$1:$S$1,1)+3,FALSE)</f>
        <v>5917</v>
      </c>
      <c r="O14" s="53">
        <f>+VLOOKUP($A14&amp;$A$3&amp;$B$3,REPORT_raw_dataseen!$A$1:$S$721, MATCH(Referrals!O$6,REPORT_raw_dataseen!$D$1:$S$1,1)+3,FALSE)</f>
        <v>6187</v>
      </c>
      <c r="P14" s="53">
        <f>+VLOOKUP($A14&amp;$A$3&amp;$B$3,REPORT_raw_dataseen!$A$1:$S$721, MATCH(Referrals!P$6,REPORT_raw_dataseen!$D$1:$S$1,1)+3,FALSE)</f>
        <v>6556</v>
      </c>
    </row>
    <row r="15" spans="1:16">
      <c r="A15" s="50" t="s">
        <v>142</v>
      </c>
      <c r="B15" s="53">
        <f>+VLOOKUP($A15&amp;$A$3&amp;$B$3,REPORT_raw_dataseen!$A$1:$P$721, MATCH(Referrals!B$6,REPORT_raw_dataseen!$D$1:$O$1,1)+3,FALSE)</f>
        <v>169</v>
      </c>
      <c r="C15" s="53">
        <f>+VLOOKUP($A15&amp;$A$3&amp;$B$3,REPORT_raw_dataseen!$A$1:$P$721, MATCH(Referrals!C$6,REPORT_raw_dataseen!$D$1:$O$1,1)+3,FALSE)</f>
        <v>145</v>
      </c>
      <c r="D15" s="53">
        <f>+VLOOKUP($A15&amp;$A$3&amp;$B$3,REPORT_raw_dataseen!$A$1:$P$721, MATCH(Referrals!D$6,REPORT_raw_dataseen!$D$1:$O$1,1)+3,FALSE)</f>
        <v>275</v>
      </c>
      <c r="E15" s="53">
        <f>+VLOOKUP($A15&amp;$A$3&amp;$B$3,REPORT_raw_dataseen!$A$1:$P$721, MATCH(Referrals!E$6,REPORT_raw_dataseen!$D$1:$O$1,1)+3,FALSE)</f>
        <v>298</v>
      </c>
      <c r="F15" s="53">
        <f>+VLOOKUP($A15&amp;$A$3&amp;$B$3,REPORT_raw_dataseen!$A$1:$P$721, MATCH(Referrals!F$6,REPORT_raw_dataseen!$D$1:$O$1,1)+3,FALSE)</f>
        <v>295</v>
      </c>
      <c r="G15" s="53">
        <f>+VLOOKUP($A15&amp;$A$3&amp;$B$3,REPORT_raw_dataseen!$A$1:$P$721, MATCH(Referrals!G$6,REPORT_raw_dataseen!$D$1:$O$1,1)+3,FALSE)</f>
        <v>279</v>
      </c>
      <c r="H15" s="53">
        <f>+VLOOKUP($A15&amp;$A$3&amp;$B$3,REPORT_raw_dataseen!$A$1:$P$721, MATCH(Referrals!H$6,REPORT_raw_dataseen!$D$1:$O$1,1)+3,FALSE)</f>
        <v>225</v>
      </c>
      <c r="I15" s="53">
        <f>+VLOOKUP($A15&amp;$A$3&amp;$B$3,REPORT_raw_dataseen!$A$1:$P$721, MATCH(Referrals!I$6,REPORT_raw_dataseen!$D$1:$O$1,1)+3,FALSE)</f>
        <v>344</v>
      </c>
      <c r="J15" s="53">
        <f>+VLOOKUP($A15&amp;$A$3&amp;$B$3,REPORT_raw_dataseen!$A$1:$P$721, MATCH(Referrals!J$6,REPORT_raw_dataseen!$D$1:$O$1,1)+3,FALSE)</f>
        <v>238</v>
      </c>
      <c r="K15" s="53">
        <f>+VLOOKUP($A15&amp;$A$3&amp;$B$3,REPORT_raw_dataseen!$A$1:$P$721, MATCH(Referrals!K$6,REPORT_raw_dataseen!$D$1:$O$1,1)+3,FALSE)</f>
        <v>259</v>
      </c>
      <c r="L15" s="53">
        <f>+VLOOKUP($A15&amp;$A$3&amp;$B$3,REPORT_raw_dataseen!$A$1:$P$721, MATCH(Referrals!L$6,REPORT_raw_dataseen!$D$1:$O$1,1)+3,FALSE)</f>
        <v>297</v>
      </c>
      <c r="M15" s="53">
        <f>+VLOOKUP($A15&amp;$A$3&amp;$B$3,REPORT_raw_dataseen!$A$1:$S$721, MATCH(Referrals!M$6,REPORT_raw_dataseen!$D$1:$S$1,1)+3,FALSE)</f>
        <v>500</v>
      </c>
      <c r="N15" s="53">
        <f>+VLOOKUP($A15&amp;$A$3&amp;$B$3,REPORT_raw_dataseen!$A$1:$S$721, MATCH(Referrals!N$6,REPORT_raw_dataseen!$D$1:$S$1,1)+3,FALSE)</f>
        <v>557</v>
      </c>
      <c r="O15" s="53">
        <f>+VLOOKUP($A15&amp;$A$3&amp;$B$3,REPORT_raw_dataseen!$A$1:$S$721, MATCH(Referrals!O$6,REPORT_raw_dataseen!$D$1:$S$1,1)+3,FALSE)</f>
        <v>541</v>
      </c>
      <c r="P15" s="53">
        <f>+VLOOKUP($A15&amp;$A$3&amp;$B$3,REPORT_raw_dataseen!$A$1:$S$721, MATCH(Referrals!P$6,REPORT_raw_dataseen!$D$1:$S$1,1)+3,FALSE)</f>
        <v>693</v>
      </c>
    </row>
    <row r="16" spans="1:16">
      <c r="A16" s="50" t="s">
        <v>192</v>
      </c>
      <c r="B16" s="53">
        <f>+VLOOKUP($A16&amp;$A$3&amp;$B$3,REPORT_raw_dataseen!$A$1:$P$721, MATCH(Referrals!B$6,REPORT_raw_dataseen!$D$1:$O$1,1)+3,FALSE)</f>
        <v>447</v>
      </c>
      <c r="C16" s="53">
        <f>+VLOOKUP($A16&amp;$A$3&amp;$B$3,REPORT_raw_dataseen!$A$1:$P$721, MATCH(Referrals!C$6,REPORT_raw_dataseen!$D$1:$O$1,1)+3,FALSE)</f>
        <v>670</v>
      </c>
      <c r="D16" s="53">
        <f>+VLOOKUP($A16&amp;$A$3&amp;$B$3,REPORT_raw_dataseen!$A$1:$P$721, MATCH(Referrals!D$6,REPORT_raw_dataseen!$D$1:$O$1,1)+3,FALSE)</f>
        <v>861</v>
      </c>
      <c r="E16" s="53">
        <f>+VLOOKUP($A16&amp;$A$3&amp;$B$3,REPORT_raw_dataseen!$A$1:$P$721, MATCH(Referrals!E$6,REPORT_raw_dataseen!$D$1:$O$1,1)+3,FALSE)</f>
        <v>956</v>
      </c>
      <c r="F16" s="53">
        <f>+VLOOKUP($A16&amp;$A$3&amp;$B$3,REPORT_raw_dataseen!$A$1:$P$721, MATCH(Referrals!F$6,REPORT_raw_dataseen!$D$1:$O$1,1)+3,FALSE)</f>
        <v>1107</v>
      </c>
      <c r="G16" s="53">
        <f>+VLOOKUP($A16&amp;$A$3&amp;$B$3,REPORT_raw_dataseen!$A$1:$P$721, MATCH(Referrals!G$6,REPORT_raw_dataseen!$D$1:$O$1,1)+3,FALSE)</f>
        <v>1296</v>
      </c>
      <c r="H16" s="53">
        <f>+VLOOKUP($A16&amp;$A$3&amp;$B$3,REPORT_raw_dataseen!$A$1:$P$721, MATCH(Referrals!H$6,REPORT_raw_dataseen!$D$1:$O$1,1)+3,FALSE)</f>
        <v>1126</v>
      </c>
      <c r="I16" s="53">
        <f>+VLOOKUP($A16&amp;$A$3&amp;$B$3,REPORT_raw_dataseen!$A$1:$P$721, MATCH(Referrals!I$6,REPORT_raw_dataseen!$D$1:$O$1,1)+3,FALSE)</f>
        <v>1401</v>
      </c>
      <c r="J16" s="53">
        <f>+VLOOKUP($A16&amp;$A$3&amp;$B$3,REPORT_raw_dataseen!$A$1:$P$721, MATCH(Referrals!J$6,REPORT_raw_dataseen!$D$1:$O$1,1)+3,FALSE)</f>
        <v>1282</v>
      </c>
      <c r="K16" s="53">
        <f>+VLOOKUP($A16&amp;$A$3&amp;$B$3,REPORT_raw_dataseen!$A$1:$P$721, MATCH(Referrals!K$6,REPORT_raw_dataseen!$D$1:$O$1,1)+3,FALSE)</f>
        <v>1060</v>
      </c>
      <c r="L16" s="53">
        <f>+VLOOKUP($A16&amp;$A$3&amp;$B$3,REPORT_raw_dataseen!$A$1:$P$721, MATCH(Referrals!L$6,REPORT_raw_dataseen!$D$1:$O$1,1)+3,FALSE)</f>
        <v>1116</v>
      </c>
      <c r="M16" s="53">
        <f>+VLOOKUP($A16&amp;$A$3&amp;$B$3,REPORT_raw_dataseen!$A$1:$S$721, MATCH(Referrals!M$6,REPORT_raw_dataseen!$D$1:$S$1,1)+3,FALSE)</f>
        <v>1407</v>
      </c>
      <c r="N16" s="53">
        <f>+VLOOKUP($A16&amp;$A$3&amp;$B$3,REPORT_raw_dataseen!$A$1:$S$721, MATCH(Referrals!N$6,REPORT_raw_dataseen!$D$1:$S$1,1)+3,FALSE)</f>
        <v>1296</v>
      </c>
      <c r="O16" s="53">
        <f>+VLOOKUP($A16&amp;$A$3&amp;$B$3,REPORT_raw_dataseen!$A$1:$S$721, MATCH(Referrals!O$6,REPORT_raw_dataseen!$D$1:$S$1,1)+3,FALSE)</f>
        <v>1353</v>
      </c>
      <c r="P16" s="53">
        <f>+VLOOKUP($A16&amp;$A$3&amp;$B$3,REPORT_raw_dataseen!$A$1:$S$721, MATCH(Referrals!P$6,REPORT_raw_dataseen!$D$1:$S$1,1)+3,FALSE)</f>
        <v>1316</v>
      </c>
    </row>
    <row r="17" spans="1:16">
      <c r="A17" s="50" t="s">
        <v>143</v>
      </c>
      <c r="B17" s="53">
        <f>+VLOOKUP($A17&amp;$A$3&amp;$B$3,REPORT_raw_dataseen!$A$1:$P$721, MATCH(Referrals!B$6,REPORT_raw_dataseen!$D$1:$O$1,1)+3,FALSE)</f>
        <v>1586</v>
      </c>
      <c r="C17" s="53">
        <f>+VLOOKUP($A17&amp;$A$3&amp;$B$3,REPORT_raw_dataseen!$A$1:$P$721, MATCH(Referrals!C$6,REPORT_raw_dataseen!$D$1:$O$1,1)+3,FALSE)</f>
        <v>976</v>
      </c>
      <c r="D17" s="53">
        <f>+VLOOKUP($A17&amp;$A$3&amp;$B$3,REPORT_raw_dataseen!$A$1:$P$721, MATCH(Referrals!D$6,REPORT_raw_dataseen!$D$1:$O$1,1)+3,FALSE)</f>
        <v>1278</v>
      </c>
      <c r="E17" s="53">
        <f>+VLOOKUP($A17&amp;$A$3&amp;$B$3,REPORT_raw_dataseen!$A$1:$P$721, MATCH(Referrals!E$6,REPORT_raw_dataseen!$D$1:$O$1,1)+3,FALSE)</f>
        <v>1318</v>
      </c>
      <c r="F17" s="53">
        <f>+VLOOKUP($A17&amp;$A$3&amp;$B$3,REPORT_raw_dataseen!$A$1:$P$721, MATCH(Referrals!F$6,REPORT_raw_dataseen!$D$1:$O$1,1)+3,FALSE)</f>
        <v>1300</v>
      </c>
      <c r="G17" s="53">
        <f>+VLOOKUP($A17&amp;$A$3&amp;$B$3,REPORT_raw_dataseen!$A$1:$P$721, MATCH(Referrals!G$6,REPORT_raw_dataseen!$D$1:$O$1,1)+3,FALSE)</f>
        <v>1363</v>
      </c>
      <c r="H17" s="53">
        <f>+VLOOKUP($A17&amp;$A$3&amp;$B$3,REPORT_raw_dataseen!$A$1:$P$721, MATCH(Referrals!H$6,REPORT_raw_dataseen!$D$1:$O$1,1)+3,FALSE)</f>
        <v>1743</v>
      </c>
      <c r="I17" s="53">
        <f>+VLOOKUP($A17&amp;$A$3&amp;$B$3,REPORT_raw_dataseen!$A$1:$P$721, MATCH(Referrals!I$6,REPORT_raw_dataseen!$D$1:$O$1,1)+3,FALSE)</f>
        <v>1604</v>
      </c>
      <c r="J17" s="53">
        <f>+VLOOKUP($A17&amp;$A$3&amp;$B$3,REPORT_raw_dataseen!$A$1:$P$721, MATCH(Referrals!J$6,REPORT_raw_dataseen!$D$1:$O$1,1)+3,FALSE)</f>
        <v>1358</v>
      </c>
      <c r="K17" s="53">
        <f>+VLOOKUP($A17&amp;$A$3&amp;$B$3,REPORT_raw_dataseen!$A$1:$P$721, MATCH(Referrals!K$6,REPORT_raw_dataseen!$D$1:$O$1,1)+3,FALSE)</f>
        <v>1311</v>
      </c>
      <c r="L17" s="53">
        <f>+VLOOKUP($A17&amp;$A$3&amp;$B$3,REPORT_raw_dataseen!$A$1:$P$721, MATCH(Referrals!L$6,REPORT_raw_dataseen!$D$1:$O$1,1)+3,FALSE)</f>
        <v>1455</v>
      </c>
      <c r="M17" s="53">
        <f>+VLOOKUP($A17&amp;$A$3&amp;$B$3,REPORT_raw_dataseen!$A$1:$S$721, MATCH(Referrals!M$6,REPORT_raw_dataseen!$D$1:$S$1,1)+3,FALSE)</f>
        <v>1862</v>
      </c>
      <c r="N17" s="53">
        <f>+VLOOKUP($A17&amp;$A$3&amp;$B$3,REPORT_raw_dataseen!$A$1:$S$721, MATCH(Referrals!N$6,REPORT_raw_dataseen!$D$1:$S$1,1)+3,FALSE)</f>
        <v>1615</v>
      </c>
      <c r="O17" s="53">
        <f>+VLOOKUP($A17&amp;$A$3&amp;$B$3,REPORT_raw_dataseen!$A$1:$S$721, MATCH(Referrals!O$6,REPORT_raw_dataseen!$D$1:$S$1,1)+3,FALSE)</f>
        <v>1540</v>
      </c>
      <c r="P17" s="53">
        <f>+VLOOKUP($A17&amp;$A$3&amp;$B$3,REPORT_raw_dataseen!$A$1:$S$721, MATCH(Referrals!P$6,REPORT_raw_dataseen!$D$1:$S$1,1)+3,FALSE)</f>
        <v>1595</v>
      </c>
    </row>
    <row r="18" spans="1:16">
      <c r="A18" s="50" t="s">
        <v>144</v>
      </c>
      <c r="B18" s="53">
        <f>+VLOOKUP($A18&amp;$A$3&amp;$B$3,REPORT_raw_dataseen!$A$1:$P$721, MATCH(Referrals!B$6,REPORT_raw_dataseen!$D$1:$O$1,1)+3,FALSE)</f>
        <v>1</v>
      </c>
      <c r="C18" s="53">
        <f>+VLOOKUP($A18&amp;$A$3&amp;$B$3,REPORT_raw_dataseen!$A$1:$P$721, MATCH(Referrals!C$6,REPORT_raw_dataseen!$D$1:$O$1,1)+3,FALSE)</f>
        <v>9</v>
      </c>
      <c r="D18" s="53">
        <f>+VLOOKUP($A18&amp;$A$3&amp;$B$3,REPORT_raw_dataseen!$A$1:$P$721, MATCH(Referrals!D$6,REPORT_raw_dataseen!$D$1:$O$1,1)+3,FALSE)</f>
        <v>9</v>
      </c>
      <c r="E18" s="53">
        <f>+VLOOKUP($A18&amp;$A$3&amp;$B$3,REPORT_raw_dataseen!$A$1:$P$721, MATCH(Referrals!E$6,REPORT_raw_dataseen!$D$1:$O$1,1)+3,FALSE)</f>
        <v>12</v>
      </c>
      <c r="F18" s="53">
        <f>+VLOOKUP($A18&amp;$A$3&amp;$B$3,REPORT_raw_dataseen!$A$1:$P$721, MATCH(Referrals!F$6,REPORT_raw_dataseen!$D$1:$O$1,1)+3,FALSE)</f>
        <v>9</v>
      </c>
      <c r="G18" s="53">
        <f>+VLOOKUP($A18&amp;$A$3&amp;$B$3,REPORT_raw_dataseen!$A$1:$P$721, MATCH(Referrals!G$6,REPORT_raw_dataseen!$D$1:$O$1,1)+3,FALSE)</f>
        <v>11</v>
      </c>
      <c r="H18" s="53">
        <f>+VLOOKUP($A18&amp;$A$3&amp;$B$3,REPORT_raw_dataseen!$A$1:$P$721, MATCH(Referrals!H$6,REPORT_raw_dataseen!$D$1:$O$1,1)+3,FALSE)</f>
        <v>16</v>
      </c>
      <c r="I18" s="53">
        <f>+VLOOKUP($A18&amp;$A$3&amp;$B$3,REPORT_raw_dataseen!$A$1:$P$721, MATCH(Referrals!I$6,REPORT_raw_dataseen!$D$1:$O$1,1)+3,FALSE)</f>
        <v>14</v>
      </c>
      <c r="J18" s="53">
        <f>+VLOOKUP($A18&amp;$A$3&amp;$B$3,REPORT_raw_dataseen!$A$1:$P$721, MATCH(Referrals!J$6,REPORT_raw_dataseen!$D$1:$O$1,1)+3,FALSE)</f>
        <v>11</v>
      </c>
      <c r="K18" s="53">
        <f>+VLOOKUP($A18&amp;$A$3&amp;$B$3,REPORT_raw_dataseen!$A$1:$P$721, MATCH(Referrals!K$6,REPORT_raw_dataseen!$D$1:$O$1,1)+3,FALSE)</f>
        <v>5</v>
      </c>
      <c r="L18" s="53">
        <f>+VLOOKUP($A18&amp;$A$3&amp;$B$3,REPORT_raw_dataseen!$A$1:$P$721, MATCH(Referrals!L$6,REPORT_raw_dataseen!$D$1:$O$1,1)+3,FALSE)</f>
        <v>12</v>
      </c>
      <c r="M18" s="53">
        <f>+VLOOKUP($A18&amp;$A$3&amp;$B$3,REPORT_raw_dataseen!$A$1:$S$721, MATCH(Referrals!M$6,REPORT_raw_dataseen!$D$1:$S$1,1)+3,FALSE)</f>
        <v>16</v>
      </c>
      <c r="N18" s="53">
        <f>+VLOOKUP($A18&amp;$A$3&amp;$B$3,REPORT_raw_dataseen!$A$1:$S$721, MATCH(Referrals!N$6,REPORT_raw_dataseen!$D$1:$S$1,1)+3,FALSE)</f>
        <v>17</v>
      </c>
      <c r="O18" s="53">
        <f>+VLOOKUP($A18&amp;$A$3&amp;$B$3,REPORT_raw_dataseen!$A$1:$S$721, MATCH(Referrals!O$6,REPORT_raw_dataseen!$D$1:$S$1,1)+3,FALSE)</f>
        <v>13</v>
      </c>
      <c r="P18" s="53">
        <f>+VLOOKUP($A18&amp;$A$3&amp;$B$3,REPORT_raw_dataseen!$A$1:$S$721, MATCH(Referrals!P$6,REPORT_raw_dataseen!$D$1:$S$1,1)+3,FALSE)</f>
        <v>16</v>
      </c>
    </row>
    <row r="19" spans="1:16">
      <c r="A19" s="50" t="s">
        <v>145</v>
      </c>
      <c r="B19" s="53">
        <f>+VLOOKUP($A19&amp;$A$3&amp;$B$3,REPORT_raw_dataseen!$A$1:$P$721, MATCH(Referrals!B$6,REPORT_raw_dataseen!$D$1:$O$1,1)+3,FALSE)</f>
        <v>1</v>
      </c>
      <c r="C19" s="53">
        <f>+VLOOKUP($A19&amp;$A$3&amp;$B$3,REPORT_raw_dataseen!$A$1:$P$721, MATCH(Referrals!C$6,REPORT_raw_dataseen!$D$1:$O$1,1)+3,FALSE)</f>
        <v>9</v>
      </c>
      <c r="D19" s="53">
        <f>+VLOOKUP($A19&amp;$A$3&amp;$B$3,REPORT_raw_dataseen!$A$1:$P$721, MATCH(Referrals!D$6,REPORT_raw_dataseen!$D$1:$O$1,1)+3,FALSE)</f>
        <v>16</v>
      </c>
      <c r="E19" s="53">
        <f>+VLOOKUP($A19&amp;$A$3&amp;$B$3,REPORT_raw_dataseen!$A$1:$P$721, MATCH(Referrals!E$6,REPORT_raw_dataseen!$D$1:$O$1,1)+3,FALSE)</f>
        <v>6</v>
      </c>
      <c r="F19" s="53">
        <f>+VLOOKUP($A19&amp;$A$3&amp;$B$3,REPORT_raw_dataseen!$A$1:$P$721, MATCH(Referrals!F$6,REPORT_raw_dataseen!$D$1:$O$1,1)+3,FALSE)</f>
        <v>13</v>
      </c>
      <c r="G19" s="53">
        <f>+VLOOKUP($A19&amp;$A$3&amp;$B$3,REPORT_raw_dataseen!$A$1:$P$721, MATCH(Referrals!G$6,REPORT_raw_dataseen!$D$1:$O$1,1)+3,FALSE)</f>
        <v>49</v>
      </c>
      <c r="H19" s="53">
        <f>+VLOOKUP($A19&amp;$A$3&amp;$B$3,REPORT_raw_dataseen!$A$1:$P$721, MATCH(Referrals!H$6,REPORT_raw_dataseen!$D$1:$O$1,1)+3,FALSE)</f>
        <v>38</v>
      </c>
      <c r="I19" s="53">
        <f>+VLOOKUP($A19&amp;$A$3&amp;$B$3,REPORT_raw_dataseen!$A$1:$P$721, MATCH(Referrals!I$6,REPORT_raw_dataseen!$D$1:$O$1,1)+3,FALSE)</f>
        <v>23</v>
      </c>
      <c r="J19" s="53">
        <f>+VLOOKUP($A19&amp;$A$3&amp;$B$3,REPORT_raw_dataseen!$A$1:$P$721, MATCH(Referrals!J$6,REPORT_raw_dataseen!$D$1:$O$1,1)+3,FALSE)</f>
        <v>38</v>
      </c>
      <c r="K19" s="53">
        <f>+VLOOKUP($A19&amp;$A$3&amp;$B$3,REPORT_raw_dataseen!$A$1:$P$721, MATCH(Referrals!K$6,REPORT_raw_dataseen!$D$1:$O$1,1)+3,FALSE)</f>
        <v>29</v>
      </c>
      <c r="L19" s="53">
        <f>+VLOOKUP($A19&amp;$A$3&amp;$B$3,REPORT_raw_dataseen!$A$1:$P$721, MATCH(Referrals!L$6,REPORT_raw_dataseen!$D$1:$O$1,1)+3,FALSE)</f>
        <v>31</v>
      </c>
      <c r="M19" s="53">
        <f>+VLOOKUP($A19&amp;$A$3&amp;$B$3,REPORT_raw_dataseen!$A$1:$S$721, MATCH(Referrals!M$6,REPORT_raw_dataseen!$D$1:$S$1,1)+3,FALSE)</f>
        <v>42</v>
      </c>
      <c r="N19" s="53">
        <f>+VLOOKUP($A19&amp;$A$3&amp;$B$3,REPORT_raw_dataseen!$A$1:$S$721, MATCH(Referrals!N$6,REPORT_raw_dataseen!$D$1:$S$1,1)+3,FALSE)</f>
        <v>37</v>
      </c>
      <c r="O19" s="53">
        <f>+VLOOKUP($A19&amp;$A$3&amp;$B$3,REPORT_raw_dataseen!$A$1:$S$721, MATCH(Referrals!O$6,REPORT_raw_dataseen!$D$1:$S$1,1)+3,FALSE)</f>
        <v>35</v>
      </c>
      <c r="P19" s="53">
        <f>+VLOOKUP($A19&amp;$A$3&amp;$B$3,REPORT_raw_dataseen!$A$1:$S$721, MATCH(Referrals!P$6,REPORT_raw_dataseen!$D$1:$S$1,1)+3,FALSE)</f>
        <v>34</v>
      </c>
    </row>
    <row r="20" spans="1:16">
      <c r="A20" s="50" t="s">
        <v>146</v>
      </c>
      <c r="B20" s="53">
        <f>+VLOOKUP($A20&amp;$A$3&amp;$B$3,REPORT_raw_dataseen!$A$1:$P$721, MATCH(Referrals!B$6,REPORT_raw_dataseen!$D$1:$O$1,1)+3,FALSE)</f>
        <v>317</v>
      </c>
      <c r="C20" s="53">
        <f>+VLOOKUP($A20&amp;$A$3&amp;$B$3,REPORT_raw_dataseen!$A$1:$P$721, MATCH(Referrals!C$6,REPORT_raw_dataseen!$D$1:$O$1,1)+3,FALSE)</f>
        <v>378</v>
      </c>
      <c r="D20" s="53">
        <f>+VLOOKUP($A20&amp;$A$3&amp;$B$3,REPORT_raw_dataseen!$A$1:$P$721, MATCH(Referrals!D$6,REPORT_raw_dataseen!$D$1:$O$1,1)+3,FALSE)</f>
        <v>476</v>
      </c>
      <c r="E20" s="53">
        <f>+VLOOKUP($A20&amp;$A$3&amp;$B$3,REPORT_raw_dataseen!$A$1:$P$721, MATCH(Referrals!E$6,REPORT_raw_dataseen!$D$1:$O$1,1)+3,FALSE)</f>
        <v>605</v>
      </c>
      <c r="F20" s="53">
        <f>+VLOOKUP($A20&amp;$A$3&amp;$B$3,REPORT_raw_dataseen!$A$1:$P$721, MATCH(Referrals!F$6,REPORT_raw_dataseen!$D$1:$O$1,1)+3,FALSE)</f>
        <v>579</v>
      </c>
      <c r="G20" s="53">
        <f>+VLOOKUP($A20&amp;$A$3&amp;$B$3,REPORT_raw_dataseen!$A$1:$P$721, MATCH(Referrals!G$6,REPORT_raw_dataseen!$D$1:$O$1,1)+3,FALSE)</f>
        <v>631</v>
      </c>
      <c r="H20" s="53">
        <f>+VLOOKUP($A20&amp;$A$3&amp;$B$3,REPORT_raw_dataseen!$A$1:$P$721, MATCH(Referrals!H$6,REPORT_raw_dataseen!$D$1:$O$1,1)+3,FALSE)</f>
        <v>635</v>
      </c>
      <c r="I20" s="53">
        <f>+VLOOKUP($A20&amp;$A$3&amp;$B$3,REPORT_raw_dataseen!$A$1:$P$721, MATCH(Referrals!I$6,REPORT_raw_dataseen!$D$1:$O$1,1)+3,FALSE)</f>
        <v>619</v>
      </c>
      <c r="J20" s="53">
        <f>+VLOOKUP($A20&amp;$A$3&amp;$B$3,REPORT_raw_dataseen!$A$1:$P$721, MATCH(Referrals!J$6,REPORT_raw_dataseen!$D$1:$O$1,1)+3,FALSE)</f>
        <v>507</v>
      </c>
      <c r="K20" s="53">
        <f>+VLOOKUP($A20&amp;$A$3&amp;$B$3,REPORT_raw_dataseen!$A$1:$P$721, MATCH(Referrals!K$6,REPORT_raw_dataseen!$D$1:$O$1,1)+3,FALSE)</f>
        <v>605</v>
      </c>
      <c r="L20" s="53">
        <f>+VLOOKUP($A20&amp;$A$3&amp;$B$3,REPORT_raw_dataseen!$A$1:$P$721, MATCH(Referrals!L$6,REPORT_raw_dataseen!$D$1:$O$1,1)+3,FALSE)</f>
        <v>553</v>
      </c>
      <c r="M20" s="53">
        <f>+VLOOKUP($A20&amp;$A$3&amp;$B$3,REPORT_raw_dataseen!$A$1:$S$721, MATCH(Referrals!M$6,REPORT_raw_dataseen!$D$1:$S$1,1)+3,FALSE)</f>
        <v>645</v>
      </c>
      <c r="N20" s="53">
        <f>+VLOOKUP($A20&amp;$A$3&amp;$B$3,REPORT_raw_dataseen!$A$1:$S$721, MATCH(Referrals!N$6,REPORT_raw_dataseen!$D$1:$S$1,1)+3,FALSE)</f>
        <v>620</v>
      </c>
      <c r="O20" s="53">
        <f>+VLOOKUP($A20&amp;$A$3&amp;$B$3,REPORT_raw_dataseen!$A$1:$S$721, MATCH(Referrals!O$6,REPORT_raw_dataseen!$D$1:$S$1,1)+3,FALSE)</f>
        <v>649</v>
      </c>
      <c r="P20" s="53">
        <f>+VLOOKUP($A20&amp;$A$3&amp;$B$3,REPORT_raw_dataseen!$A$1:$S$721, MATCH(Referrals!P$6,REPORT_raw_dataseen!$D$1:$S$1,1)+3,FALSE)</f>
        <v>835</v>
      </c>
    </row>
    <row r="21" spans="1:16">
      <c r="A21" s="50" t="s">
        <v>147</v>
      </c>
      <c r="B21" s="53">
        <f>+VLOOKUP($A21&amp;$A$3&amp;$B$3,REPORT_raw_dataseen!$A$1:$P$721, MATCH(Referrals!B$6,REPORT_raw_dataseen!$D$1:$O$1,1)+3,FALSE)</f>
        <v>1</v>
      </c>
      <c r="C21" s="53">
        <f>+VLOOKUP($A21&amp;$A$3&amp;$B$3,REPORT_raw_dataseen!$A$1:$P$721, MATCH(Referrals!C$6,REPORT_raw_dataseen!$D$1:$O$1,1)+3,FALSE)</f>
        <v>14</v>
      </c>
      <c r="D21" s="53">
        <f>+VLOOKUP($A21&amp;$A$3&amp;$B$3,REPORT_raw_dataseen!$A$1:$P$721, MATCH(Referrals!D$6,REPORT_raw_dataseen!$D$1:$O$1,1)+3,FALSE)</f>
        <v>6</v>
      </c>
      <c r="E21" s="53">
        <f>+VLOOKUP($A21&amp;$A$3&amp;$B$3,REPORT_raw_dataseen!$A$1:$P$721, MATCH(Referrals!E$6,REPORT_raw_dataseen!$D$1:$O$1,1)+3,FALSE)</f>
        <v>6</v>
      </c>
      <c r="F21" s="53">
        <f>+VLOOKUP($A21&amp;$A$3&amp;$B$3,REPORT_raw_dataseen!$A$1:$P$721, MATCH(Referrals!F$6,REPORT_raw_dataseen!$D$1:$O$1,1)+3,FALSE)</f>
        <v>14</v>
      </c>
      <c r="G21" s="53">
        <f>+VLOOKUP($A21&amp;$A$3&amp;$B$3,REPORT_raw_dataseen!$A$1:$P$721, MATCH(Referrals!G$6,REPORT_raw_dataseen!$D$1:$O$1,1)+3,FALSE)</f>
        <v>7</v>
      </c>
      <c r="H21" s="53">
        <f>+VLOOKUP($A21&amp;$A$3&amp;$B$3,REPORT_raw_dataseen!$A$1:$P$721, MATCH(Referrals!H$6,REPORT_raw_dataseen!$D$1:$O$1,1)+3,FALSE)</f>
        <v>11</v>
      </c>
      <c r="I21" s="53">
        <f>+VLOOKUP($A21&amp;$A$3&amp;$B$3,REPORT_raw_dataseen!$A$1:$P$721, MATCH(Referrals!I$6,REPORT_raw_dataseen!$D$1:$O$1,1)+3,FALSE)</f>
        <v>8</v>
      </c>
      <c r="J21" s="53">
        <f>+VLOOKUP($A21&amp;$A$3&amp;$B$3,REPORT_raw_dataseen!$A$1:$P$721, MATCH(Referrals!J$6,REPORT_raw_dataseen!$D$1:$O$1,1)+3,FALSE)</f>
        <v>5</v>
      </c>
      <c r="K21" s="53">
        <f>+VLOOKUP($A21&amp;$A$3&amp;$B$3,REPORT_raw_dataseen!$A$1:$P$721, MATCH(Referrals!K$6,REPORT_raw_dataseen!$D$1:$O$1,1)+3,FALSE)</f>
        <v>4</v>
      </c>
      <c r="L21" s="53">
        <f>+VLOOKUP($A21&amp;$A$3&amp;$B$3,REPORT_raw_dataseen!$A$1:$P$721, MATCH(Referrals!L$6,REPORT_raw_dataseen!$D$1:$O$1,1)+3,FALSE)</f>
        <v>4</v>
      </c>
      <c r="M21" s="53">
        <f>+VLOOKUP($A21&amp;$A$3&amp;$B$3,REPORT_raw_dataseen!$A$1:$S$721, MATCH(Referrals!M$6,REPORT_raw_dataseen!$D$1:$S$1,1)+3,FALSE)</f>
        <v>7</v>
      </c>
      <c r="N21" s="53">
        <f>+VLOOKUP($A21&amp;$A$3&amp;$B$3,REPORT_raw_dataseen!$A$1:$S$721, MATCH(Referrals!N$6,REPORT_raw_dataseen!$D$1:$S$1,1)+3,FALSE)</f>
        <v>6</v>
      </c>
      <c r="O21" s="53">
        <f>+VLOOKUP($A21&amp;$A$3&amp;$B$3,REPORT_raw_dataseen!$A$1:$S$721, MATCH(Referrals!O$6,REPORT_raw_dataseen!$D$1:$S$1,1)+3,FALSE)</f>
        <v>4</v>
      </c>
      <c r="P21" s="53">
        <f>+VLOOKUP($A21&amp;$A$3&amp;$B$3,REPORT_raw_dataseen!$A$1:$S$721, MATCH(Referrals!P$6,REPORT_raw_dataseen!$D$1:$S$1,1)+3,FALSE)</f>
        <v>1</v>
      </c>
    </row>
    <row r="22" spans="1:16">
      <c r="A22" s="59" t="s">
        <v>328</v>
      </c>
      <c r="B22" s="53">
        <f>+VLOOKUP($A22&amp;$A$3&amp;$B$3,REPORT_raw_dataseen!$A$1:$S$769, MATCH(Referrals!B$6,REPORT_raw_dataseen!$D$1:$S$1,1)+3,FALSE)</f>
        <v>75</v>
      </c>
      <c r="C22" s="53">
        <f>+VLOOKUP($A22&amp;$A$3&amp;$B$3,REPORT_raw_dataseen!$A$1:$S$769, MATCH(Referrals!C$6,REPORT_raw_dataseen!$D$1:$S$1,1)+3,FALSE)</f>
        <v>98</v>
      </c>
      <c r="D22" s="53">
        <f>+VLOOKUP($A22&amp;$A$3&amp;$B$3,REPORT_raw_dataseen!$A$1:$S$769, MATCH(Referrals!D$6,REPORT_raw_dataseen!$D$1:$S$1,1)+3,FALSE)</f>
        <v>136</v>
      </c>
      <c r="E22" s="53">
        <f>+VLOOKUP($A22&amp;$A$3&amp;$B$3,REPORT_raw_dataseen!$A$1:$S$769, MATCH(Referrals!E$6,REPORT_raw_dataseen!$D$1:$S$1,1)+3,FALSE)</f>
        <v>116</v>
      </c>
      <c r="F22" s="53">
        <f>+VLOOKUP($A22&amp;$A$3&amp;$B$3,REPORT_raw_dataseen!$A$1:$S$769, MATCH(Referrals!F$6,REPORT_raw_dataseen!$D$1:$S$1,1)+3,FALSE)</f>
        <v>113</v>
      </c>
      <c r="G22" s="53">
        <f>+VLOOKUP($A22&amp;$A$3&amp;$B$3,REPORT_raw_dataseen!$A$1:$S$769, MATCH(Referrals!G$6,REPORT_raw_dataseen!$D$1:$S$1,1)+3,FALSE)</f>
        <v>151</v>
      </c>
      <c r="H22" s="53" t="str">
        <f>+VLOOKUP($A22&amp;$A$3&amp;$B$3,REPORT_raw_dataseen!$A$1:$S$769, MATCH(Referrals!H$6,REPORT_raw_dataseen!$D$1:$S$1,1)+3,FALSE)</f>
        <v>..</v>
      </c>
      <c r="I22" s="53">
        <f>+VLOOKUP($A22&amp;$A$3&amp;$B$3,REPORT_raw_dataseen!$A$1:$S$769, MATCH(Referrals!I$6,REPORT_raw_dataseen!$D$1:$S$1,1)+3,FALSE)</f>
        <v>136</v>
      </c>
      <c r="J22" s="53">
        <f>+VLOOKUP($A22&amp;$A$3&amp;$B$3,REPORT_raw_dataseen!$A$1:$S$769, MATCH(Referrals!J$6,REPORT_raw_dataseen!$D$1:$S$1,1)+3,FALSE)</f>
        <v>87</v>
      </c>
      <c r="K22" s="53">
        <f>+VLOOKUP($A22&amp;$A$3&amp;$B$3,REPORT_raw_dataseen!$A$1:$S$769, MATCH(Referrals!K$6,REPORT_raw_dataseen!$D$1:$S$1,1)+3,FALSE)</f>
        <v>107</v>
      </c>
      <c r="L22" s="53" t="str">
        <f>+VLOOKUP($A22&amp;$A$3&amp;$B$3,REPORT_raw_dataseen!$A$1:$S$769, MATCH(Referrals!L$6,REPORT_raw_dataseen!$D$1:$S$1,1)+3,FALSE)</f>
        <v>..</v>
      </c>
      <c r="M22" s="53">
        <f>+VLOOKUP($A22&amp;$A$3&amp;$B$3,REPORT_raw_dataseen!$A$1:$S$769, MATCH(Referrals!M$6,REPORT_raw_dataseen!$D$1:$S$1,1)+3,FALSE)</f>
        <v>0</v>
      </c>
      <c r="N22" s="53">
        <f>+VLOOKUP($A22&amp;$A$3&amp;$B$3,REPORT_raw_dataseen!$A$1:$S$769, MATCH(Referrals!N$6,REPORT_raw_dataseen!$D$1:$S$1,1)+3,FALSE)</f>
        <v>0</v>
      </c>
      <c r="O22" s="53">
        <f>+VLOOKUP($A22&amp;$A$3&amp;$B$3,REPORT_raw_dataseen!$A$1:$S$769, MATCH(Referrals!O$6,REPORT_raw_dataseen!$D$1:$S$1,1)+3,FALSE)</f>
        <v>0</v>
      </c>
      <c r="P22" s="53" t="str">
        <f>+VLOOKUP($A22&amp;$A$3&amp;$B$3,REPORT_raw_dataseen!$A$1:$S$769, MATCH(Referrals!P$6,REPORT_raw_dataseen!$D$1:$S$1,1)+3,FALSE)</f>
        <v>..</v>
      </c>
    </row>
    <row r="24" spans="1:16">
      <c r="A24" t="s">
        <v>302</v>
      </c>
    </row>
    <row r="25" spans="1:16">
      <c r="A25" t="s">
        <v>175</v>
      </c>
      <c r="B25" t="s">
        <v>178</v>
      </c>
    </row>
    <row r="26" spans="1:16">
      <c r="A26" t="s">
        <v>301</v>
      </c>
    </row>
    <row r="28" spans="1:16">
      <c r="A28" s="50"/>
      <c r="B28" s="51">
        <f>DATE(YEAR(C28),MONTH(C28)-1,DAY(C28))</f>
        <v>43922</v>
      </c>
      <c r="C28" s="51">
        <f>DATE(YEAR(D28),MONTH(D28)-1,DAY(D28))</f>
        <v>43952</v>
      </c>
      <c r="D28" s="51">
        <f>DATE(YEAR(E28),MONTH(E28)-1,DAY(E28))</f>
        <v>43983</v>
      </c>
      <c r="E28" s="51">
        <f t="shared" ref="E28:O28" si="1">DATE(YEAR(F28),MONTH(F28)-1,DAY(F28))</f>
        <v>44013</v>
      </c>
      <c r="F28" s="51">
        <f t="shared" si="1"/>
        <v>44044</v>
      </c>
      <c r="G28" s="51">
        <f t="shared" si="1"/>
        <v>44075</v>
      </c>
      <c r="H28" s="51">
        <f t="shared" si="1"/>
        <v>44105</v>
      </c>
      <c r="I28" s="51">
        <f t="shared" si="1"/>
        <v>44136</v>
      </c>
      <c r="J28" s="51">
        <f t="shared" si="1"/>
        <v>44166</v>
      </c>
      <c r="K28" s="51">
        <f t="shared" si="1"/>
        <v>44197</v>
      </c>
      <c r="L28" s="51">
        <f t="shared" si="1"/>
        <v>44228</v>
      </c>
      <c r="M28" s="51">
        <f t="shared" si="1"/>
        <v>44256</v>
      </c>
      <c r="N28" s="51">
        <f t="shared" si="1"/>
        <v>44287</v>
      </c>
      <c r="O28" s="51">
        <f t="shared" si="1"/>
        <v>44317</v>
      </c>
      <c r="P28" s="10">
        <f>+Sheet1!A20</f>
        <v>44348</v>
      </c>
    </row>
    <row r="29" spans="1:16">
      <c r="A29" s="52" t="s">
        <v>28</v>
      </c>
      <c r="B29" s="53">
        <f>+VLOOKUP($A29&amp;$A$25&amp;$B$25,REPORT_raw_dataseen!$A$1:$P$721, MATCH(Referrals!B$6,REPORT_raw_dataseen!$D$1:$O$1,1)+3,FALSE)</f>
        <v>5588</v>
      </c>
      <c r="C29" s="53">
        <f>+VLOOKUP($A29&amp;$A$25&amp;$B$25,REPORT_raw_dataseen!$A$1:$P$721, MATCH(Referrals!C$6,REPORT_raw_dataseen!$D$1:$O$1,1)+3,FALSE)</f>
        <v>6603</v>
      </c>
      <c r="D29" s="53">
        <f>+VLOOKUP($A29&amp;$A$25&amp;$B$25,REPORT_raw_dataseen!$A$1:$P$721, MATCH(Referrals!D$6,REPORT_raw_dataseen!$D$1:$O$1,1)+3,FALSE)</f>
        <v>8947</v>
      </c>
      <c r="E29" s="53">
        <f>+VLOOKUP($A29&amp;$A$25&amp;$B$25,REPORT_raw_dataseen!$A$1:$P$721, MATCH(Referrals!E$6,REPORT_raw_dataseen!$D$1:$O$1,1)+3,FALSE)</f>
        <v>10182</v>
      </c>
      <c r="F29" s="53">
        <f>+VLOOKUP($A29&amp;$A$25&amp;$B$25,REPORT_raw_dataseen!$A$1:$P$721, MATCH(Referrals!F$6,REPORT_raw_dataseen!$D$1:$O$1,1)+3,FALSE)</f>
        <v>11029</v>
      </c>
      <c r="G29" s="53">
        <f>+VLOOKUP($A29&amp;$A$25&amp;$B$25,REPORT_raw_dataseen!$A$1:$P$721, MATCH(Referrals!G$6,REPORT_raw_dataseen!$D$1:$O$1,1)+3,FALSE)</f>
        <v>12094</v>
      </c>
      <c r="H29" s="53">
        <f>+VLOOKUP($A29&amp;$A$25&amp;$B$25,REPORT_raw_dataseen!$A$1:$P$721, MATCH(Referrals!H$6,REPORT_raw_dataseen!$D$1:$O$1,1)+3,FALSE)</f>
        <v>12549</v>
      </c>
      <c r="I29" s="53">
        <f>+VLOOKUP($A29&amp;$A$25&amp;$B$25,REPORT_raw_dataseen!$A$1:$P$721, MATCH(Referrals!I$6,REPORT_raw_dataseen!$D$1:$O$1,1)+3,FALSE)</f>
        <v>13181</v>
      </c>
      <c r="J29" s="53">
        <f>+VLOOKUP($A29&amp;$A$25&amp;$B$25,REPORT_raw_dataseen!$A$1:$P$721, MATCH(Referrals!J$6,REPORT_raw_dataseen!$D$1:$O$1,1)+3,FALSE)</f>
        <v>11942</v>
      </c>
      <c r="K29" s="53">
        <f>+VLOOKUP($A29&amp;$A$25&amp;$B$25,REPORT_raw_dataseen!$A$1:$P$721, MATCH(Referrals!K$6,REPORT_raw_dataseen!$D$1:$O$1,1)+3,FALSE)</f>
        <v>11311</v>
      </c>
      <c r="L29" s="53">
        <f>+VLOOKUP($A29&amp;$A$25&amp;$B$25,REPORT_raw_dataseen!$A$1:$P$721, MATCH(Referrals!L$6,REPORT_raw_dataseen!$D$1:$O$1,1)+3,FALSE)</f>
        <v>11045</v>
      </c>
      <c r="M29" s="53">
        <f>+VLOOKUP($A29&amp;$A$25&amp;$B$25,REPORT_raw_dataseen!$A$1:$S$721, MATCH(Referrals!M$6,REPORT_raw_dataseen!$D$1:$S$1,1)+3,FALSE)</f>
        <v>14231</v>
      </c>
      <c r="N29" s="53">
        <f>+VLOOKUP($A29&amp;$A$25&amp;$B$25,REPORT_raw_dataseen!$A$1:$S$721, MATCH(Referrals!N$6,REPORT_raw_dataseen!$D$1:$S$1,1)+3,FALSE)</f>
        <v>13116</v>
      </c>
      <c r="O29" s="53">
        <f>+VLOOKUP($A29&amp;$A$25&amp;$B$25,REPORT_raw_dataseen!$A$1:$S$721, MATCH(Referrals!O$6,REPORT_raw_dataseen!$D$1:$S$1,1)+3,FALSE)</f>
        <v>13573</v>
      </c>
      <c r="P29" s="53">
        <f>+VLOOKUP($A29&amp;$A$25&amp;$B$25,REPORT_raw_dataseen!$A$1:$S$721, MATCH(Referrals!P$6,REPORT_raw_dataseen!$D$1:$S$1,1)+3,FALSE)</f>
        <v>14500</v>
      </c>
    </row>
    <row r="30" spans="1:16">
      <c r="A30" s="50" t="s">
        <v>136</v>
      </c>
      <c r="B30" s="53">
        <f>+VLOOKUP($A30&amp;$A$25&amp;$B$25,REPORT_raw_dataseen!$A$1:$P$721, MATCH(Referrals!B$6,REPORT_raw_dataseen!$D$1:$O$1,1)+3,FALSE)</f>
        <v>104</v>
      </c>
      <c r="C30" s="53">
        <f>+VLOOKUP($A30&amp;$A$25&amp;$B$25,REPORT_raw_dataseen!$A$1:$P$721, MATCH(Referrals!C$6,REPORT_raw_dataseen!$D$1:$O$1,1)+3,FALSE)</f>
        <v>204</v>
      </c>
      <c r="D30" s="53">
        <f>+VLOOKUP($A30&amp;$A$25&amp;$B$25,REPORT_raw_dataseen!$A$1:$P$721, MATCH(Referrals!D$6,REPORT_raw_dataseen!$D$1:$O$1,1)+3,FALSE)</f>
        <v>250</v>
      </c>
      <c r="E30" s="53">
        <f>+VLOOKUP($A30&amp;$A$25&amp;$B$25,REPORT_raw_dataseen!$A$1:$P$721, MATCH(Referrals!E$6,REPORT_raw_dataseen!$D$1:$O$1,1)+3,FALSE)</f>
        <v>307</v>
      </c>
      <c r="F30" s="53">
        <f>+VLOOKUP($A30&amp;$A$25&amp;$B$25,REPORT_raw_dataseen!$A$1:$P$721, MATCH(Referrals!F$6,REPORT_raw_dataseen!$D$1:$O$1,1)+3,FALSE)</f>
        <v>364</v>
      </c>
      <c r="G30" s="53">
        <f>+VLOOKUP($A30&amp;$A$25&amp;$B$25,REPORT_raw_dataseen!$A$1:$P$721, MATCH(Referrals!G$6,REPORT_raw_dataseen!$D$1:$O$1,1)+3,FALSE)</f>
        <v>401</v>
      </c>
      <c r="H30" s="53">
        <f>+VLOOKUP($A30&amp;$A$25&amp;$B$25,REPORT_raw_dataseen!$A$1:$P$721, MATCH(Referrals!H$6,REPORT_raw_dataseen!$D$1:$O$1,1)+3,FALSE)</f>
        <v>357</v>
      </c>
      <c r="I30" s="53">
        <f>+VLOOKUP($A30&amp;$A$25&amp;$B$25,REPORT_raw_dataseen!$A$1:$P$721, MATCH(Referrals!I$6,REPORT_raw_dataseen!$D$1:$O$1,1)+3,FALSE)</f>
        <v>382</v>
      </c>
      <c r="J30" s="53">
        <f>+VLOOKUP($A30&amp;$A$25&amp;$B$25,REPORT_raw_dataseen!$A$1:$P$721, MATCH(Referrals!J$6,REPORT_raw_dataseen!$D$1:$O$1,1)+3,FALSE)</f>
        <v>382</v>
      </c>
      <c r="K30" s="53">
        <f>+VLOOKUP($A30&amp;$A$25&amp;$B$25,REPORT_raw_dataseen!$A$1:$P$721, MATCH(Referrals!K$6,REPORT_raw_dataseen!$D$1:$O$1,1)+3,FALSE)</f>
        <v>365</v>
      </c>
      <c r="L30" s="53">
        <f>+VLOOKUP($A30&amp;$A$25&amp;$B$25,REPORT_raw_dataseen!$A$1:$P$721, MATCH(Referrals!L$6,REPORT_raw_dataseen!$D$1:$O$1,1)+3,FALSE)</f>
        <v>407</v>
      </c>
      <c r="M30" s="53">
        <f>+VLOOKUP($A30&amp;$A$25&amp;$B$25,REPORT_raw_dataseen!$A$1:$S$721, MATCH(Referrals!M$6,REPORT_raw_dataseen!$D$1:$S$1,1)+3,FALSE)</f>
        <v>452</v>
      </c>
      <c r="N30" s="53">
        <f>+VLOOKUP($A30&amp;$A$25&amp;$B$25,REPORT_raw_dataseen!$A$1:$S$721, MATCH(Referrals!N$6,REPORT_raw_dataseen!$D$1:$S$1,1)+3,FALSE)</f>
        <v>347</v>
      </c>
      <c r="O30" s="53">
        <f>+VLOOKUP($A30&amp;$A$25&amp;$B$25,REPORT_raw_dataseen!$A$1:$S$721, MATCH(Referrals!O$6,REPORT_raw_dataseen!$D$1:$S$1,1)+3,FALSE)</f>
        <v>403</v>
      </c>
      <c r="P30" s="53">
        <f>+VLOOKUP($A30&amp;$A$25&amp;$B$25,REPORT_raw_dataseen!$A$1:$S$721, MATCH(Referrals!P$6,REPORT_raw_dataseen!$D$1:$S$1,1)+3,FALSE)</f>
        <v>455</v>
      </c>
    </row>
    <row r="31" spans="1:16">
      <c r="A31" s="50" t="s">
        <v>137</v>
      </c>
      <c r="B31" s="53">
        <f>+VLOOKUP($A31&amp;$A$25&amp;$B$25,REPORT_raw_dataseen!$A$1:$P$721, MATCH(Referrals!B$6,REPORT_raw_dataseen!$D$1:$O$1,1)+3,FALSE)</f>
        <v>58</v>
      </c>
      <c r="C31" s="53">
        <f>+VLOOKUP($A31&amp;$A$25&amp;$B$25,REPORT_raw_dataseen!$A$1:$P$721, MATCH(Referrals!C$6,REPORT_raw_dataseen!$D$1:$O$1,1)+3,FALSE)</f>
        <v>39</v>
      </c>
      <c r="D31" s="53">
        <f>+VLOOKUP($A31&amp;$A$25&amp;$B$25,REPORT_raw_dataseen!$A$1:$P$721, MATCH(Referrals!D$6,REPORT_raw_dataseen!$D$1:$O$1,1)+3,FALSE)</f>
        <v>43</v>
      </c>
      <c r="E31" s="53">
        <f>+VLOOKUP($A31&amp;$A$25&amp;$B$25,REPORT_raw_dataseen!$A$1:$P$721, MATCH(Referrals!E$6,REPORT_raw_dataseen!$D$1:$O$1,1)+3,FALSE)</f>
        <v>62</v>
      </c>
      <c r="F31" s="53">
        <f>+VLOOKUP($A31&amp;$A$25&amp;$B$25,REPORT_raw_dataseen!$A$1:$P$721, MATCH(Referrals!F$6,REPORT_raw_dataseen!$D$1:$O$1,1)+3,FALSE)</f>
        <v>49</v>
      </c>
      <c r="G31" s="53">
        <f>+VLOOKUP($A31&amp;$A$25&amp;$B$25,REPORT_raw_dataseen!$A$1:$P$721, MATCH(Referrals!G$6,REPORT_raw_dataseen!$D$1:$O$1,1)+3,FALSE)</f>
        <v>83</v>
      </c>
      <c r="H31" s="53">
        <f>+VLOOKUP($A31&amp;$A$25&amp;$B$25,REPORT_raw_dataseen!$A$1:$P$721, MATCH(Referrals!H$6,REPORT_raw_dataseen!$D$1:$O$1,1)+3,FALSE)</f>
        <v>74</v>
      </c>
      <c r="I31" s="53">
        <f>+VLOOKUP($A31&amp;$A$25&amp;$B$25,REPORT_raw_dataseen!$A$1:$P$721, MATCH(Referrals!I$6,REPORT_raw_dataseen!$D$1:$O$1,1)+3,FALSE)</f>
        <v>229</v>
      </c>
      <c r="J31" s="53">
        <f>+VLOOKUP($A31&amp;$A$25&amp;$B$25,REPORT_raw_dataseen!$A$1:$P$721, MATCH(Referrals!J$6,REPORT_raw_dataseen!$D$1:$O$1,1)+3,FALSE)</f>
        <v>236</v>
      </c>
      <c r="K31" s="53">
        <f>+VLOOKUP($A31&amp;$A$25&amp;$B$25,REPORT_raw_dataseen!$A$1:$P$721, MATCH(Referrals!K$6,REPORT_raw_dataseen!$D$1:$O$1,1)+3,FALSE)</f>
        <v>162</v>
      </c>
      <c r="L31" s="53">
        <f>+VLOOKUP($A31&amp;$A$25&amp;$B$25,REPORT_raw_dataseen!$A$1:$P$721, MATCH(Referrals!L$6,REPORT_raw_dataseen!$D$1:$O$1,1)+3,FALSE)</f>
        <v>211</v>
      </c>
      <c r="M31" s="53">
        <f>+VLOOKUP($A31&amp;$A$25&amp;$B$25,REPORT_raw_dataseen!$A$1:$S$721, MATCH(Referrals!M$6,REPORT_raw_dataseen!$D$1:$S$1,1)+3,FALSE)</f>
        <v>236</v>
      </c>
      <c r="N31" s="53">
        <f>+VLOOKUP($A31&amp;$A$25&amp;$B$25,REPORT_raw_dataseen!$A$1:$S$721, MATCH(Referrals!N$6,REPORT_raw_dataseen!$D$1:$S$1,1)+3,FALSE)</f>
        <v>453</v>
      </c>
      <c r="O31" s="53">
        <f>+VLOOKUP($A31&amp;$A$25&amp;$B$25,REPORT_raw_dataseen!$A$1:$S$721, MATCH(Referrals!O$6,REPORT_raw_dataseen!$D$1:$S$1,1)+3,FALSE)</f>
        <v>453</v>
      </c>
      <c r="P31" s="53">
        <f>+VLOOKUP($A31&amp;$A$25&amp;$B$25,REPORT_raw_dataseen!$A$1:$S$721, MATCH(Referrals!P$6,REPORT_raw_dataseen!$D$1:$S$1,1)+3,FALSE)</f>
        <v>451</v>
      </c>
    </row>
    <row r="32" spans="1:16">
      <c r="A32" s="50" t="s">
        <v>160</v>
      </c>
      <c r="B32" s="53">
        <f>+VLOOKUP($A32&amp;$A$25&amp;$B$25,REPORT_raw_dataseen!$A$1:$P$721, MATCH(Referrals!B$6,REPORT_raw_dataseen!$D$1:$O$1,1)+3,FALSE)</f>
        <v>44</v>
      </c>
      <c r="C32" s="53">
        <f>+VLOOKUP($A32&amp;$A$25&amp;$B$25,REPORT_raw_dataseen!$A$1:$P$721, MATCH(Referrals!C$6,REPORT_raw_dataseen!$D$1:$O$1,1)+3,FALSE)</f>
        <v>25</v>
      </c>
      <c r="D32" s="53">
        <f>+VLOOKUP($A32&amp;$A$25&amp;$B$25,REPORT_raw_dataseen!$A$1:$P$721, MATCH(Referrals!D$6,REPORT_raw_dataseen!$D$1:$O$1,1)+3,FALSE)</f>
        <v>43</v>
      </c>
      <c r="E32" s="53">
        <f>+VLOOKUP($A32&amp;$A$25&amp;$B$25,REPORT_raw_dataseen!$A$1:$P$721, MATCH(Referrals!E$6,REPORT_raw_dataseen!$D$1:$O$1,1)+3,FALSE)</f>
        <v>100</v>
      </c>
      <c r="F32" s="53">
        <f>+VLOOKUP($A32&amp;$A$25&amp;$B$25,REPORT_raw_dataseen!$A$1:$P$721, MATCH(Referrals!F$6,REPORT_raw_dataseen!$D$1:$O$1,1)+3,FALSE)</f>
        <v>113</v>
      </c>
      <c r="G32" s="53">
        <f>+VLOOKUP($A32&amp;$A$25&amp;$B$25,REPORT_raw_dataseen!$A$1:$P$721, MATCH(Referrals!G$6,REPORT_raw_dataseen!$D$1:$O$1,1)+3,FALSE)</f>
        <v>244</v>
      </c>
      <c r="H32" s="53">
        <f>+VLOOKUP($A32&amp;$A$25&amp;$B$25,REPORT_raw_dataseen!$A$1:$P$721, MATCH(Referrals!H$6,REPORT_raw_dataseen!$D$1:$O$1,1)+3,FALSE)</f>
        <v>249</v>
      </c>
      <c r="I32" s="53">
        <f>+VLOOKUP($A32&amp;$A$25&amp;$B$25,REPORT_raw_dataseen!$A$1:$P$721, MATCH(Referrals!I$6,REPORT_raw_dataseen!$D$1:$O$1,1)+3,FALSE)</f>
        <v>268</v>
      </c>
      <c r="J32" s="53">
        <f>+VLOOKUP($A32&amp;$A$25&amp;$B$25,REPORT_raw_dataseen!$A$1:$P$721, MATCH(Referrals!J$6,REPORT_raw_dataseen!$D$1:$O$1,1)+3,FALSE)</f>
        <v>272</v>
      </c>
      <c r="K32" s="53">
        <f>+VLOOKUP($A32&amp;$A$25&amp;$B$25,REPORT_raw_dataseen!$A$1:$P$721, MATCH(Referrals!K$6,REPORT_raw_dataseen!$D$1:$O$1,1)+3,FALSE)</f>
        <v>244</v>
      </c>
      <c r="L32" s="53">
        <f>+VLOOKUP($A32&amp;$A$25&amp;$B$25,REPORT_raw_dataseen!$A$1:$P$721, MATCH(Referrals!L$6,REPORT_raw_dataseen!$D$1:$O$1,1)+3,FALSE)</f>
        <v>215</v>
      </c>
      <c r="M32" s="53">
        <f>+VLOOKUP($A32&amp;$A$25&amp;$B$25,REPORT_raw_dataseen!$A$1:$S$721, MATCH(Referrals!M$6,REPORT_raw_dataseen!$D$1:$S$1,1)+3,FALSE)</f>
        <v>279</v>
      </c>
      <c r="N32" s="53">
        <f>+VLOOKUP($A32&amp;$A$25&amp;$B$25,REPORT_raw_dataseen!$A$1:$S$721, MATCH(Referrals!N$6,REPORT_raw_dataseen!$D$1:$S$1,1)+3,FALSE)</f>
        <v>332</v>
      </c>
      <c r="O32" s="53">
        <f>+VLOOKUP($A32&amp;$A$25&amp;$B$25,REPORT_raw_dataseen!$A$1:$S$721, MATCH(Referrals!O$6,REPORT_raw_dataseen!$D$1:$S$1,1)+3,FALSE)</f>
        <v>274</v>
      </c>
      <c r="P32" s="53">
        <f>+VLOOKUP($A32&amp;$A$25&amp;$B$25,REPORT_raw_dataseen!$A$1:$S$721, MATCH(Referrals!P$6,REPORT_raw_dataseen!$D$1:$S$1,1)+3,FALSE)</f>
        <v>361</v>
      </c>
    </row>
    <row r="33" spans="1:16">
      <c r="A33" s="50" t="s">
        <v>138</v>
      </c>
      <c r="B33" s="53">
        <f>+VLOOKUP($A33&amp;$A$25&amp;$B$25,REPORT_raw_dataseen!$A$1:$P$721, MATCH(Referrals!B$6,REPORT_raw_dataseen!$D$1:$O$1,1)+3,FALSE)</f>
        <v>151</v>
      </c>
      <c r="C33" s="53">
        <f>+VLOOKUP($A33&amp;$A$25&amp;$B$25,REPORT_raw_dataseen!$A$1:$P$721, MATCH(Referrals!C$6,REPORT_raw_dataseen!$D$1:$O$1,1)+3,FALSE)</f>
        <v>179</v>
      </c>
      <c r="D33" s="53">
        <f>+VLOOKUP($A33&amp;$A$25&amp;$B$25,REPORT_raw_dataseen!$A$1:$P$721, MATCH(Referrals!D$6,REPORT_raw_dataseen!$D$1:$O$1,1)+3,FALSE)</f>
        <v>303</v>
      </c>
      <c r="E33" s="53">
        <f>+VLOOKUP($A33&amp;$A$25&amp;$B$25,REPORT_raw_dataseen!$A$1:$P$721, MATCH(Referrals!E$6,REPORT_raw_dataseen!$D$1:$O$1,1)+3,FALSE)</f>
        <v>426</v>
      </c>
      <c r="F33" s="53">
        <f>+VLOOKUP($A33&amp;$A$25&amp;$B$25,REPORT_raw_dataseen!$A$1:$P$721, MATCH(Referrals!F$6,REPORT_raw_dataseen!$D$1:$O$1,1)+3,FALSE)</f>
        <v>738</v>
      </c>
      <c r="G33" s="53">
        <f>+VLOOKUP($A33&amp;$A$25&amp;$B$25,REPORT_raw_dataseen!$A$1:$P$721, MATCH(Referrals!G$6,REPORT_raw_dataseen!$D$1:$O$1,1)+3,FALSE)</f>
        <v>744</v>
      </c>
      <c r="H33" s="53">
        <f>+VLOOKUP($A33&amp;$A$25&amp;$B$25,REPORT_raw_dataseen!$A$1:$P$721, MATCH(Referrals!H$6,REPORT_raw_dataseen!$D$1:$O$1,1)+3,FALSE)</f>
        <v>843</v>
      </c>
      <c r="I33" s="53">
        <f>+VLOOKUP($A33&amp;$A$25&amp;$B$25,REPORT_raw_dataseen!$A$1:$P$721, MATCH(Referrals!I$6,REPORT_raw_dataseen!$D$1:$O$1,1)+3,FALSE)</f>
        <v>905</v>
      </c>
      <c r="J33" s="53">
        <f>+VLOOKUP($A33&amp;$A$25&amp;$B$25,REPORT_raw_dataseen!$A$1:$P$721, MATCH(Referrals!J$6,REPORT_raw_dataseen!$D$1:$O$1,1)+3,FALSE)</f>
        <v>707</v>
      </c>
      <c r="K33" s="53">
        <f>+VLOOKUP($A33&amp;$A$25&amp;$B$25,REPORT_raw_dataseen!$A$1:$P$721, MATCH(Referrals!K$6,REPORT_raw_dataseen!$D$1:$O$1,1)+3,FALSE)</f>
        <v>595</v>
      </c>
      <c r="L33" s="53">
        <f>+VLOOKUP($A33&amp;$A$25&amp;$B$25,REPORT_raw_dataseen!$A$1:$P$721, MATCH(Referrals!L$6,REPORT_raw_dataseen!$D$1:$O$1,1)+3,FALSE)</f>
        <v>690</v>
      </c>
      <c r="M33" s="53">
        <f>+VLOOKUP($A33&amp;$A$25&amp;$B$25,REPORT_raw_dataseen!$A$1:$S$721, MATCH(Referrals!M$6,REPORT_raw_dataseen!$D$1:$S$1,1)+3,FALSE)</f>
        <v>938</v>
      </c>
      <c r="N33" s="53">
        <f>+VLOOKUP($A33&amp;$A$25&amp;$B$25,REPORT_raw_dataseen!$A$1:$S$721, MATCH(Referrals!N$6,REPORT_raw_dataseen!$D$1:$S$1,1)+3,FALSE)</f>
        <v>874</v>
      </c>
      <c r="O33" s="53">
        <f>+VLOOKUP($A33&amp;$A$25&amp;$B$25,REPORT_raw_dataseen!$A$1:$S$721, MATCH(Referrals!O$6,REPORT_raw_dataseen!$D$1:$S$1,1)+3,FALSE)</f>
        <v>914</v>
      </c>
      <c r="P33" s="53">
        <f>+VLOOKUP($A33&amp;$A$25&amp;$B$25,REPORT_raw_dataseen!$A$1:$S$721, MATCH(Referrals!P$6,REPORT_raw_dataseen!$D$1:$S$1,1)+3,FALSE)</f>
        <v>986</v>
      </c>
    </row>
    <row r="34" spans="1:16">
      <c r="A34" s="50" t="s">
        <v>139</v>
      </c>
      <c r="B34" s="53">
        <f>+VLOOKUP($A34&amp;$A$25&amp;$B$25,REPORT_raw_dataseen!$A$1:$P$721, MATCH(Referrals!B$6,REPORT_raw_dataseen!$D$1:$O$1,1)+3,FALSE)</f>
        <v>193</v>
      </c>
      <c r="C34" s="53">
        <f>+VLOOKUP($A34&amp;$A$25&amp;$B$25,REPORT_raw_dataseen!$A$1:$P$721, MATCH(Referrals!C$6,REPORT_raw_dataseen!$D$1:$O$1,1)+3,FALSE)</f>
        <v>246</v>
      </c>
      <c r="D34" s="53">
        <f>+VLOOKUP($A34&amp;$A$25&amp;$B$25,REPORT_raw_dataseen!$A$1:$P$721, MATCH(Referrals!D$6,REPORT_raw_dataseen!$D$1:$O$1,1)+3,FALSE)</f>
        <v>340</v>
      </c>
      <c r="E34" s="53">
        <f>+VLOOKUP($A34&amp;$A$25&amp;$B$25,REPORT_raw_dataseen!$A$1:$P$721, MATCH(Referrals!E$6,REPORT_raw_dataseen!$D$1:$O$1,1)+3,FALSE)</f>
        <v>361</v>
      </c>
      <c r="F34" s="53">
        <f>+VLOOKUP($A34&amp;$A$25&amp;$B$25,REPORT_raw_dataseen!$A$1:$P$721, MATCH(Referrals!F$6,REPORT_raw_dataseen!$D$1:$O$1,1)+3,FALSE)</f>
        <v>452</v>
      </c>
      <c r="G34" s="53">
        <f>+VLOOKUP($A34&amp;$A$25&amp;$B$25,REPORT_raw_dataseen!$A$1:$P$721, MATCH(Referrals!G$6,REPORT_raw_dataseen!$D$1:$O$1,1)+3,FALSE)</f>
        <v>474</v>
      </c>
      <c r="H34" s="53">
        <f>+VLOOKUP($A34&amp;$A$25&amp;$B$25,REPORT_raw_dataseen!$A$1:$P$721, MATCH(Referrals!H$6,REPORT_raw_dataseen!$D$1:$O$1,1)+3,FALSE)</f>
        <v>638</v>
      </c>
      <c r="I34" s="53">
        <f>+VLOOKUP($A34&amp;$A$25&amp;$B$25,REPORT_raw_dataseen!$A$1:$P$721, MATCH(Referrals!I$6,REPORT_raw_dataseen!$D$1:$O$1,1)+3,FALSE)</f>
        <v>605</v>
      </c>
      <c r="J34" s="53">
        <f>+VLOOKUP($A34&amp;$A$25&amp;$B$25,REPORT_raw_dataseen!$A$1:$P$721, MATCH(Referrals!J$6,REPORT_raw_dataseen!$D$1:$O$1,1)+3,FALSE)</f>
        <v>473</v>
      </c>
      <c r="K34" s="53">
        <f>+VLOOKUP($A34&amp;$A$25&amp;$B$25,REPORT_raw_dataseen!$A$1:$P$721, MATCH(Referrals!K$6,REPORT_raw_dataseen!$D$1:$O$1,1)+3,FALSE)</f>
        <v>469</v>
      </c>
      <c r="L34" s="53">
        <f>+VLOOKUP($A34&amp;$A$25&amp;$B$25,REPORT_raw_dataseen!$A$1:$P$721, MATCH(Referrals!L$6,REPORT_raw_dataseen!$D$1:$O$1,1)+3,FALSE)</f>
        <v>375</v>
      </c>
      <c r="M34" s="53">
        <f>+VLOOKUP($A34&amp;$A$25&amp;$B$25,REPORT_raw_dataseen!$A$1:$S$721, MATCH(Referrals!M$6,REPORT_raw_dataseen!$D$1:$S$1,1)+3,FALSE)</f>
        <v>466</v>
      </c>
      <c r="N34" s="53">
        <f>+VLOOKUP($A34&amp;$A$25&amp;$B$25,REPORT_raw_dataseen!$A$1:$S$721, MATCH(Referrals!N$6,REPORT_raw_dataseen!$D$1:$S$1,1)+3,FALSE)</f>
        <v>387</v>
      </c>
      <c r="O34" s="53">
        <f>+VLOOKUP($A34&amp;$A$25&amp;$B$25,REPORT_raw_dataseen!$A$1:$S$721, MATCH(Referrals!O$6,REPORT_raw_dataseen!$D$1:$S$1,1)+3,FALSE)</f>
        <v>398</v>
      </c>
      <c r="P34" s="53">
        <f>+VLOOKUP($A34&amp;$A$25&amp;$B$25,REPORT_raw_dataseen!$A$1:$S$721, MATCH(Referrals!P$6,REPORT_raw_dataseen!$D$1:$S$1,1)+3,FALSE)</f>
        <v>425</v>
      </c>
    </row>
    <row r="35" spans="1:16">
      <c r="A35" s="50" t="s">
        <v>140</v>
      </c>
      <c r="B35" s="53">
        <f>+VLOOKUP($A35&amp;$A$25&amp;$B$25,REPORT_raw_dataseen!$A$1:$P$721, MATCH(Referrals!B$6,REPORT_raw_dataseen!$D$1:$O$1,1)+3,FALSE)</f>
        <v>158</v>
      </c>
      <c r="C35" s="53">
        <f>+VLOOKUP($A35&amp;$A$25&amp;$B$25,REPORT_raw_dataseen!$A$1:$P$721, MATCH(Referrals!C$6,REPORT_raw_dataseen!$D$1:$O$1,1)+3,FALSE)</f>
        <v>325</v>
      </c>
      <c r="D35" s="53">
        <f>+VLOOKUP($A35&amp;$A$25&amp;$B$25,REPORT_raw_dataseen!$A$1:$P$721, MATCH(Referrals!D$6,REPORT_raw_dataseen!$D$1:$O$1,1)+3,FALSE)</f>
        <v>457</v>
      </c>
      <c r="E35" s="53">
        <f>+VLOOKUP($A35&amp;$A$25&amp;$B$25,REPORT_raw_dataseen!$A$1:$P$721, MATCH(Referrals!E$6,REPORT_raw_dataseen!$D$1:$O$1,1)+3,FALSE)</f>
        <v>488</v>
      </c>
      <c r="F35" s="53">
        <f>+VLOOKUP($A35&amp;$A$25&amp;$B$25,REPORT_raw_dataseen!$A$1:$P$721, MATCH(Referrals!F$6,REPORT_raw_dataseen!$D$1:$O$1,1)+3,FALSE)</f>
        <v>494</v>
      </c>
      <c r="G35" s="53">
        <f>+VLOOKUP($A35&amp;$A$25&amp;$B$25,REPORT_raw_dataseen!$A$1:$P$721, MATCH(Referrals!G$6,REPORT_raw_dataseen!$D$1:$O$1,1)+3,FALSE)</f>
        <v>588</v>
      </c>
      <c r="H35" s="53">
        <f>+VLOOKUP($A35&amp;$A$25&amp;$B$25,REPORT_raw_dataseen!$A$1:$P$721, MATCH(Referrals!H$6,REPORT_raw_dataseen!$D$1:$O$1,1)+3,FALSE)</f>
        <v>576</v>
      </c>
      <c r="I35" s="53">
        <f>+VLOOKUP($A35&amp;$A$25&amp;$B$25,REPORT_raw_dataseen!$A$1:$P$721, MATCH(Referrals!I$6,REPORT_raw_dataseen!$D$1:$O$1,1)+3,FALSE)</f>
        <v>744</v>
      </c>
      <c r="J35" s="53">
        <f>+VLOOKUP($A35&amp;$A$25&amp;$B$25,REPORT_raw_dataseen!$A$1:$P$721, MATCH(Referrals!J$6,REPORT_raw_dataseen!$D$1:$O$1,1)+3,FALSE)</f>
        <v>697</v>
      </c>
      <c r="K35" s="53">
        <f>+VLOOKUP($A35&amp;$A$25&amp;$B$25,REPORT_raw_dataseen!$A$1:$P$721, MATCH(Referrals!K$6,REPORT_raw_dataseen!$D$1:$O$1,1)+3,FALSE)</f>
        <v>535</v>
      </c>
      <c r="L35" s="53">
        <f>+VLOOKUP($A35&amp;$A$25&amp;$B$25,REPORT_raw_dataseen!$A$1:$P$721, MATCH(Referrals!L$6,REPORT_raw_dataseen!$D$1:$O$1,1)+3,FALSE)</f>
        <v>631</v>
      </c>
      <c r="M35" s="53">
        <f>+VLOOKUP($A35&amp;$A$25&amp;$B$25,REPORT_raw_dataseen!$A$1:$S$721, MATCH(Referrals!M$6,REPORT_raw_dataseen!$D$1:$S$1,1)+3,FALSE)</f>
        <v>848</v>
      </c>
      <c r="N35" s="53">
        <f>+VLOOKUP($A35&amp;$A$25&amp;$B$25,REPORT_raw_dataseen!$A$1:$S$721, MATCH(Referrals!N$6,REPORT_raw_dataseen!$D$1:$S$1,1)+3,FALSE)</f>
        <v>768</v>
      </c>
      <c r="O35" s="53">
        <f>+VLOOKUP($A35&amp;$A$25&amp;$B$25,REPORT_raw_dataseen!$A$1:$S$721, MATCH(Referrals!O$6,REPORT_raw_dataseen!$D$1:$S$1,1)+3,FALSE)</f>
        <v>935</v>
      </c>
      <c r="P35" s="53">
        <f>+VLOOKUP($A35&amp;$A$25&amp;$B$25,REPORT_raw_dataseen!$A$1:$S$721, MATCH(Referrals!P$6,REPORT_raw_dataseen!$D$1:$S$1,1)+3,FALSE)</f>
        <v>946</v>
      </c>
    </row>
    <row r="36" spans="1:16">
      <c r="A36" s="50" t="s">
        <v>141</v>
      </c>
      <c r="B36" s="53">
        <f>+VLOOKUP($A36&amp;$A$25&amp;$B$25,REPORT_raw_dataseen!$A$1:$P$721, MATCH(Referrals!B$6,REPORT_raw_dataseen!$D$1:$O$1,1)+3,FALSE)</f>
        <v>2464</v>
      </c>
      <c r="C36" s="53">
        <f>+VLOOKUP($A36&amp;$A$25&amp;$B$25,REPORT_raw_dataseen!$A$1:$P$721, MATCH(Referrals!C$6,REPORT_raw_dataseen!$D$1:$O$1,1)+3,FALSE)</f>
        <v>3460</v>
      </c>
      <c r="D36" s="53">
        <f>+VLOOKUP($A36&amp;$A$25&amp;$B$25,REPORT_raw_dataseen!$A$1:$P$721, MATCH(Referrals!D$6,REPORT_raw_dataseen!$D$1:$O$1,1)+3,FALSE)</f>
        <v>4717</v>
      </c>
      <c r="E36" s="53">
        <f>+VLOOKUP($A36&amp;$A$25&amp;$B$25,REPORT_raw_dataseen!$A$1:$P$721, MATCH(Referrals!E$6,REPORT_raw_dataseen!$D$1:$O$1,1)+3,FALSE)</f>
        <v>5331</v>
      </c>
      <c r="F36" s="53">
        <f>+VLOOKUP($A36&amp;$A$25&amp;$B$25,REPORT_raw_dataseen!$A$1:$P$721, MATCH(Referrals!F$6,REPORT_raw_dataseen!$D$1:$O$1,1)+3,FALSE)</f>
        <v>5623</v>
      </c>
      <c r="G36" s="53">
        <f>+VLOOKUP($A36&amp;$A$25&amp;$B$25,REPORT_raw_dataseen!$A$1:$P$721, MATCH(Referrals!G$6,REPORT_raw_dataseen!$D$1:$O$1,1)+3,FALSE)</f>
        <v>6142</v>
      </c>
      <c r="H36" s="53">
        <f>+VLOOKUP($A36&amp;$A$25&amp;$B$25,REPORT_raw_dataseen!$A$1:$P$721, MATCH(Referrals!H$6,REPORT_raw_dataseen!$D$1:$O$1,1)+3,FALSE)</f>
        <v>6272</v>
      </c>
      <c r="I36" s="53">
        <f>+VLOOKUP($A36&amp;$A$25&amp;$B$25,REPORT_raw_dataseen!$A$1:$P$721, MATCH(Referrals!I$6,REPORT_raw_dataseen!$D$1:$O$1,1)+3,FALSE)</f>
        <v>6205</v>
      </c>
      <c r="J36" s="53">
        <f>+VLOOKUP($A36&amp;$A$25&amp;$B$25,REPORT_raw_dataseen!$A$1:$P$721, MATCH(Referrals!J$6,REPORT_raw_dataseen!$D$1:$O$1,1)+3,FALSE)</f>
        <v>5974</v>
      </c>
      <c r="K36" s="53">
        <f>+VLOOKUP($A36&amp;$A$25&amp;$B$25,REPORT_raw_dataseen!$A$1:$P$721, MATCH(Referrals!K$6,REPORT_raw_dataseen!$D$1:$O$1,1)+3,FALSE)</f>
        <v>5777</v>
      </c>
      <c r="L36" s="53">
        <f>+VLOOKUP($A36&amp;$A$25&amp;$B$25,REPORT_raw_dataseen!$A$1:$P$721, MATCH(Referrals!L$6,REPORT_raw_dataseen!$D$1:$O$1,1)+3,FALSE)</f>
        <v>5224</v>
      </c>
      <c r="M36" s="53">
        <f>+VLOOKUP($A36&amp;$A$25&amp;$B$25,REPORT_raw_dataseen!$A$1:$S$721, MATCH(Referrals!M$6,REPORT_raw_dataseen!$D$1:$S$1,1)+3,FALSE)</f>
        <v>6777</v>
      </c>
      <c r="N36" s="53">
        <f>+VLOOKUP($A36&amp;$A$25&amp;$B$25,REPORT_raw_dataseen!$A$1:$S$721, MATCH(Referrals!N$6,REPORT_raw_dataseen!$D$1:$S$1,1)+3,FALSE)</f>
        <v>5917</v>
      </c>
      <c r="O36" s="53">
        <f>+VLOOKUP($A36&amp;$A$25&amp;$B$25,REPORT_raw_dataseen!$A$1:$S$721, MATCH(Referrals!O$6,REPORT_raw_dataseen!$D$1:$S$1,1)+3,FALSE)</f>
        <v>6187</v>
      </c>
      <c r="P36" s="53">
        <f>+VLOOKUP($A36&amp;$A$25&amp;$B$25,REPORT_raw_dataseen!$A$1:$S$721, MATCH(Referrals!P$6,REPORT_raw_dataseen!$D$1:$S$1,1)+3,FALSE)</f>
        <v>6556</v>
      </c>
    </row>
    <row r="37" spans="1:16">
      <c r="A37" s="50" t="s">
        <v>142</v>
      </c>
      <c r="B37" s="53">
        <f>+VLOOKUP($A37&amp;$A$25&amp;$B$25,REPORT_raw_dataseen!$A$1:$P$721, MATCH(Referrals!B$6,REPORT_raw_dataseen!$D$1:$O$1,1)+3,FALSE)</f>
        <v>168</v>
      </c>
      <c r="C37" s="53">
        <f>+VLOOKUP($A37&amp;$A$25&amp;$B$25,REPORT_raw_dataseen!$A$1:$P$721, MATCH(Referrals!C$6,REPORT_raw_dataseen!$D$1:$O$1,1)+3,FALSE)</f>
        <v>145</v>
      </c>
      <c r="D37" s="53">
        <f>+VLOOKUP($A37&amp;$A$25&amp;$B$25,REPORT_raw_dataseen!$A$1:$P$721, MATCH(Referrals!D$6,REPORT_raw_dataseen!$D$1:$O$1,1)+3,FALSE)</f>
        <v>272</v>
      </c>
      <c r="E37" s="53">
        <f>+VLOOKUP($A37&amp;$A$25&amp;$B$25,REPORT_raw_dataseen!$A$1:$P$721, MATCH(Referrals!E$6,REPORT_raw_dataseen!$D$1:$O$1,1)+3,FALSE)</f>
        <v>298</v>
      </c>
      <c r="F37" s="53">
        <f>+VLOOKUP($A37&amp;$A$25&amp;$B$25,REPORT_raw_dataseen!$A$1:$P$721, MATCH(Referrals!F$6,REPORT_raw_dataseen!$D$1:$O$1,1)+3,FALSE)</f>
        <v>295</v>
      </c>
      <c r="G37" s="53">
        <f>+VLOOKUP($A37&amp;$A$25&amp;$B$25,REPORT_raw_dataseen!$A$1:$P$721, MATCH(Referrals!G$6,REPORT_raw_dataseen!$D$1:$O$1,1)+3,FALSE)</f>
        <v>272</v>
      </c>
      <c r="H37" s="53">
        <f>+VLOOKUP($A37&amp;$A$25&amp;$B$25,REPORT_raw_dataseen!$A$1:$P$721, MATCH(Referrals!H$6,REPORT_raw_dataseen!$D$1:$O$1,1)+3,FALSE)</f>
        <v>218</v>
      </c>
      <c r="I37" s="53">
        <f>+VLOOKUP($A37&amp;$A$25&amp;$B$25,REPORT_raw_dataseen!$A$1:$P$721, MATCH(Referrals!I$6,REPORT_raw_dataseen!$D$1:$O$1,1)+3,FALSE)</f>
        <v>342</v>
      </c>
      <c r="J37" s="53">
        <f>+VLOOKUP($A37&amp;$A$25&amp;$B$25,REPORT_raw_dataseen!$A$1:$P$721, MATCH(Referrals!J$6,REPORT_raw_dataseen!$D$1:$O$1,1)+3,FALSE)</f>
        <v>237</v>
      </c>
      <c r="K37" s="53">
        <f>+VLOOKUP($A37&amp;$A$25&amp;$B$25,REPORT_raw_dataseen!$A$1:$P$721, MATCH(Referrals!K$6,REPORT_raw_dataseen!$D$1:$O$1,1)+3,FALSE)</f>
        <v>255</v>
      </c>
      <c r="L37" s="53">
        <f>+VLOOKUP($A37&amp;$A$25&amp;$B$25,REPORT_raw_dataseen!$A$1:$P$721, MATCH(Referrals!L$6,REPORT_raw_dataseen!$D$1:$O$1,1)+3,FALSE)</f>
        <v>291</v>
      </c>
      <c r="M37" s="53">
        <f>+VLOOKUP($A37&amp;$A$25&amp;$B$25,REPORT_raw_dataseen!$A$1:$S$721, MATCH(Referrals!M$6,REPORT_raw_dataseen!$D$1:$S$1,1)+3,FALSE)</f>
        <v>492</v>
      </c>
      <c r="N37" s="53">
        <f>+VLOOKUP($A37&amp;$A$25&amp;$B$25,REPORT_raw_dataseen!$A$1:$S$721, MATCH(Referrals!N$6,REPORT_raw_dataseen!$D$1:$S$1,1)+3,FALSE)</f>
        <v>557</v>
      </c>
      <c r="O37" s="53">
        <f>+VLOOKUP($A37&amp;$A$25&amp;$B$25,REPORT_raw_dataseen!$A$1:$S$721, MATCH(Referrals!O$6,REPORT_raw_dataseen!$D$1:$S$1,1)+3,FALSE)</f>
        <v>540</v>
      </c>
      <c r="P37" s="53">
        <f>+VLOOKUP($A37&amp;$A$25&amp;$B$25,REPORT_raw_dataseen!$A$1:$S$721, MATCH(Referrals!P$6,REPORT_raw_dataseen!$D$1:$S$1,1)+3,FALSE)</f>
        <v>684</v>
      </c>
    </row>
    <row r="38" spans="1:16">
      <c r="A38" s="50" t="s">
        <v>192</v>
      </c>
      <c r="B38" s="53">
        <f>+VLOOKUP($A38&amp;$A$25&amp;$B$25,REPORT_raw_dataseen!$A$1:$P$721, MATCH(Referrals!B$6,REPORT_raw_dataseen!$D$1:$O$1,1)+3,FALSE)</f>
        <v>330</v>
      </c>
      <c r="C38" s="53">
        <f>+VLOOKUP($A38&amp;$A$25&amp;$B$25,REPORT_raw_dataseen!$A$1:$P$721, MATCH(Referrals!C$6,REPORT_raw_dataseen!$D$1:$O$1,1)+3,FALSE)</f>
        <v>566</v>
      </c>
      <c r="D38" s="53">
        <f>+VLOOKUP($A38&amp;$A$25&amp;$B$25,REPORT_raw_dataseen!$A$1:$P$721, MATCH(Referrals!D$6,REPORT_raw_dataseen!$D$1:$O$1,1)+3,FALSE)</f>
        <v>715</v>
      </c>
      <c r="E38" s="53">
        <f>+VLOOKUP($A38&amp;$A$25&amp;$B$25,REPORT_raw_dataseen!$A$1:$P$721, MATCH(Referrals!E$6,REPORT_raw_dataseen!$D$1:$O$1,1)+3,FALSE)</f>
        <v>834</v>
      </c>
      <c r="F38" s="53">
        <f>+VLOOKUP($A38&amp;$A$25&amp;$B$25,REPORT_raw_dataseen!$A$1:$P$721, MATCH(Referrals!F$6,REPORT_raw_dataseen!$D$1:$O$1,1)+3,FALSE)</f>
        <v>963</v>
      </c>
      <c r="G38" s="53">
        <f>+VLOOKUP($A38&amp;$A$25&amp;$B$25,REPORT_raw_dataseen!$A$1:$P$721, MATCH(Referrals!G$6,REPORT_raw_dataseen!$D$1:$O$1,1)+3,FALSE)</f>
        <v>1051</v>
      </c>
      <c r="H38" s="53">
        <f>+VLOOKUP($A38&amp;$A$25&amp;$B$25,REPORT_raw_dataseen!$A$1:$P$721, MATCH(Referrals!H$6,REPORT_raw_dataseen!$D$1:$O$1,1)+3,FALSE)</f>
        <v>960</v>
      </c>
      <c r="I38" s="53">
        <f>+VLOOKUP($A38&amp;$A$25&amp;$B$25,REPORT_raw_dataseen!$A$1:$P$721, MATCH(Referrals!I$6,REPORT_raw_dataseen!$D$1:$O$1,1)+3,FALSE)</f>
        <v>1201</v>
      </c>
      <c r="J38" s="53">
        <f>+VLOOKUP($A38&amp;$A$25&amp;$B$25,REPORT_raw_dataseen!$A$1:$P$721, MATCH(Referrals!J$6,REPORT_raw_dataseen!$D$1:$O$1,1)+3,FALSE)</f>
        <v>1050</v>
      </c>
      <c r="K38" s="53">
        <f>+VLOOKUP($A38&amp;$A$25&amp;$B$25,REPORT_raw_dataseen!$A$1:$P$721, MATCH(Referrals!K$6,REPORT_raw_dataseen!$D$1:$O$1,1)+3,FALSE)</f>
        <v>926</v>
      </c>
      <c r="L38" s="53">
        <f>+VLOOKUP($A38&amp;$A$25&amp;$B$25,REPORT_raw_dataseen!$A$1:$P$721, MATCH(Referrals!L$6,REPORT_raw_dataseen!$D$1:$O$1,1)+3,FALSE)</f>
        <v>995</v>
      </c>
      <c r="M38" s="53">
        <f>+VLOOKUP($A38&amp;$A$25&amp;$B$25,REPORT_raw_dataseen!$A$1:$S$721, MATCH(Referrals!M$6,REPORT_raw_dataseen!$D$1:$S$1,1)+3,FALSE)</f>
        <v>1242</v>
      </c>
      <c r="N38" s="53">
        <f>+VLOOKUP($A38&amp;$A$25&amp;$B$25,REPORT_raw_dataseen!$A$1:$S$721, MATCH(Referrals!N$6,REPORT_raw_dataseen!$D$1:$S$1,1)+3,FALSE)</f>
        <v>1251</v>
      </c>
      <c r="O38" s="53">
        <f>+VLOOKUP($A38&amp;$A$25&amp;$B$25,REPORT_raw_dataseen!$A$1:$S$721, MATCH(Referrals!O$6,REPORT_raw_dataseen!$D$1:$S$1,1)+3,FALSE)</f>
        <v>1292</v>
      </c>
      <c r="P38" s="53">
        <f>+VLOOKUP($A38&amp;$A$25&amp;$B$25,REPORT_raw_dataseen!$A$1:$S$721, MATCH(Referrals!P$6,REPORT_raw_dataseen!$D$1:$S$1,1)+3,FALSE)</f>
        <v>1224</v>
      </c>
    </row>
    <row r="39" spans="1:16">
      <c r="A39" s="50" t="s">
        <v>143</v>
      </c>
      <c r="B39" s="53">
        <f>+VLOOKUP($A39&amp;$A$25&amp;$B$25,REPORT_raw_dataseen!$A$1:$P$721, MATCH(Referrals!B$6,REPORT_raw_dataseen!$D$1:$O$1,1)+3,FALSE)</f>
        <v>1573</v>
      </c>
      <c r="C39" s="53">
        <f>+VLOOKUP($A39&amp;$A$25&amp;$B$25,REPORT_raw_dataseen!$A$1:$P$721, MATCH(Referrals!C$6,REPORT_raw_dataseen!$D$1:$O$1,1)+3,FALSE)</f>
        <v>967</v>
      </c>
      <c r="D39" s="53">
        <f>+VLOOKUP($A39&amp;$A$25&amp;$B$25,REPORT_raw_dataseen!$A$1:$P$721, MATCH(Referrals!D$6,REPORT_raw_dataseen!$D$1:$O$1,1)+3,FALSE)</f>
        <v>1255</v>
      </c>
      <c r="E39" s="53">
        <f>+VLOOKUP($A39&amp;$A$25&amp;$B$25,REPORT_raw_dataseen!$A$1:$P$721, MATCH(Referrals!E$6,REPORT_raw_dataseen!$D$1:$O$1,1)+3,FALSE)</f>
        <v>1296</v>
      </c>
      <c r="F39" s="53">
        <f>+VLOOKUP($A39&amp;$A$25&amp;$B$25,REPORT_raw_dataseen!$A$1:$P$721, MATCH(Referrals!F$6,REPORT_raw_dataseen!$D$1:$O$1,1)+3,FALSE)</f>
        <v>1280</v>
      </c>
      <c r="G39" s="53">
        <f>+VLOOKUP($A39&amp;$A$25&amp;$B$25,REPORT_raw_dataseen!$A$1:$P$721, MATCH(Referrals!G$6,REPORT_raw_dataseen!$D$1:$O$1,1)+3,FALSE)</f>
        <v>1343</v>
      </c>
      <c r="H39" s="53">
        <f>+VLOOKUP($A39&amp;$A$25&amp;$B$25,REPORT_raw_dataseen!$A$1:$P$721, MATCH(Referrals!H$6,REPORT_raw_dataseen!$D$1:$O$1,1)+3,FALSE)</f>
        <v>1704</v>
      </c>
      <c r="I39" s="53">
        <f>+VLOOKUP($A39&amp;$A$25&amp;$B$25,REPORT_raw_dataseen!$A$1:$P$721, MATCH(Referrals!I$6,REPORT_raw_dataseen!$D$1:$O$1,1)+3,FALSE)</f>
        <v>1575</v>
      </c>
      <c r="J39" s="53">
        <f>+VLOOKUP($A39&amp;$A$25&amp;$B$25,REPORT_raw_dataseen!$A$1:$P$721, MATCH(Referrals!J$6,REPORT_raw_dataseen!$D$1:$O$1,1)+3,FALSE)</f>
        <v>1322</v>
      </c>
      <c r="K39" s="53">
        <f>+VLOOKUP($A39&amp;$A$25&amp;$B$25,REPORT_raw_dataseen!$A$1:$P$721, MATCH(Referrals!K$6,REPORT_raw_dataseen!$D$1:$O$1,1)+3,FALSE)</f>
        <v>1289</v>
      </c>
      <c r="L39" s="53">
        <f>+VLOOKUP($A39&amp;$A$25&amp;$B$25,REPORT_raw_dataseen!$A$1:$P$721, MATCH(Referrals!L$6,REPORT_raw_dataseen!$D$1:$O$1,1)+3,FALSE)</f>
        <v>1440</v>
      </c>
      <c r="M39" s="53">
        <f>+VLOOKUP($A39&amp;$A$25&amp;$B$25,REPORT_raw_dataseen!$A$1:$S$721, MATCH(Referrals!M$6,REPORT_raw_dataseen!$D$1:$S$1,1)+3,FALSE)</f>
        <v>1844</v>
      </c>
      <c r="N39" s="53">
        <f>+VLOOKUP($A39&amp;$A$25&amp;$B$25,REPORT_raw_dataseen!$A$1:$S$721, MATCH(Referrals!N$6,REPORT_raw_dataseen!$D$1:$S$1,1)+3,FALSE)</f>
        <v>1592</v>
      </c>
      <c r="O39" s="53">
        <f>+VLOOKUP($A39&amp;$A$25&amp;$B$25,REPORT_raw_dataseen!$A$1:$S$721, MATCH(Referrals!O$6,REPORT_raw_dataseen!$D$1:$S$1,1)+3,FALSE)</f>
        <v>1521</v>
      </c>
      <c r="P39" s="53">
        <f>+VLOOKUP($A39&amp;$A$25&amp;$B$25,REPORT_raw_dataseen!$A$1:$S$721, MATCH(Referrals!P$6,REPORT_raw_dataseen!$D$1:$S$1,1)+3,FALSE)</f>
        <v>1562</v>
      </c>
    </row>
    <row r="40" spans="1:16">
      <c r="A40" s="50" t="s">
        <v>144</v>
      </c>
      <c r="B40" s="53">
        <f>+VLOOKUP($A40&amp;$A$25&amp;$B$25,REPORT_raw_dataseen!$A$1:$P$721, MATCH(Referrals!B$6,REPORT_raw_dataseen!$D$1:$O$1,1)+3,FALSE)</f>
        <v>1</v>
      </c>
      <c r="C40" s="53">
        <f>+VLOOKUP($A40&amp;$A$25&amp;$B$25,REPORT_raw_dataseen!$A$1:$P$721, MATCH(Referrals!C$6,REPORT_raw_dataseen!$D$1:$O$1,1)+3,FALSE)</f>
        <v>9</v>
      </c>
      <c r="D40" s="53">
        <f>+VLOOKUP($A40&amp;$A$25&amp;$B$25,REPORT_raw_dataseen!$A$1:$P$721, MATCH(Referrals!D$6,REPORT_raw_dataseen!$D$1:$O$1,1)+3,FALSE)</f>
        <v>9</v>
      </c>
      <c r="E40" s="53">
        <f>+VLOOKUP($A40&amp;$A$25&amp;$B$25,REPORT_raw_dataseen!$A$1:$P$721, MATCH(Referrals!E$6,REPORT_raw_dataseen!$D$1:$O$1,1)+3,FALSE)</f>
        <v>12</v>
      </c>
      <c r="F40" s="53">
        <f>+VLOOKUP($A40&amp;$A$25&amp;$B$25,REPORT_raw_dataseen!$A$1:$P$721, MATCH(Referrals!F$6,REPORT_raw_dataseen!$D$1:$O$1,1)+3,FALSE)</f>
        <v>9</v>
      </c>
      <c r="G40" s="53">
        <f>+VLOOKUP($A40&amp;$A$25&amp;$B$25,REPORT_raw_dataseen!$A$1:$P$721, MATCH(Referrals!G$6,REPORT_raw_dataseen!$D$1:$O$1,1)+3,FALSE)</f>
        <v>11</v>
      </c>
      <c r="H40" s="53">
        <f>+VLOOKUP($A40&amp;$A$25&amp;$B$25,REPORT_raw_dataseen!$A$1:$P$721, MATCH(Referrals!H$6,REPORT_raw_dataseen!$D$1:$O$1,1)+3,FALSE)</f>
        <v>16</v>
      </c>
      <c r="I40" s="53">
        <f>+VLOOKUP($A40&amp;$A$25&amp;$B$25,REPORT_raw_dataseen!$A$1:$P$721, MATCH(Referrals!I$6,REPORT_raw_dataseen!$D$1:$O$1,1)+3,FALSE)</f>
        <v>14</v>
      </c>
      <c r="J40" s="53">
        <f>+VLOOKUP($A40&amp;$A$25&amp;$B$25,REPORT_raw_dataseen!$A$1:$P$721, MATCH(Referrals!J$6,REPORT_raw_dataseen!$D$1:$O$1,1)+3,FALSE)</f>
        <v>11</v>
      </c>
      <c r="K40" s="53">
        <f>+VLOOKUP($A40&amp;$A$25&amp;$B$25,REPORT_raw_dataseen!$A$1:$P$721, MATCH(Referrals!K$6,REPORT_raw_dataseen!$D$1:$O$1,1)+3,FALSE)</f>
        <v>5</v>
      </c>
      <c r="L40" s="53">
        <f>+VLOOKUP($A40&amp;$A$25&amp;$B$25,REPORT_raw_dataseen!$A$1:$P$721, MATCH(Referrals!L$6,REPORT_raw_dataseen!$D$1:$O$1,1)+3,FALSE)</f>
        <v>12</v>
      </c>
      <c r="M40" s="53">
        <f>+VLOOKUP($A40&amp;$A$25&amp;$B$25,REPORT_raw_dataseen!$A$1:$S$721, MATCH(Referrals!M$6,REPORT_raw_dataseen!$D$1:$S$1,1)+3,FALSE)</f>
        <v>16</v>
      </c>
      <c r="N40" s="53">
        <f>+VLOOKUP($A40&amp;$A$25&amp;$B$25,REPORT_raw_dataseen!$A$1:$S$721, MATCH(Referrals!N$6,REPORT_raw_dataseen!$D$1:$S$1,1)+3,FALSE)</f>
        <v>17</v>
      </c>
      <c r="O40" s="53">
        <f>+VLOOKUP($A40&amp;$A$25&amp;$B$25,REPORT_raw_dataseen!$A$1:$S$721, MATCH(Referrals!O$6,REPORT_raw_dataseen!$D$1:$S$1,1)+3,FALSE)</f>
        <v>13</v>
      </c>
      <c r="P40" s="53">
        <f>+VLOOKUP($A40&amp;$A$25&amp;$B$25,REPORT_raw_dataseen!$A$1:$S$721, MATCH(Referrals!P$6,REPORT_raw_dataseen!$D$1:$S$1,1)+3,FALSE)</f>
        <v>16</v>
      </c>
    </row>
    <row r="41" spans="1:16">
      <c r="A41" s="50" t="s">
        <v>145</v>
      </c>
      <c r="B41" s="53">
        <f>+VLOOKUP($A41&amp;$A$25&amp;$B$25,REPORT_raw_dataseen!$A$1:$P$721, MATCH(Referrals!B$6,REPORT_raw_dataseen!$D$1:$O$1,1)+3,FALSE)</f>
        <v>0</v>
      </c>
      <c r="C41" s="53">
        <f>+VLOOKUP($A41&amp;$A$25&amp;$B$25,REPORT_raw_dataseen!$A$1:$P$721, MATCH(Referrals!C$6,REPORT_raw_dataseen!$D$1:$O$1,1)+3,FALSE)</f>
        <v>8</v>
      </c>
      <c r="D41" s="53">
        <f>+VLOOKUP($A41&amp;$A$25&amp;$B$25,REPORT_raw_dataseen!$A$1:$P$721, MATCH(Referrals!D$6,REPORT_raw_dataseen!$D$1:$O$1,1)+3,FALSE)</f>
        <v>16</v>
      </c>
      <c r="E41" s="53">
        <f>+VLOOKUP($A41&amp;$A$25&amp;$B$25,REPORT_raw_dataseen!$A$1:$P$721, MATCH(Referrals!E$6,REPORT_raw_dataseen!$D$1:$O$1,1)+3,FALSE)</f>
        <v>6</v>
      </c>
      <c r="F41" s="53">
        <f>+VLOOKUP($A41&amp;$A$25&amp;$B$25,REPORT_raw_dataseen!$A$1:$P$721, MATCH(Referrals!F$6,REPORT_raw_dataseen!$D$1:$O$1,1)+3,FALSE)</f>
        <v>13</v>
      </c>
      <c r="G41" s="53">
        <f>+VLOOKUP($A41&amp;$A$25&amp;$B$25,REPORT_raw_dataseen!$A$1:$P$721, MATCH(Referrals!G$6,REPORT_raw_dataseen!$D$1:$O$1,1)+3,FALSE)</f>
        <v>49</v>
      </c>
      <c r="H41" s="53">
        <f>+VLOOKUP($A41&amp;$A$25&amp;$B$25,REPORT_raw_dataseen!$A$1:$P$721, MATCH(Referrals!H$6,REPORT_raw_dataseen!$D$1:$O$1,1)+3,FALSE)</f>
        <v>34</v>
      </c>
      <c r="I41" s="53">
        <f>+VLOOKUP($A41&amp;$A$25&amp;$B$25,REPORT_raw_dataseen!$A$1:$P$721, MATCH(Referrals!I$6,REPORT_raw_dataseen!$D$1:$O$1,1)+3,FALSE)</f>
        <v>21</v>
      </c>
      <c r="J41" s="53">
        <f>+VLOOKUP($A41&amp;$A$25&amp;$B$25,REPORT_raw_dataseen!$A$1:$P$721, MATCH(Referrals!J$6,REPORT_raw_dataseen!$D$1:$O$1,1)+3,FALSE)</f>
        <v>38</v>
      </c>
      <c r="K41" s="53">
        <f>+VLOOKUP($A41&amp;$A$25&amp;$B$25,REPORT_raw_dataseen!$A$1:$P$721, MATCH(Referrals!K$6,REPORT_raw_dataseen!$D$1:$O$1,1)+3,FALSE)</f>
        <v>29</v>
      </c>
      <c r="L41" s="53">
        <f>+VLOOKUP($A41&amp;$A$25&amp;$B$25,REPORT_raw_dataseen!$A$1:$P$721, MATCH(Referrals!L$6,REPORT_raw_dataseen!$D$1:$O$1,1)+3,FALSE)</f>
        <v>31</v>
      </c>
      <c r="M41" s="53">
        <f>+VLOOKUP($A41&amp;$A$25&amp;$B$25,REPORT_raw_dataseen!$A$1:$S$721, MATCH(Referrals!M$6,REPORT_raw_dataseen!$D$1:$S$1,1)+3,FALSE)</f>
        <v>42</v>
      </c>
      <c r="N41" s="53">
        <f>+VLOOKUP($A41&amp;$A$25&amp;$B$25,REPORT_raw_dataseen!$A$1:$S$721, MATCH(Referrals!N$6,REPORT_raw_dataseen!$D$1:$S$1,1)+3,FALSE)</f>
        <v>37</v>
      </c>
      <c r="O41" s="53">
        <f>+VLOOKUP($A41&amp;$A$25&amp;$B$25,REPORT_raw_dataseen!$A$1:$S$721, MATCH(Referrals!O$6,REPORT_raw_dataseen!$D$1:$S$1,1)+3,FALSE)</f>
        <v>35</v>
      </c>
      <c r="P41" s="53">
        <f>+VLOOKUP($A41&amp;$A$25&amp;$B$25,REPORT_raw_dataseen!$A$1:$S$721, MATCH(Referrals!P$6,REPORT_raw_dataseen!$D$1:$S$1,1)+3,FALSE)</f>
        <v>34</v>
      </c>
    </row>
    <row r="42" spans="1:16">
      <c r="A42" s="50" t="s">
        <v>146</v>
      </c>
      <c r="B42" s="53">
        <f>+VLOOKUP($A42&amp;$A$25&amp;$B$25,REPORT_raw_dataseen!$A$1:$P$721, MATCH(Referrals!B$6,REPORT_raw_dataseen!$D$1:$O$1,1)+3,FALSE)</f>
        <v>305</v>
      </c>
      <c r="C42" s="53">
        <f>+VLOOKUP($A42&amp;$A$25&amp;$B$25,REPORT_raw_dataseen!$A$1:$P$721, MATCH(Referrals!C$6,REPORT_raw_dataseen!$D$1:$O$1,1)+3,FALSE)</f>
        <v>365</v>
      </c>
      <c r="D42" s="53">
        <f>+VLOOKUP($A42&amp;$A$25&amp;$B$25,REPORT_raw_dataseen!$A$1:$P$721, MATCH(Referrals!D$6,REPORT_raw_dataseen!$D$1:$O$1,1)+3,FALSE)</f>
        <v>435</v>
      </c>
      <c r="E42" s="53">
        <f>+VLOOKUP($A42&amp;$A$25&amp;$B$25,REPORT_raw_dataseen!$A$1:$P$721, MATCH(Referrals!E$6,REPORT_raw_dataseen!$D$1:$O$1,1)+3,FALSE)</f>
        <v>574</v>
      </c>
      <c r="F42" s="53">
        <f>+VLOOKUP($A42&amp;$A$25&amp;$B$25,REPORT_raw_dataseen!$A$1:$P$721, MATCH(Referrals!F$6,REPORT_raw_dataseen!$D$1:$O$1,1)+3,FALSE)</f>
        <v>553</v>
      </c>
      <c r="G42" s="53">
        <f>+VLOOKUP($A42&amp;$A$25&amp;$B$25,REPORT_raw_dataseen!$A$1:$P$721, MATCH(Referrals!G$6,REPORT_raw_dataseen!$D$1:$O$1,1)+3,FALSE)</f>
        <v>594</v>
      </c>
      <c r="H42" s="53">
        <f>+VLOOKUP($A42&amp;$A$25&amp;$B$25,REPORT_raw_dataseen!$A$1:$P$721, MATCH(Referrals!H$6,REPORT_raw_dataseen!$D$1:$O$1,1)+3,FALSE)</f>
        <v>597</v>
      </c>
      <c r="I42" s="53">
        <f>+VLOOKUP($A42&amp;$A$25&amp;$B$25,REPORT_raw_dataseen!$A$1:$P$721, MATCH(Referrals!I$6,REPORT_raw_dataseen!$D$1:$O$1,1)+3,FALSE)</f>
        <v>584</v>
      </c>
      <c r="J42" s="53">
        <f>+VLOOKUP($A42&amp;$A$25&amp;$B$25,REPORT_raw_dataseen!$A$1:$P$721, MATCH(Referrals!J$6,REPORT_raw_dataseen!$D$1:$O$1,1)+3,FALSE)</f>
        <v>477</v>
      </c>
      <c r="K42" s="53">
        <f>+VLOOKUP($A42&amp;$A$25&amp;$B$25,REPORT_raw_dataseen!$A$1:$P$721, MATCH(Referrals!K$6,REPORT_raw_dataseen!$D$1:$O$1,1)+3,FALSE)</f>
        <v>580</v>
      </c>
      <c r="L42" s="53">
        <f>+VLOOKUP($A42&amp;$A$25&amp;$B$25,REPORT_raw_dataseen!$A$1:$P$721, MATCH(Referrals!L$6,REPORT_raw_dataseen!$D$1:$O$1,1)+3,FALSE)</f>
        <v>519</v>
      </c>
      <c r="M42" s="53">
        <f>+VLOOKUP($A42&amp;$A$25&amp;$B$25,REPORT_raw_dataseen!$A$1:$S$721, MATCH(Referrals!M$6,REPORT_raw_dataseen!$D$1:$S$1,1)+3,FALSE)</f>
        <v>592</v>
      </c>
      <c r="N42" s="53">
        <f>+VLOOKUP($A42&amp;$A$25&amp;$B$25,REPORT_raw_dataseen!$A$1:$S$721, MATCH(Referrals!N$6,REPORT_raw_dataseen!$D$1:$S$1,1)+3,FALSE)</f>
        <v>578</v>
      </c>
      <c r="O42" s="53">
        <f>+VLOOKUP($A42&amp;$A$25&amp;$B$25,REPORT_raw_dataseen!$A$1:$S$721, MATCH(Referrals!O$6,REPORT_raw_dataseen!$D$1:$S$1,1)+3,FALSE)</f>
        <v>604</v>
      </c>
      <c r="P42" s="53">
        <f>+VLOOKUP($A42&amp;$A$25&amp;$B$25,REPORT_raw_dataseen!$A$1:$S$721, MATCH(Referrals!P$6,REPORT_raw_dataseen!$D$1:$S$1,1)+3,FALSE)</f>
        <v>799</v>
      </c>
    </row>
    <row r="43" spans="1:16">
      <c r="A43" s="50" t="s">
        <v>147</v>
      </c>
      <c r="B43" s="53">
        <f>+VLOOKUP($A43&amp;$A$25&amp;$B$25,REPORT_raw_dataseen!$A$1:$P$721, MATCH(Referrals!B$6,REPORT_raw_dataseen!$D$1:$O$1,1)+3,FALSE)</f>
        <v>1</v>
      </c>
      <c r="C43" s="53">
        <f>+VLOOKUP($A43&amp;$A$25&amp;$B$25,REPORT_raw_dataseen!$A$1:$P$721, MATCH(Referrals!C$6,REPORT_raw_dataseen!$D$1:$O$1,1)+3,FALSE)</f>
        <v>14</v>
      </c>
      <c r="D43" s="53">
        <f>+VLOOKUP($A43&amp;$A$25&amp;$B$25,REPORT_raw_dataseen!$A$1:$P$721, MATCH(Referrals!D$6,REPORT_raw_dataseen!$D$1:$O$1,1)+3,FALSE)</f>
        <v>6</v>
      </c>
      <c r="E43" s="53">
        <f>+VLOOKUP($A43&amp;$A$25&amp;$B$25,REPORT_raw_dataseen!$A$1:$P$721, MATCH(Referrals!E$6,REPORT_raw_dataseen!$D$1:$O$1,1)+3,FALSE)</f>
        <v>6</v>
      </c>
      <c r="F43" s="53">
        <f>+VLOOKUP($A43&amp;$A$25&amp;$B$25,REPORT_raw_dataseen!$A$1:$P$721, MATCH(Referrals!F$6,REPORT_raw_dataseen!$D$1:$O$1,1)+3,FALSE)</f>
        <v>14</v>
      </c>
      <c r="G43" s="53">
        <f>+VLOOKUP($A43&amp;$A$25&amp;$B$25,REPORT_raw_dataseen!$A$1:$P$721, MATCH(Referrals!G$6,REPORT_raw_dataseen!$D$1:$O$1,1)+3,FALSE)</f>
        <v>7</v>
      </c>
      <c r="H43" s="53">
        <f>+VLOOKUP($A43&amp;$A$25&amp;$B$25,REPORT_raw_dataseen!$A$1:$P$721, MATCH(Referrals!H$6,REPORT_raw_dataseen!$D$1:$O$1,1)+3,FALSE)</f>
        <v>11</v>
      </c>
      <c r="I43" s="53">
        <f>+VLOOKUP($A43&amp;$A$25&amp;$B$25,REPORT_raw_dataseen!$A$1:$P$721, MATCH(Referrals!I$6,REPORT_raw_dataseen!$D$1:$O$1,1)+3,FALSE)</f>
        <v>8</v>
      </c>
      <c r="J43" s="53">
        <f>+VLOOKUP($A43&amp;$A$25&amp;$B$25,REPORT_raw_dataseen!$A$1:$P$721, MATCH(Referrals!J$6,REPORT_raw_dataseen!$D$1:$O$1,1)+3,FALSE)</f>
        <v>5</v>
      </c>
      <c r="K43" s="53">
        <f>+VLOOKUP($A43&amp;$A$25&amp;$B$25,REPORT_raw_dataseen!$A$1:$P$721, MATCH(Referrals!K$6,REPORT_raw_dataseen!$D$1:$O$1,1)+3,FALSE)</f>
        <v>4</v>
      </c>
      <c r="L43" s="53">
        <f>+VLOOKUP($A43&amp;$A$25&amp;$B$25,REPORT_raw_dataseen!$A$1:$P$721, MATCH(Referrals!L$6,REPORT_raw_dataseen!$D$1:$O$1,1)+3,FALSE)</f>
        <v>4</v>
      </c>
      <c r="M43" s="53">
        <f>+VLOOKUP($A43&amp;$A$25&amp;$B$25,REPORT_raw_dataseen!$A$1:$S$721, MATCH(Referrals!M$6,REPORT_raw_dataseen!$D$1:$S$1,1)+3,FALSE)</f>
        <v>7</v>
      </c>
      <c r="N43" s="53">
        <f>+VLOOKUP($A43&amp;$A$25&amp;$B$25,REPORT_raw_dataseen!$A$1:$S$721, MATCH(Referrals!N$6,REPORT_raw_dataseen!$D$1:$S$1,1)+3,FALSE)</f>
        <v>6</v>
      </c>
      <c r="O43" s="53">
        <f>+VLOOKUP($A43&amp;$A$25&amp;$B$25,REPORT_raw_dataseen!$A$1:$S$721, MATCH(Referrals!O$6,REPORT_raw_dataseen!$D$1:$S$1,1)+3,FALSE)</f>
        <v>4</v>
      </c>
      <c r="P43" s="53">
        <f>+VLOOKUP($A43&amp;$A$25&amp;$B$25,REPORT_raw_dataseen!$A$1:$S$721, MATCH(Referrals!P$6,REPORT_raw_dataseen!$D$1:$S$1,1)+3,FALSE)</f>
        <v>1</v>
      </c>
    </row>
    <row r="44" spans="1:16">
      <c r="A44" s="59" t="s">
        <v>328</v>
      </c>
      <c r="B44" s="53">
        <f>+VLOOKUP($A44&amp;$A$25&amp;$B$25,REPORT_raw_dataseen!$A$1:$S$769, MATCH(Referrals!B$6,REPORT_raw_dataseen!$D$1:$S$1,1)+3,FALSE)</f>
        <v>38</v>
      </c>
      <c r="C44" s="53">
        <f>+VLOOKUP($A44&amp;$A$25&amp;$B$25,REPORT_raw_dataseen!$A$1:$S$769, MATCH(Referrals!C$6,REPORT_raw_dataseen!$D$1:$S$1,1)+3,FALSE)</f>
        <v>51</v>
      </c>
      <c r="D44" s="53">
        <f>+VLOOKUP($A44&amp;$A$25&amp;$B$25,REPORT_raw_dataseen!$A$1:$S$769, MATCH(Referrals!D$6,REPORT_raw_dataseen!$D$1:$S$1,1)+3,FALSE)</f>
        <v>86</v>
      </c>
      <c r="E44" s="53">
        <f>+VLOOKUP($A44&amp;$A$25&amp;$B$25,REPORT_raw_dataseen!$A$1:$S$769, MATCH(Referrals!E$6,REPORT_raw_dataseen!$D$1:$S$1,1)+3,FALSE)</f>
        <v>81</v>
      </c>
      <c r="F44" s="53">
        <f>+VLOOKUP($A44&amp;$A$25&amp;$B$25,REPORT_raw_dataseen!$A$1:$S$769, MATCH(Referrals!F$6,REPORT_raw_dataseen!$D$1:$S$1,1)+3,FALSE)</f>
        <v>69</v>
      </c>
      <c r="G44" s="53">
        <f>+VLOOKUP($A44&amp;$A$25&amp;$B$25,REPORT_raw_dataseen!$A$1:$S$769, MATCH(Referrals!G$6,REPORT_raw_dataseen!$D$1:$S$1,1)+3,FALSE)</f>
        <v>91</v>
      </c>
      <c r="H44" s="53" t="str">
        <f>+VLOOKUP($A44&amp;$A$25&amp;$B$25,REPORT_raw_dataseen!$A$1:$S$769, MATCH(Referrals!H$6,REPORT_raw_dataseen!$D$1:$S$1,1)+3,FALSE)</f>
        <v>..</v>
      </c>
      <c r="I44" s="53">
        <f>+VLOOKUP($A44&amp;$A$25&amp;$B$25,REPORT_raw_dataseen!$A$1:$S$769, MATCH(Referrals!I$6,REPORT_raw_dataseen!$D$1:$S$1,1)+3,FALSE)</f>
        <v>98</v>
      </c>
      <c r="J44" s="53">
        <f>+VLOOKUP($A44&amp;$A$25&amp;$B$25,REPORT_raw_dataseen!$A$1:$S$769, MATCH(Referrals!J$6,REPORT_raw_dataseen!$D$1:$S$1,1)+3,FALSE)</f>
        <v>61</v>
      </c>
      <c r="K44" s="53">
        <f>+VLOOKUP($A44&amp;$A$25&amp;$B$25,REPORT_raw_dataseen!$A$1:$S$769, MATCH(Referrals!K$6,REPORT_raw_dataseen!$D$1:$S$1,1)+3,FALSE)</f>
        <v>76</v>
      </c>
      <c r="L44" s="53" t="str">
        <f>+VLOOKUP($A44&amp;$A$25&amp;$B$25,REPORT_raw_dataseen!$A$1:$S$769, MATCH(Referrals!L$6,REPORT_raw_dataseen!$D$1:$S$1,1)+3,FALSE)</f>
        <v>..</v>
      </c>
      <c r="M44" s="53">
        <f>+VLOOKUP($A44&amp;$A$25&amp;$B$25,REPORT_raw_dataseen!$A$1:$S$769, MATCH(Referrals!M$6,REPORT_raw_dataseen!$D$1:$S$1,1)+3,FALSE)</f>
        <v>0</v>
      </c>
      <c r="N44" s="53">
        <f>+VLOOKUP($A44&amp;$A$25&amp;$B$25,REPORT_raw_dataseen!$A$1:$S$769, MATCH(Referrals!N$6,REPORT_raw_dataseen!$D$1:$S$1,1)+3,FALSE)</f>
        <v>0</v>
      </c>
      <c r="O44" s="53">
        <f>+VLOOKUP($A44&amp;$A$25&amp;$B$25,REPORT_raw_dataseen!$A$1:$S$769, MATCH(Referrals!O$6,REPORT_raw_dataseen!$D$1:$S$1,1)+3,FALSE)</f>
        <v>0</v>
      </c>
      <c r="P44" s="53" t="str">
        <f>+VLOOKUP($A44&amp;$A$25&amp;$B$25,REPORT_raw_dataseen!$A$1:$S$769, MATCH(Referrals!P$6,REPORT_raw_dataseen!$D$1:$S$1,1)+3,FALSE)</f>
        <v>..</v>
      </c>
    </row>
    <row r="45" spans="1:16" ht="18">
      <c r="A45" s="54" t="s">
        <v>303</v>
      </c>
    </row>
    <row r="47" spans="1:16">
      <c r="A47" t="s">
        <v>302</v>
      </c>
    </row>
    <row r="48" spans="1:16">
      <c r="A48" t="s">
        <v>176</v>
      </c>
      <c r="B48" t="s">
        <v>177</v>
      </c>
    </row>
    <row r="49" spans="1:16">
      <c r="A49" t="s">
        <v>301</v>
      </c>
    </row>
    <row r="51" spans="1:16">
      <c r="A51" s="50"/>
      <c r="B51" s="51">
        <f>DATE(YEAR(C51),MONTH(C51)-1,DAY(C51))</f>
        <v>43922</v>
      </c>
      <c r="C51" s="51">
        <f>DATE(YEAR(D51),MONTH(D51)-1,DAY(D51))</f>
        <v>43952</v>
      </c>
      <c r="D51" s="51">
        <f>DATE(YEAR(E51),MONTH(E51)-1,DAY(E51))</f>
        <v>43983</v>
      </c>
      <c r="E51" s="51">
        <f t="shared" ref="E51:O51" si="2">DATE(YEAR(F51),MONTH(F51)-1,DAY(F51))</f>
        <v>44013</v>
      </c>
      <c r="F51" s="51">
        <f t="shared" si="2"/>
        <v>44044</v>
      </c>
      <c r="G51" s="51">
        <f t="shared" si="2"/>
        <v>44075</v>
      </c>
      <c r="H51" s="51">
        <f t="shared" si="2"/>
        <v>44105</v>
      </c>
      <c r="I51" s="51">
        <f t="shared" si="2"/>
        <v>44136</v>
      </c>
      <c r="J51" s="51">
        <f t="shared" si="2"/>
        <v>44166</v>
      </c>
      <c r="K51" s="51">
        <f t="shared" si="2"/>
        <v>44197</v>
      </c>
      <c r="L51" s="51">
        <f t="shared" si="2"/>
        <v>44228</v>
      </c>
      <c r="M51" s="51">
        <f t="shared" si="2"/>
        <v>44256</v>
      </c>
      <c r="N51" s="51">
        <f t="shared" si="2"/>
        <v>44287</v>
      </c>
      <c r="O51" s="51">
        <f t="shared" si="2"/>
        <v>44317</v>
      </c>
      <c r="P51" s="10">
        <f>+Sheet1!A20</f>
        <v>44348</v>
      </c>
    </row>
    <row r="52" spans="1:16">
      <c r="A52" s="52" t="s">
        <v>28</v>
      </c>
      <c r="B52" s="53">
        <f>+VLOOKUP($A52&amp;$A$48&amp;$B$48,REPORT_raw_dataseen!$A$1:$P$721, MATCH(Referrals!B$51,REPORT_raw_dataseen!$D$1:$O$1,1)+3,FALSE)</f>
        <v>584</v>
      </c>
      <c r="C52" s="53">
        <f>+VLOOKUP($A52&amp;$A$48&amp;$B$48,REPORT_raw_dataseen!$A$1:$P$721, MATCH(Referrals!C$51,REPORT_raw_dataseen!$D$1:$O$1,1)+3,FALSE)</f>
        <v>865</v>
      </c>
      <c r="D52" s="53">
        <f>+VLOOKUP($A52&amp;$A$48&amp;$B$48,REPORT_raw_dataseen!$A$1:$P$721, MATCH(Referrals!D$51,REPORT_raw_dataseen!$D$1:$O$1,1)+3,FALSE)</f>
        <v>1150</v>
      </c>
      <c r="E52" s="53">
        <f>+VLOOKUP($A52&amp;$A$48&amp;$B$48,REPORT_raw_dataseen!$A$1:$P$721, MATCH(Referrals!E$6,REPORT_raw_dataseen!$D$1:$O$1,1)+3,FALSE)</f>
        <v>1368</v>
      </c>
      <c r="F52" s="53">
        <f>+VLOOKUP($A52&amp;$A$48&amp;$B$48,REPORT_raw_dataseen!$A$1:$P$721, MATCH(Referrals!F$6,REPORT_raw_dataseen!$D$1:$O$1,1)+3,FALSE)</f>
        <v>1259</v>
      </c>
      <c r="G52" s="53">
        <f>+VLOOKUP($A52&amp;$A$48&amp;$B$48,REPORT_raw_dataseen!$A$1:$P$721, MATCH(Referrals!G$6,REPORT_raw_dataseen!$D$1:$O$1,1)+3,FALSE)</f>
        <v>1347</v>
      </c>
      <c r="H52" s="53">
        <f>+VLOOKUP($A52&amp;$A$48&amp;$B$48,REPORT_raw_dataseen!$A$1:$P$721, MATCH(Referrals!H$6,REPORT_raw_dataseen!$D$1:$O$1,1)+3,FALSE)</f>
        <v>1309</v>
      </c>
      <c r="I52" s="53">
        <f>+VLOOKUP($A52&amp;$A$48&amp;$B$48,REPORT_raw_dataseen!$A$1:$P$721, MATCH(Referrals!I$6,REPORT_raw_dataseen!$D$1:$O$1,1)+3,FALSE)</f>
        <v>1337</v>
      </c>
      <c r="J52" s="53">
        <f>+VLOOKUP($A52&amp;$A$48&amp;$B$48,REPORT_raw_dataseen!$A$1:$P$721, MATCH(Referrals!J$6,REPORT_raw_dataseen!$D$1:$O$1,1)+3,FALSE)</f>
        <v>1216</v>
      </c>
      <c r="K52" s="53">
        <f>+VLOOKUP($A52&amp;$A$48&amp;$B$48,REPORT_raw_dataseen!$A$1:$P$721, MATCH(Referrals!K$6,REPORT_raw_dataseen!$D$1:$O$1,1)+3,FALSE)</f>
        <v>1166</v>
      </c>
      <c r="L52" s="53">
        <f>+VLOOKUP($A52&amp;$A$48&amp;$B$48,REPORT_raw_dataseen!$A$1:$P$721, MATCH(Referrals!L$6,REPORT_raw_dataseen!$D$1:$O$1,1)+3,FALSE)</f>
        <v>1226</v>
      </c>
      <c r="M52" s="53">
        <f>+VLOOKUP($A52&amp;$A$48&amp;$B$48,REPORT_raw_dataseen!$A$1:$R$721, MATCH(Referrals!M$6,REPORT_raw_dataseen!$D$1:$R$1,1)+3,FALSE)</f>
        <v>1541</v>
      </c>
      <c r="N52" s="53">
        <f>+VLOOKUP($A52&amp;$A$48&amp;$B$48,REPORT_raw_dataseen!$A$1:$R$721, MATCH(Referrals!N$6,REPORT_raw_dataseen!$D$1:$R$1,1)+3,FALSE)</f>
        <v>1446</v>
      </c>
      <c r="O52" s="53">
        <f>+VLOOKUP($A52&amp;$A$48&amp;$B$48,REPORT_raw_dataseen!$A$1:$R$721, MATCH(Referrals!O$6,REPORT_raw_dataseen!$D$1:$R$1,1)+3,FALSE)</f>
        <v>1452</v>
      </c>
      <c r="P52" s="53">
        <f>+VLOOKUP($A52&amp;$A$48&amp;$B$48,REPORT_raw_dataseen!$A$1:$R$721, MATCH(Referrals!P$6,REPORT_raw_dataseen!$D$1:$R$1,1)+3,FALSE)</f>
        <v>1687</v>
      </c>
    </row>
    <row r="53" spans="1:16">
      <c r="A53" s="50" t="s">
        <v>136</v>
      </c>
      <c r="B53" s="53">
        <f>+VLOOKUP($A53&amp;$A$48&amp;$B$48,REPORT_raw_dataseen!$A$1:$P$721, MATCH(Referrals!B$51,REPORT_raw_dataseen!$D$1:$O$1,1)+3,FALSE)</f>
        <v>1</v>
      </c>
      <c r="C53" s="53">
        <f>+VLOOKUP($A53&amp;$A$48&amp;$B$48,REPORT_raw_dataseen!$A$1:$P$721, MATCH(Referrals!C$51,REPORT_raw_dataseen!$D$1:$O$1,1)+3,FALSE)</f>
        <v>10</v>
      </c>
      <c r="D53" s="53">
        <f>+VLOOKUP($A53&amp;$A$48&amp;$B$48,REPORT_raw_dataseen!$A$1:$P$721, MATCH(Referrals!D$51,REPORT_raw_dataseen!$D$1:$O$1,1)+3,FALSE)</f>
        <v>13</v>
      </c>
      <c r="E53" s="53">
        <f>+VLOOKUP($A53&amp;$A$48&amp;$B$48,REPORT_raw_dataseen!$A$1:$P$721, MATCH(Referrals!E$6,REPORT_raw_dataseen!$D$1:$O$1,1)+3,FALSE)</f>
        <v>17</v>
      </c>
      <c r="F53" s="53">
        <f>+VLOOKUP($A53&amp;$A$48&amp;$B$48,REPORT_raw_dataseen!$A$1:$P$721, MATCH(Referrals!F$6,REPORT_raw_dataseen!$D$1:$O$1,1)+3,FALSE)</f>
        <v>25</v>
      </c>
      <c r="G53" s="53">
        <f>+VLOOKUP($A53&amp;$A$48&amp;$B$48,REPORT_raw_dataseen!$A$1:$P$721, MATCH(Referrals!G$6,REPORT_raw_dataseen!$D$1:$O$1,1)+3,FALSE)</f>
        <v>21</v>
      </c>
      <c r="H53" s="53">
        <f>+VLOOKUP($A53&amp;$A$48&amp;$B$48,REPORT_raw_dataseen!$A$1:$P$721, MATCH(Referrals!H$6,REPORT_raw_dataseen!$D$1:$O$1,1)+3,FALSE)</f>
        <v>20</v>
      </c>
      <c r="I53" s="53">
        <f>+VLOOKUP($A53&amp;$A$48&amp;$B$48,REPORT_raw_dataseen!$A$1:$P$721, MATCH(Referrals!I$6,REPORT_raw_dataseen!$D$1:$O$1,1)+3,FALSE)</f>
        <v>25</v>
      </c>
      <c r="J53" s="53">
        <f>+VLOOKUP($A53&amp;$A$48&amp;$B$48,REPORT_raw_dataseen!$A$1:$P$721, MATCH(Referrals!J$6,REPORT_raw_dataseen!$D$1:$O$1,1)+3,FALSE)</f>
        <v>11</v>
      </c>
      <c r="K53" s="53">
        <f>+VLOOKUP($A53&amp;$A$48&amp;$B$48,REPORT_raw_dataseen!$A$1:$P$721, MATCH(Referrals!K$6,REPORT_raw_dataseen!$D$1:$O$1,1)+3,FALSE)</f>
        <v>12</v>
      </c>
      <c r="L53" s="53">
        <f>+VLOOKUP($A53&amp;$A$48&amp;$B$48,REPORT_raw_dataseen!$A$1:$P$721, MATCH(Referrals!L$6,REPORT_raw_dataseen!$D$1:$O$1,1)+3,FALSE)</f>
        <v>11</v>
      </c>
      <c r="M53" s="53">
        <f>+VLOOKUP($A53&amp;$A$48&amp;$B$48,REPORT_raw_dataseen!$A$1:$R$721, MATCH(Referrals!M$6,REPORT_raw_dataseen!$D$1:$R$1,1)+3,FALSE)</f>
        <v>22</v>
      </c>
      <c r="N53" s="53">
        <f>+VLOOKUP($A53&amp;$A$48&amp;$B$48,REPORT_raw_dataseen!$A$1:$R$721, MATCH(Referrals!N$6,REPORT_raw_dataseen!$D$1:$R$1,1)+3,FALSE)</f>
        <v>21</v>
      </c>
      <c r="O53" s="53">
        <f>+VLOOKUP($A53&amp;$A$48&amp;$B$48,REPORT_raw_dataseen!$A$1:$R$721, MATCH(Referrals!O$6,REPORT_raw_dataseen!$D$1:$R$1,1)+3,FALSE)</f>
        <v>19</v>
      </c>
      <c r="P53" s="53">
        <f>+VLOOKUP($A53&amp;$A$48&amp;$B$48,REPORT_raw_dataseen!$A$1:$R$721, MATCH(Referrals!P$6,REPORT_raw_dataseen!$D$1:$R$1,1)+3,FALSE)</f>
        <v>42</v>
      </c>
    </row>
    <row r="54" spans="1:16">
      <c r="A54" s="50" t="s">
        <v>137</v>
      </c>
      <c r="B54" s="53">
        <f>+VLOOKUP($A54&amp;$A$48&amp;$B$48,REPORT_raw_dataseen!$A$1:$P$721, MATCH(Referrals!B$51,REPORT_raw_dataseen!$D$1:$O$1,1)+3,FALSE)</f>
        <v>2</v>
      </c>
      <c r="C54" s="53">
        <f>+VLOOKUP($A54&amp;$A$48&amp;$B$48,REPORT_raw_dataseen!$A$1:$P$721, MATCH(Referrals!C$51,REPORT_raw_dataseen!$D$1:$O$1,1)+3,FALSE)</f>
        <v>0</v>
      </c>
      <c r="D54" s="53">
        <f>+VLOOKUP($A54&amp;$A$48&amp;$B$48,REPORT_raw_dataseen!$A$1:$P$721, MATCH(Referrals!D$51,REPORT_raw_dataseen!$D$1:$O$1,1)+3,FALSE)</f>
        <v>0</v>
      </c>
      <c r="E54" s="53">
        <f>+VLOOKUP($A54&amp;$A$48&amp;$B$48,REPORT_raw_dataseen!$A$1:$P$721, MATCH(Referrals!E$6,REPORT_raw_dataseen!$D$1:$O$1,1)+3,FALSE)</f>
        <v>14</v>
      </c>
      <c r="F54" s="53">
        <f>+VLOOKUP($A54&amp;$A$48&amp;$B$48,REPORT_raw_dataseen!$A$1:$P$721, MATCH(Referrals!F$6,REPORT_raw_dataseen!$D$1:$O$1,1)+3,FALSE)</f>
        <v>6</v>
      </c>
      <c r="G54" s="53">
        <f>+VLOOKUP($A54&amp;$A$48&amp;$B$48,REPORT_raw_dataseen!$A$1:$P$721, MATCH(Referrals!G$6,REPORT_raw_dataseen!$D$1:$O$1,1)+3,FALSE)</f>
        <v>1</v>
      </c>
      <c r="H54" s="53">
        <f>+VLOOKUP($A54&amp;$A$48&amp;$B$48,REPORT_raw_dataseen!$A$1:$P$721, MATCH(Referrals!H$6,REPORT_raw_dataseen!$D$1:$O$1,1)+3,FALSE)</f>
        <v>27</v>
      </c>
      <c r="I54" s="53">
        <f>+VLOOKUP($A54&amp;$A$48&amp;$B$48,REPORT_raw_dataseen!$A$1:$P$721, MATCH(Referrals!I$6,REPORT_raw_dataseen!$D$1:$O$1,1)+3,FALSE)</f>
        <v>5</v>
      </c>
      <c r="J54" s="53">
        <f>+VLOOKUP($A54&amp;$A$48&amp;$B$48,REPORT_raw_dataseen!$A$1:$P$721, MATCH(Referrals!J$6,REPORT_raw_dataseen!$D$1:$O$1,1)+3,FALSE)</f>
        <v>21</v>
      </c>
      <c r="K54" s="53">
        <f>+VLOOKUP($A54&amp;$A$48&amp;$B$48,REPORT_raw_dataseen!$A$1:$P$721, MATCH(Referrals!K$6,REPORT_raw_dataseen!$D$1:$O$1,1)+3,FALSE)</f>
        <v>10</v>
      </c>
      <c r="L54" s="53">
        <f>+VLOOKUP($A54&amp;$A$48&amp;$B$48,REPORT_raw_dataseen!$A$1:$P$721, MATCH(Referrals!L$6,REPORT_raw_dataseen!$D$1:$O$1,1)+3,FALSE)</f>
        <v>9</v>
      </c>
      <c r="M54" s="53">
        <f>+VLOOKUP($A54&amp;$A$48&amp;$B$48,REPORT_raw_dataseen!$A$1:$R$721, MATCH(Referrals!M$6,REPORT_raw_dataseen!$D$1:$R$1,1)+3,FALSE)</f>
        <v>19</v>
      </c>
      <c r="N54" s="53">
        <f>+VLOOKUP($A54&amp;$A$48&amp;$B$48,REPORT_raw_dataseen!$A$1:$R$721, MATCH(Referrals!N$6,REPORT_raw_dataseen!$D$1:$R$1,1)+3,FALSE)</f>
        <v>30</v>
      </c>
      <c r="O54" s="53">
        <f>+VLOOKUP($A54&amp;$A$48&amp;$B$48,REPORT_raw_dataseen!$A$1:$R$721, MATCH(Referrals!O$6,REPORT_raw_dataseen!$D$1:$R$1,1)+3,FALSE)</f>
        <v>30</v>
      </c>
      <c r="P54" s="53">
        <f>+VLOOKUP($A54&amp;$A$48&amp;$B$48,REPORT_raw_dataseen!$A$1:$R$721, MATCH(Referrals!P$6,REPORT_raw_dataseen!$D$1:$R$1,1)+3,FALSE)</f>
        <v>43</v>
      </c>
    </row>
    <row r="55" spans="1:16">
      <c r="A55" s="50" t="s">
        <v>160</v>
      </c>
      <c r="B55" s="53">
        <f>+VLOOKUP($A55&amp;$A$48&amp;$B$48,REPORT_raw_dataseen!$A$1:$P$721, MATCH(Referrals!B$51,REPORT_raw_dataseen!$D$1:$O$1,1)+3,FALSE)</f>
        <v>6</v>
      </c>
      <c r="C55" s="53">
        <f>+VLOOKUP($A55&amp;$A$48&amp;$B$48,REPORT_raw_dataseen!$A$1:$P$721, MATCH(Referrals!C$51,REPORT_raw_dataseen!$D$1:$O$1,1)+3,FALSE)</f>
        <v>4</v>
      </c>
      <c r="D55" s="53">
        <f>+VLOOKUP($A55&amp;$A$48&amp;$B$48,REPORT_raw_dataseen!$A$1:$P$721, MATCH(Referrals!D$51,REPORT_raw_dataseen!$D$1:$O$1,1)+3,FALSE)</f>
        <v>3</v>
      </c>
      <c r="E55" s="53">
        <f>+VLOOKUP($A55&amp;$A$48&amp;$B$48,REPORT_raw_dataseen!$A$1:$P$721, MATCH(Referrals!E$6,REPORT_raw_dataseen!$D$1:$O$1,1)+3,FALSE)</f>
        <v>11</v>
      </c>
      <c r="F55" s="53">
        <f>+VLOOKUP($A55&amp;$A$48&amp;$B$48,REPORT_raw_dataseen!$A$1:$P$721, MATCH(Referrals!F$6,REPORT_raw_dataseen!$D$1:$O$1,1)+3,FALSE)</f>
        <v>7</v>
      </c>
      <c r="G55" s="53">
        <f>+VLOOKUP($A55&amp;$A$48&amp;$B$48,REPORT_raw_dataseen!$A$1:$P$721, MATCH(Referrals!G$6,REPORT_raw_dataseen!$D$1:$O$1,1)+3,FALSE)</f>
        <v>24</v>
      </c>
      <c r="H55" s="53">
        <f>+VLOOKUP($A55&amp;$A$48&amp;$B$48,REPORT_raw_dataseen!$A$1:$P$721, MATCH(Referrals!H$6,REPORT_raw_dataseen!$D$1:$O$1,1)+3,FALSE)</f>
        <v>25</v>
      </c>
      <c r="I55" s="53">
        <f>+VLOOKUP($A55&amp;$A$48&amp;$B$48,REPORT_raw_dataseen!$A$1:$P$721, MATCH(Referrals!I$6,REPORT_raw_dataseen!$D$1:$O$1,1)+3,FALSE)</f>
        <v>36</v>
      </c>
      <c r="J55" s="53">
        <f>+VLOOKUP($A55&amp;$A$48&amp;$B$48,REPORT_raw_dataseen!$A$1:$P$721, MATCH(Referrals!J$6,REPORT_raw_dataseen!$D$1:$O$1,1)+3,FALSE)</f>
        <v>38</v>
      </c>
      <c r="K55" s="53">
        <f>+VLOOKUP($A55&amp;$A$48&amp;$B$48,REPORT_raw_dataseen!$A$1:$P$721, MATCH(Referrals!K$6,REPORT_raw_dataseen!$D$1:$O$1,1)+3,FALSE)</f>
        <v>22</v>
      </c>
      <c r="L55" s="53">
        <f>+VLOOKUP($A55&amp;$A$48&amp;$B$48,REPORT_raw_dataseen!$A$1:$P$721, MATCH(Referrals!L$6,REPORT_raw_dataseen!$D$1:$O$1,1)+3,FALSE)</f>
        <v>25</v>
      </c>
      <c r="M55" s="53">
        <f>+VLOOKUP($A55&amp;$A$48&amp;$B$48,REPORT_raw_dataseen!$A$1:$R$721, MATCH(Referrals!M$6,REPORT_raw_dataseen!$D$1:$R$1,1)+3,FALSE)</f>
        <v>32</v>
      </c>
      <c r="N55" s="53">
        <f>+VLOOKUP($A55&amp;$A$48&amp;$B$48,REPORT_raw_dataseen!$A$1:$R$721, MATCH(Referrals!N$6,REPORT_raw_dataseen!$D$1:$R$1,1)+3,FALSE)</f>
        <v>28</v>
      </c>
      <c r="O55" s="53">
        <f>+VLOOKUP($A55&amp;$A$48&amp;$B$48,REPORT_raw_dataseen!$A$1:$R$721, MATCH(Referrals!O$6,REPORT_raw_dataseen!$D$1:$R$1,1)+3,FALSE)</f>
        <v>18</v>
      </c>
      <c r="P55" s="53">
        <f>+VLOOKUP($A55&amp;$A$48&amp;$B$48,REPORT_raw_dataseen!$A$1:$R$721, MATCH(Referrals!P$6,REPORT_raw_dataseen!$D$1:$R$1,1)+3,FALSE)</f>
        <v>32</v>
      </c>
    </row>
    <row r="56" spans="1:16">
      <c r="A56" s="50" t="s">
        <v>138</v>
      </c>
      <c r="B56" s="53">
        <f>+VLOOKUP($A56&amp;$A$48&amp;$B$48,REPORT_raw_dataseen!$A$1:$P$721, MATCH(Referrals!B$51,REPORT_raw_dataseen!$D$1:$O$1,1)+3,FALSE)</f>
        <v>6</v>
      </c>
      <c r="C56" s="53">
        <f>+VLOOKUP($A56&amp;$A$48&amp;$B$48,REPORT_raw_dataseen!$A$1:$P$721, MATCH(Referrals!C$51,REPORT_raw_dataseen!$D$1:$O$1,1)+3,FALSE)</f>
        <v>6</v>
      </c>
      <c r="D56" s="53">
        <f>+VLOOKUP($A56&amp;$A$48&amp;$B$48,REPORT_raw_dataseen!$A$1:$P$721, MATCH(Referrals!D$51,REPORT_raw_dataseen!$D$1:$O$1,1)+3,FALSE)</f>
        <v>9</v>
      </c>
      <c r="E56" s="53">
        <f>+VLOOKUP($A56&amp;$A$48&amp;$B$48,REPORT_raw_dataseen!$A$1:$P$721, MATCH(Referrals!E$6,REPORT_raw_dataseen!$D$1:$O$1,1)+3,FALSE)</f>
        <v>17</v>
      </c>
      <c r="F56" s="53">
        <f>+VLOOKUP($A56&amp;$A$48&amp;$B$48,REPORT_raw_dataseen!$A$1:$P$721, MATCH(Referrals!F$6,REPORT_raw_dataseen!$D$1:$O$1,1)+3,FALSE)</f>
        <v>25</v>
      </c>
      <c r="G56" s="53">
        <f>+VLOOKUP($A56&amp;$A$48&amp;$B$48,REPORT_raw_dataseen!$A$1:$P$721, MATCH(Referrals!G$6,REPORT_raw_dataseen!$D$1:$O$1,1)+3,FALSE)</f>
        <v>12</v>
      </c>
      <c r="H56" s="53">
        <f>+VLOOKUP($A56&amp;$A$48&amp;$B$48,REPORT_raw_dataseen!$A$1:$P$721, MATCH(Referrals!H$6,REPORT_raw_dataseen!$D$1:$O$1,1)+3,FALSE)</f>
        <v>26</v>
      </c>
      <c r="I56" s="53">
        <f>+VLOOKUP($A56&amp;$A$48&amp;$B$48,REPORT_raw_dataseen!$A$1:$P$721, MATCH(Referrals!I$6,REPORT_raw_dataseen!$D$1:$O$1,1)+3,FALSE)</f>
        <v>16</v>
      </c>
      <c r="J56" s="53">
        <f>+VLOOKUP($A56&amp;$A$48&amp;$B$48,REPORT_raw_dataseen!$A$1:$P$721, MATCH(Referrals!J$6,REPORT_raw_dataseen!$D$1:$O$1,1)+3,FALSE)</f>
        <v>25</v>
      </c>
      <c r="K56" s="53">
        <f>+VLOOKUP($A56&amp;$A$48&amp;$B$48,REPORT_raw_dataseen!$A$1:$P$721, MATCH(Referrals!K$6,REPORT_raw_dataseen!$D$1:$O$1,1)+3,FALSE)</f>
        <v>14</v>
      </c>
      <c r="L56" s="53">
        <f>+VLOOKUP($A56&amp;$A$48&amp;$B$48,REPORT_raw_dataseen!$A$1:$P$721, MATCH(Referrals!L$6,REPORT_raw_dataseen!$D$1:$O$1,1)+3,FALSE)</f>
        <v>13</v>
      </c>
      <c r="M56" s="53">
        <f>+VLOOKUP($A56&amp;$A$48&amp;$B$48,REPORT_raw_dataseen!$A$1:$R$721, MATCH(Referrals!M$6,REPORT_raw_dataseen!$D$1:$R$1,1)+3,FALSE)</f>
        <v>25</v>
      </c>
      <c r="N56" s="53">
        <f>+VLOOKUP($A56&amp;$A$48&amp;$B$48,REPORT_raw_dataseen!$A$1:$R$721, MATCH(Referrals!N$6,REPORT_raw_dataseen!$D$1:$R$1,1)+3,FALSE)</f>
        <v>26</v>
      </c>
      <c r="O56" s="53">
        <f>+VLOOKUP($A56&amp;$A$48&amp;$B$48,REPORT_raw_dataseen!$A$1:$R$721, MATCH(Referrals!O$6,REPORT_raw_dataseen!$D$1:$R$1,1)+3,FALSE)</f>
        <v>22</v>
      </c>
      <c r="P56" s="53">
        <f>+VLOOKUP($A56&amp;$A$48&amp;$B$48,REPORT_raw_dataseen!$A$1:$R$721, MATCH(Referrals!P$6,REPORT_raw_dataseen!$D$1:$R$1,1)+3,FALSE)</f>
        <v>32</v>
      </c>
    </row>
    <row r="57" spans="1:16">
      <c r="A57" s="50" t="s">
        <v>139</v>
      </c>
      <c r="B57" s="53">
        <f>+VLOOKUP($A57&amp;$A$48&amp;$B$48,REPORT_raw_dataseen!$A$1:$P$721, MATCH(Referrals!B$51,REPORT_raw_dataseen!$D$1:$O$1,1)+3,FALSE)</f>
        <v>7</v>
      </c>
      <c r="C57" s="53">
        <f>+VLOOKUP($A57&amp;$A$48&amp;$B$48,REPORT_raw_dataseen!$A$1:$P$721, MATCH(Referrals!C$51,REPORT_raw_dataseen!$D$1:$O$1,1)+3,FALSE)</f>
        <v>8</v>
      </c>
      <c r="D57" s="53">
        <f>+VLOOKUP($A57&amp;$A$48&amp;$B$48,REPORT_raw_dataseen!$A$1:$P$721, MATCH(Referrals!D$51,REPORT_raw_dataseen!$D$1:$O$1,1)+3,FALSE)</f>
        <v>13</v>
      </c>
      <c r="E57" s="53">
        <f>+VLOOKUP($A57&amp;$A$48&amp;$B$48,REPORT_raw_dataseen!$A$1:$P$721, MATCH(Referrals!E$6,REPORT_raw_dataseen!$D$1:$O$1,1)+3,FALSE)</f>
        <v>11</v>
      </c>
      <c r="F57" s="53">
        <f>+VLOOKUP($A57&amp;$A$48&amp;$B$48,REPORT_raw_dataseen!$A$1:$P$721, MATCH(Referrals!F$6,REPORT_raw_dataseen!$D$1:$O$1,1)+3,FALSE)</f>
        <v>13</v>
      </c>
      <c r="G57" s="53">
        <f>+VLOOKUP($A57&amp;$A$48&amp;$B$48,REPORT_raw_dataseen!$A$1:$P$721, MATCH(Referrals!G$6,REPORT_raw_dataseen!$D$1:$O$1,1)+3,FALSE)</f>
        <v>11</v>
      </c>
      <c r="H57" s="53">
        <f>+VLOOKUP($A57&amp;$A$48&amp;$B$48,REPORT_raw_dataseen!$A$1:$P$721, MATCH(Referrals!H$6,REPORT_raw_dataseen!$D$1:$O$1,1)+3,FALSE)</f>
        <v>19</v>
      </c>
      <c r="I57" s="53">
        <f>+VLOOKUP($A57&amp;$A$48&amp;$B$48,REPORT_raw_dataseen!$A$1:$P$721, MATCH(Referrals!I$6,REPORT_raw_dataseen!$D$1:$O$1,1)+3,FALSE)</f>
        <v>21</v>
      </c>
      <c r="J57" s="53">
        <f>+VLOOKUP($A57&amp;$A$48&amp;$B$48,REPORT_raw_dataseen!$A$1:$P$721, MATCH(Referrals!J$6,REPORT_raw_dataseen!$D$1:$O$1,1)+3,FALSE)</f>
        <v>24</v>
      </c>
      <c r="K57" s="53">
        <f>+VLOOKUP($A57&amp;$A$48&amp;$B$48,REPORT_raw_dataseen!$A$1:$P$721, MATCH(Referrals!K$6,REPORT_raw_dataseen!$D$1:$O$1,1)+3,FALSE)</f>
        <v>29</v>
      </c>
      <c r="L57" s="53">
        <f>+VLOOKUP($A57&amp;$A$48&amp;$B$48,REPORT_raw_dataseen!$A$1:$P$721, MATCH(Referrals!L$6,REPORT_raw_dataseen!$D$1:$O$1,1)+3,FALSE)</f>
        <v>15</v>
      </c>
      <c r="M57" s="53">
        <f>+VLOOKUP($A57&amp;$A$48&amp;$B$48,REPORT_raw_dataseen!$A$1:$R$721, MATCH(Referrals!M$6,REPORT_raw_dataseen!$D$1:$R$1,1)+3,FALSE)</f>
        <v>26</v>
      </c>
      <c r="N57" s="53">
        <f>+VLOOKUP($A57&amp;$A$48&amp;$B$48,REPORT_raw_dataseen!$A$1:$R$721, MATCH(Referrals!N$6,REPORT_raw_dataseen!$D$1:$R$1,1)+3,FALSE)</f>
        <v>23</v>
      </c>
      <c r="O57" s="53">
        <f>+VLOOKUP($A57&amp;$A$48&amp;$B$48,REPORT_raw_dataseen!$A$1:$R$721, MATCH(Referrals!O$6,REPORT_raw_dataseen!$D$1:$R$1,1)+3,FALSE)</f>
        <v>24</v>
      </c>
      <c r="P57" s="53">
        <f>+VLOOKUP($A57&amp;$A$48&amp;$B$48,REPORT_raw_dataseen!$A$1:$R$721, MATCH(Referrals!P$6,REPORT_raw_dataseen!$D$1:$R$1,1)+3,FALSE)</f>
        <v>32</v>
      </c>
    </row>
    <row r="58" spans="1:16">
      <c r="A58" s="50" t="s">
        <v>140</v>
      </c>
      <c r="B58" s="53">
        <f>+VLOOKUP($A58&amp;$A$48&amp;$B$48,REPORT_raw_dataseen!$A$1:$P$721, MATCH(Referrals!B$51,REPORT_raw_dataseen!$D$1:$O$1,1)+3,FALSE)</f>
        <v>2</v>
      </c>
      <c r="C58" s="53">
        <f>+VLOOKUP($A58&amp;$A$48&amp;$B$48,REPORT_raw_dataseen!$A$1:$P$721, MATCH(Referrals!C$51,REPORT_raw_dataseen!$D$1:$O$1,1)+3,FALSE)</f>
        <v>8</v>
      </c>
      <c r="D58" s="53">
        <f>+VLOOKUP($A58&amp;$A$48&amp;$B$48,REPORT_raw_dataseen!$A$1:$P$721, MATCH(Referrals!D$51,REPORT_raw_dataseen!$D$1:$O$1,1)+3,FALSE)</f>
        <v>8</v>
      </c>
      <c r="E58" s="53">
        <f>+VLOOKUP($A58&amp;$A$48&amp;$B$48,REPORT_raw_dataseen!$A$1:$P$721, MATCH(Referrals!E$6,REPORT_raw_dataseen!$D$1:$O$1,1)+3,FALSE)</f>
        <v>12</v>
      </c>
      <c r="F58" s="53">
        <f>+VLOOKUP($A58&amp;$A$48&amp;$B$48,REPORT_raw_dataseen!$A$1:$P$721, MATCH(Referrals!F$6,REPORT_raw_dataseen!$D$1:$O$1,1)+3,FALSE)</f>
        <v>11</v>
      </c>
      <c r="G58" s="53">
        <f>+VLOOKUP($A58&amp;$A$48&amp;$B$48,REPORT_raw_dataseen!$A$1:$P$721, MATCH(Referrals!G$6,REPORT_raw_dataseen!$D$1:$O$1,1)+3,FALSE)</f>
        <v>11</v>
      </c>
      <c r="H58" s="53">
        <f>+VLOOKUP($A58&amp;$A$48&amp;$B$48,REPORT_raw_dataseen!$A$1:$P$721, MATCH(Referrals!H$6,REPORT_raw_dataseen!$D$1:$O$1,1)+3,FALSE)</f>
        <v>12</v>
      </c>
      <c r="I58" s="53">
        <f>+VLOOKUP($A58&amp;$A$48&amp;$B$48,REPORT_raw_dataseen!$A$1:$P$721, MATCH(Referrals!I$6,REPORT_raw_dataseen!$D$1:$O$1,1)+3,FALSE)</f>
        <v>24</v>
      </c>
      <c r="J58" s="53">
        <f>+VLOOKUP($A58&amp;$A$48&amp;$B$48,REPORT_raw_dataseen!$A$1:$P$721, MATCH(Referrals!J$6,REPORT_raw_dataseen!$D$1:$O$1,1)+3,FALSE)</f>
        <v>14</v>
      </c>
      <c r="K58" s="53">
        <f>+VLOOKUP($A58&amp;$A$48&amp;$B$48,REPORT_raw_dataseen!$A$1:$P$721, MATCH(Referrals!K$6,REPORT_raw_dataseen!$D$1:$O$1,1)+3,FALSE)</f>
        <v>18</v>
      </c>
      <c r="L58" s="53">
        <f>+VLOOKUP($A58&amp;$A$48&amp;$B$48,REPORT_raw_dataseen!$A$1:$P$721, MATCH(Referrals!L$6,REPORT_raw_dataseen!$D$1:$O$1,1)+3,FALSE)</f>
        <v>21</v>
      </c>
      <c r="M58" s="53">
        <f>+VLOOKUP($A58&amp;$A$48&amp;$B$48,REPORT_raw_dataseen!$A$1:$R$721, MATCH(Referrals!M$6,REPORT_raw_dataseen!$D$1:$R$1,1)+3,FALSE)</f>
        <v>18</v>
      </c>
      <c r="N58" s="53">
        <f>+VLOOKUP($A58&amp;$A$48&amp;$B$48,REPORT_raw_dataseen!$A$1:$R$721, MATCH(Referrals!N$6,REPORT_raw_dataseen!$D$1:$R$1,1)+3,FALSE)</f>
        <v>23</v>
      </c>
      <c r="O58" s="53">
        <f>+VLOOKUP($A58&amp;$A$48&amp;$B$48,REPORT_raw_dataseen!$A$1:$R$721, MATCH(Referrals!O$6,REPORT_raw_dataseen!$D$1:$R$1,1)+3,FALSE)</f>
        <v>36</v>
      </c>
      <c r="P58" s="53">
        <f>+VLOOKUP($A58&amp;$A$48&amp;$B$48,REPORT_raw_dataseen!$A$1:$R$721, MATCH(Referrals!P$6,REPORT_raw_dataseen!$D$1:$R$1,1)+3,FALSE)</f>
        <v>41</v>
      </c>
    </row>
    <row r="59" spans="1:16">
      <c r="A59" s="50" t="s">
        <v>141</v>
      </c>
      <c r="B59" s="53">
        <f>+VLOOKUP($A59&amp;$A$48&amp;$B$48,REPORT_raw_dataseen!$A$1:$P$721, MATCH(Referrals!B$51,REPORT_raw_dataseen!$D$1:$O$1,1)+3,FALSE)</f>
        <v>413</v>
      </c>
      <c r="C59" s="53">
        <f>+VLOOKUP($A59&amp;$A$48&amp;$B$48,REPORT_raw_dataseen!$A$1:$P$721, MATCH(Referrals!C$51,REPORT_raw_dataseen!$D$1:$O$1,1)+3,FALSE)</f>
        <v>711</v>
      </c>
      <c r="D59" s="53">
        <f>+VLOOKUP($A59&amp;$A$48&amp;$B$48,REPORT_raw_dataseen!$A$1:$P$721, MATCH(Referrals!D$51,REPORT_raw_dataseen!$D$1:$O$1,1)+3,FALSE)</f>
        <v>937</v>
      </c>
      <c r="E59" s="53">
        <f>+VLOOKUP($A59&amp;$A$48&amp;$B$48,REPORT_raw_dataseen!$A$1:$P$721, MATCH(Referrals!E$6,REPORT_raw_dataseen!$D$1:$O$1,1)+3,FALSE)</f>
        <v>1020</v>
      </c>
      <c r="F59" s="53">
        <f>+VLOOKUP($A59&amp;$A$48&amp;$B$48,REPORT_raw_dataseen!$A$1:$P$721, MATCH(Referrals!F$6,REPORT_raw_dataseen!$D$1:$O$1,1)+3,FALSE)</f>
        <v>956</v>
      </c>
      <c r="G59" s="53">
        <f>+VLOOKUP($A59&amp;$A$48&amp;$B$48,REPORT_raw_dataseen!$A$1:$P$721, MATCH(Referrals!G$6,REPORT_raw_dataseen!$D$1:$O$1,1)+3,FALSE)</f>
        <v>985</v>
      </c>
      <c r="H59" s="53">
        <f>+VLOOKUP($A59&amp;$A$48&amp;$B$48,REPORT_raw_dataseen!$A$1:$P$721, MATCH(Referrals!H$6,REPORT_raw_dataseen!$D$1:$O$1,1)+3,FALSE)</f>
        <v>980</v>
      </c>
      <c r="I59" s="53">
        <f>+VLOOKUP($A59&amp;$A$48&amp;$B$48,REPORT_raw_dataseen!$A$1:$P$721, MATCH(Referrals!I$6,REPORT_raw_dataseen!$D$1:$O$1,1)+3,FALSE)</f>
        <v>934</v>
      </c>
      <c r="J59" s="53">
        <f>+VLOOKUP($A59&amp;$A$48&amp;$B$48,REPORT_raw_dataseen!$A$1:$P$721, MATCH(Referrals!J$6,REPORT_raw_dataseen!$D$1:$O$1,1)+3,FALSE)</f>
        <v>882</v>
      </c>
      <c r="K59" s="53">
        <f>+VLOOKUP($A59&amp;$A$48&amp;$B$48,REPORT_raw_dataseen!$A$1:$P$721, MATCH(Referrals!K$6,REPORT_raw_dataseen!$D$1:$O$1,1)+3,FALSE)</f>
        <v>826</v>
      </c>
      <c r="L59" s="53">
        <f>+VLOOKUP($A59&amp;$A$48&amp;$B$48,REPORT_raw_dataseen!$A$1:$P$721, MATCH(Referrals!L$6,REPORT_raw_dataseen!$D$1:$O$1,1)+3,FALSE)</f>
        <v>902</v>
      </c>
      <c r="M59" s="53">
        <f>+VLOOKUP($A59&amp;$A$48&amp;$B$48,REPORT_raw_dataseen!$A$1:$R$721, MATCH(Referrals!M$6,REPORT_raw_dataseen!$D$1:$R$1,1)+3,FALSE)</f>
        <v>1091</v>
      </c>
      <c r="N59" s="53">
        <f>+VLOOKUP($A59&amp;$A$48&amp;$B$48,REPORT_raw_dataseen!$A$1:$R$721, MATCH(Referrals!N$6,REPORT_raw_dataseen!$D$1:$R$1,1)+3,FALSE)</f>
        <v>1026</v>
      </c>
      <c r="O59" s="53">
        <f>+VLOOKUP($A59&amp;$A$48&amp;$B$48,REPORT_raw_dataseen!$A$1:$R$721, MATCH(Referrals!O$6,REPORT_raw_dataseen!$D$1:$R$1,1)+3,FALSE)</f>
        <v>986</v>
      </c>
      <c r="P59" s="53">
        <f>+VLOOKUP($A59&amp;$A$48&amp;$B$48,REPORT_raw_dataseen!$A$1:$R$721, MATCH(Referrals!P$6,REPORT_raw_dataseen!$D$1:$R$1,1)+3,FALSE)</f>
        <v>1099</v>
      </c>
    </row>
    <row r="60" spans="1:16">
      <c r="A60" s="50" t="s">
        <v>142</v>
      </c>
      <c r="B60" s="53">
        <f>+VLOOKUP($A60&amp;$A$48&amp;$B$48,REPORT_raw_dataseen!$A$1:$P$721, MATCH(Referrals!B$51,REPORT_raw_dataseen!$D$1:$O$1,1)+3,FALSE)</f>
        <v>13</v>
      </c>
      <c r="C60" s="53">
        <f>+VLOOKUP($A60&amp;$A$48&amp;$B$48,REPORT_raw_dataseen!$A$1:$P$721, MATCH(Referrals!C$51,REPORT_raw_dataseen!$D$1:$O$1,1)+3,FALSE)</f>
        <v>19</v>
      </c>
      <c r="D60" s="53">
        <f>+VLOOKUP($A60&amp;$A$48&amp;$B$48,REPORT_raw_dataseen!$A$1:$P$721, MATCH(Referrals!D$51,REPORT_raw_dataseen!$D$1:$O$1,1)+3,FALSE)</f>
        <v>28</v>
      </c>
      <c r="E60" s="53">
        <f>+VLOOKUP($A60&amp;$A$48&amp;$B$48,REPORT_raw_dataseen!$A$1:$P$721, MATCH(Referrals!E$6,REPORT_raw_dataseen!$D$1:$O$1,1)+3,FALSE)</f>
        <v>25</v>
      </c>
      <c r="F60" s="53">
        <f>+VLOOKUP($A60&amp;$A$48&amp;$B$48,REPORT_raw_dataseen!$A$1:$P$721, MATCH(Referrals!F$6,REPORT_raw_dataseen!$D$1:$O$1,1)+3,FALSE)</f>
        <v>26</v>
      </c>
      <c r="G60" s="53">
        <f>+VLOOKUP($A60&amp;$A$48&amp;$B$48,REPORT_raw_dataseen!$A$1:$P$721, MATCH(Referrals!G$6,REPORT_raw_dataseen!$D$1:$O$1,1)+3,FALSE)</f>
        <v>27</v>
      </c>
      <c r="H60" s="53">
        <f>+VLOOKUP($A60&amp;$A$48&amp;$B$48,REPORT_raw_dataseen!$A$1:$P$721, MATCH(Referrals!H$6,REPORT_raw_dataseen!$D$1:$O$1,1)+3,FALSE)</f>
        <v>20</v>
      </c>
      <c r="I60" s="53">
        <f>+VLOOKUP($A60&amp;$A$48&amp;$B$48,REPORT_raw_dataseen!$A$1:$P$721, MATCH(Referrals!I$6,REPORT_raw_dataseen!$D$1:$O$1,1)+3,FALSE)</f>
        <v>29</v>
      </c>
      <c r="J60" s="53">
        <f>+VLOOKUP($A60&amp;$A$48&amp;$B$48,REPORT_raw_dataseen!$A$1:$P$721, MATCH(Referrals!J$6,REPORT_raw_dataseen!$D$1:$O$1,1)+3,FALSE)</f>
        <v>29</v>
      </c>
      <c r="K60" s="53">
        <f>+VLOOKUP($A60&amp;$A$48&amp;$B$48,REPORT_raw_dataseen!$A$1:$P$721, MATCH(Referrals!K$6,REPORT_raw_dataseen!$D$1:$O$1,1)+3,FALSE)</f>
        <v>21</v>
      </c>
      <c r="L60" s="53">
        <f>+VLOOKUP($A60&amp;$A$48&amp;$B$48,REPORT_raw_dataseen!$A$1:$P$721, MATCH(Referrals!L$6,REPORT_raw_dataseen!$D$1:$O$1,1)+3,FALSE)</f>
        <v>23</v>
      </c>
      <c r="M60" s="53">
        <f>+VLOOKUP($A60&amp;$A$48&amp;$B$48,REPORT_raw_dataseen!$A$1:$R$721, MATCH(Referrals!M$6,REPORT_raw_dataseen!$D$1:$R$1,1)+3,FALSE)</f>
        <v>39</v>
      </c>
      <c r="N60" s="53">
        <f>+VLOOKUP($A60&amp;$A$48&amp;$B$48,REPORT_raw_dataseen!$A$1:$R$721, MATCH(Referrals!N$6,REPORT_raw_dataseen!$D$1:$R$1,1)+3,FALSE)</f>
        <v>48</v>
      </c>
      <c r="O60" s="53">
        <f>+VLOOKUP($A60&amp;$A$48&amp;$B$48,REPORT_raw_dataseen!$A$1:$R$721, MATCH(Referrals!O$6,REPORT_raw_dataseen!$D$1:$R$1,1)+3,FALSE)</f>
        <v>34</v>
      </c>
      <c r="P60" s="53">
        <f>+VLOOKUP($A60&amp;$A$48&amp;$B$48,REPORT_raw_dataseen!$A$1:$R$721, MATCH(Referrals!P$6,REPORT_raw_dataseen!$D$1:$R$1,1)+3,FALSE)</f>
        <v>53</v>
      </c>
    </row>
    <row r="61" spans="1:16">
      <c r="A61" s="50" t="s">
        <v>192</v>
      </c>
      <c r="B61" s="53">
        <f>+VLOOKUP($A61&amp;$A$48&amp;$B$48,REPORT_raw_dataseen!$A$1:$P$721, MATCH(Referrals!B$51,REPORT_raw_dataseen!$D$1:$O$1,1)+3,FALSE)</f>
        <v>18</v>
      </c>
      <c r="C61" s="53">
        <f>+VLOOKUP($A61&amp;$A$48&amp;$B$48,REPORT_raw_dataseen!$A$1:$P$721, MATCH(Referrals!C$51,REPORT_raw_dataseen!$D$1:$O$1,1)+3,FALSE)</f>
        <v>19</v>
      </c>
      <c r="D61" s="53">
        <f>+VLOOKUP($A61&amp;$A$48&amp;$B$48,REPORT_raw_dataseen!$A$1:$P$721, MATCH(Referrals!D$51,REPORT_raw_dataseen!$D$1:$O$1,1)+3,FALSE)</f>
        <v>19</v>
      </c>
      <c r="E61" s="53">
        <f>+VLOOKUP($A61&amp;$A$48&amp;$B$48,REPORT_raw_dataseen!$A$1:$P$721, MATCH(Referrals!E$6,REPORT_raw_dataseen!$D$1:$O$1,1)+3,FALSE)</f>
        <v>33</v>
      </c>
      <c r="F61" s="53">
        <f>+VLOOKUP($A61&amp;$A$48&amp;$B$48,REPORT_raw_dataseen!$A$1:$P$721, MATCH(Referrals!F$6,REPORT_raw_dataseen!$D$1:$O$1,1)+3,FALSE)</f>
        <v>34</v>
      </c>
      <c r="G61" s="53">
        <f>+VLOOKUP($A61&amp;$A$48&amp;$B$48,REPORT_raw_dataseen!$A$1:$P$721, MATCH(Referrals!G$6,REPORT_raw_dataseen!$D$1:$O$1,1)+3,FALSE)</f>
        <v>57</v>
      </c>
      <c r="H61" s="53">
        <f>+VLOOKUP($A61&amp;$A$48&amp;$B$48,REPORT_raw_dataseen!$A$1:$P$721, MATCH(Referrals!H$6,REPORT_raw_dataseen!$D$1:$O$1,1)+3,FALSE)</f>
        <v>40</v>
      </c>
      <c r="I61" s="53">
        <f>+VLOOKUP($A61&amp;$A$48&amp;$B$48,REPORT_raw_dataseen!$A$1:$P$721, MATCH(Referrals!I$6,REPORT_raw_dataseen!$D$1:$O$1,1)+3,FALSE)</f>
        <v>49</v>
      </c>
      <c r="J61" s="53">
        <f>+VLOOKUP($A61&amp;$A$48&amp;$B$48,REPORT_raw_dataseen!$A$1:$P$721, MATCH(Referrals!J$6,REPORT_raw_dataseen!$D$1:$O$1,1)+3,FALSE)</f>
        <v>39</v>
      </c>
      <c r="K61" s="53">
        <f>+VLOOKUP($A61&amp;$A$48&amp;$B$48,REPORT_raw_dataseen!$A$1:$P$721, MATCH(Referrals!K$6,REPORT_raw_dataseen!$D$1:$O$1,1)+3,FALSE)</f>
        <v>36</v>
      </c>
      <c r="L61" s="53">
        <f>+VLOOKUP($A61&amp;$A$48&amp;$B$48,REPORT_raw_dataseen!$A$1:$P$721, MATCH(Referrals!L$6,REPORT_raw_dataseen!$D$1:$O$1,1)+3,FALSE)</f>
        <v>45</v>
      </c>
      <c r="M61" s="53">
        <f>+VLOOKUP($A61&amp;$A$48&amp;$B$48,REPORT_raw_dataseen!$A$1:$R$721, MATCH(Referrals!M$6,REPORT_raw_dataseen!$D$1:$R$1,1)+3,FALSE)</f>
        <v>64</v>
      </c>
      <c r="N61" s="53">
        <f>+VLOOKUP($A61&amp;$A$48&amp;$B$48,REPORT_raw_dataseen!$A$1:$R$721, MATCH(Referrals!N$6,REPORT_raw_dataseen!$D$1:$R$1,1)+3,FALSE)</f>
        <v>42</v>
      </c>
      <c r="O61" s="53">
        <f>+VLOOKUP($A61&amp;$A$48&amp;$B$48,REPORT_raw_dataseen!$A$1:$R$721, MATCH(Referrals!O$6,REPORT_raw_dataseen!$D$1:$R$1,1)+3,FALSE)</f>
        <v>91</v>
      </c>
      <c r="P61" s="53">
        <f>+VLOOKUP($A61&amp;$A$48&amp;$B$48,REPORT_raw_dataseen!$A$1:$R$721, MATCH(Referrals!P$6,REPORT_raw_dataseen!$D$1:$R$1,1)+3,FALSE)</f>
        <v>80</v>
      </c>
    </row>
    <row r="62" spans="1:16">
      <c r="A62" s="50" t="s">
        <v>143</v>
      </c>
      <c r="B62" s="53">
        <f>+VLOOKUP($A62&amp;$A$48&amp;$B$48,REPORT_raw_dataseen!$A$1:$P$721, MATCH(Referrals!B$51,REPORT_raw_dataseen!$D$1:$O$1,1)+3,FALSE)</f>
        <v>86</v>
      </c>
      <c r="C62" s="53">
        <f>+VLOOKUP($A62&amp;$A$48&amp;$B$48,REPORT_raw_dataseen!$A$1:$P$721, MATCH(Referrals!C$51,REPORT_raw_dataseen!$D$1:$O$1,1)+3,FALSE)</f>
        <v>52</v>
      </c>
      <c r="D62" s="53">
        <f>+VLOOKUP($A62&amp;$A$48&amp;$B$48,REPORT_raw_dataseen!$A$1:$P$721, MATCH(Referrals!D$51,REPORT_raw_dataseen!$D$1:$O$1,1)+3,FALSE)</f>
        <v>87</v>
      </c>
      <c r="E62" s="53">
        <f>+VLOOKUP($A62&amp;$A$48&amp;$B$48,REPORT_raw_dataseen!$A$1:$P$721, MATCH(Referrals!E$6,REPORT_raw_dataseen!$D$1:$O$1,1)+3,FALSE)</f>
        <v>94</v>
      </c>
      <c r="F62" s="53">
        <f>+VLOOKUP($A62&amp;$A$48&amp;$B$48,REPORT_raw_dataseen!$A$1:$P$721, MATCH(Referrals!F$6,REPORT_raw_dataseen!$D$1:$O$1,1)+3,FALSE)</f>
        <v>98</v>
      </c>
      <c r="G62" s="53">
        <f>+VLOOKUP($A62&amp;$A$48&amp;$B$48,REPORT_raw_dataseen!$A$1:$P$721, MATCH(Referrals!G$6,REPORT_raw_dataseen!$D$1:$O$1,1)+3,FALSE)</f>
        <v>89</v>
      </c>
      <c r="H62" s="53">
        <f>+VLOOKUP($A62&amp;$A$48&amp;$B$48,REPORT_raw_dataseen!$A$1:$P$721, MATCH(Referrals!H$6,REPORT_raw_dataseen!$D$1:$O$1,1)+3,FALSE)</f>
        <v>87</v>
      </c>
      <c r="I62" s="53">
        <f>+VLOOKUP($A62&amp;$A$48&amp;$B$48,REPORT_raw_dataseen!$A$1:$P$721, MATCH(Referrals!I$6,REPORT_raw_dataseen!$D$1:$O$1,1)+3,FALSE)</f>
        <v>89</v>
      </c>
      <c r="J62" s="53">
        <f>+VLOOKUP($A62&amp;$A$48&amp;$B$48,REPORT_raw_dataseen!$A$1:$P$721, MATCH(Referrals!J$6,REPORT_raw_dataseen!$D$1:$O$1,1)+3,FALSE)</f>
        <v>82</v>
      </c>
      <c r="K62" s="53">
        <f>+VLOOKUP($A62&amp;$A$48&amp;$B$48,REPORT_raw_dataseen!$A$1:$P$721, MATCH(Referrals!K$6,REPORT_raw_dataseen!$D$1:$O$1,1)+3,FALSE)</f>
        <v>76</v>
      </c>
      <c r="L62" s="53">
        <f>+VLOOKUP($A62&amp;$A$48&amp;$B$48,REPORT_raw_dataseen!$A$1:$P$721, MATCH(Referrals!L$6,REPORT_raw_dataseen!$D$1:$O$1,1)+3,FALSE)</f>
        <v>84</v>
      </c>
      <c r="M62" s="53">
        <f>+VLOOKUP($A62&amp;$A$48&amp;$B$48,REPORT_raw_dataseen!$A$1:$R$721, MATCH(Referrals!M$6,REPORT_raw_dataseen!$D$1:$R$1,1)+3,FALSE)</f>
        <v>110</v>
      </c>
      <c r="N62" s="53">
        <f>+VLOOKUP($A62&amp;$A$48&amp;$B$48,REPORT_raw_dataseen!$A$1:$R$721, MATCH(Referrals!N$6,REPORT_raw_dataseen!$D$1:$R$1,1)+3,FALSE)</f>
        <v>96</v>
      </c>
      <c r="O62" s="53">
        <f>+VLOOKUP($A62&amp;$A$48&amp;$B$48,REPORT_raw_dataseen!$A$1:$R$721, MATCH(Referrals!O$6,REPORT_raw_dataseen!$D$1:$R$1,1)+3,FALSE)</f>
        <v>103</v>
      </c>
      <c r="P62" s="53">
        <f>+VLOOKUP($A62&amp;$A$48&amp;$B$48,REPORT_raw_dataseen!$A$1:$R$721, MATCH(Referrals!P$6,REPORT_raw_dataseen!$D$1:$R$1,1)+3,FALSE)</f>
        <v>98</v>
      </c>
    </row>
    <row r="63" spans="1:16">
      <c r="A63" s="50" t="s">
        <v>144</v>
      </c>
      <c r="B63" s="53">
        <f>+VLOOKUP($A63&amp;$A$48&amp;$B$48,REPORT_raw_dataseen!$A$1:$P$721, MATCH(Referrals!B$51,REPORT_raw_dataseen!$D$1:$O$1,1)+3,FALSE)</f>
        <v>0</v>
      </c>
      <c r="C63" s="53">
        <f>+VLOOKUP($A63&amp;$A$48&amp;$B$48,REPORT_raw_dataseen!$A$1:$P$721, MATCH(Referrals!C$51,REPORT_raw_dataseen!$D$1:$O$1,1)+3,FALSE)</f>
        <v>0</v>
      </c>
      <c r="D63" s="53">
        <f>+VLOOKUP($A63&amp;$A$48&amp;$B$48,REPORT_raw_dataseen!$A$1:$P$721, MATCH(Referrals!D$51,REPORT_raw_dataseen!$D$1:$O$1,1)+3,FALSE)</f>
        <v>1</v>
      </c>
      <c r="E63" s="53">
        <f>+VLOOKUP($A63&amp;$A$48&amp;$B$48,REPORT_raw_dataseen!$A$1:$P$721, MATCH(Referrals!E$6,REPORT_raw_dataseen!$D$1:$O$1,1)+3,FALSE)</f>
        <v>0</v>
      </c>
      <c r="F63" s="53">
        <f>+VLOOKUP($A63&amp;$A$48&amp;$B$48,REPORT_raw_dataseen!$A$1:$P$721, MATCH(Referrals!F$6,REPORT_raw_dataseen!$D$1:$O$1,1)+3,FALSE)</f>
        <v>0</v>
      </c>
      <c r="G63" s="53">
        <f>+VLOOKUP($A63&amp;$A$48&amp;$B$48,REPORT_raw_dataseen!$A$1:$P$721, MATCH(Referrals!G$6,REPORT_raw_dataseen!$D$1:$O$1,1)+3,FALSE)</f>
        <v>0</v>
      </c>
      <c r="H63" s="53">
        <f>+VLOOKUP($A63&amp;$A$48&amp;$B$48,REPORT_raw_dataseen!$A$1:$P$721, MATCH(Referrals!H$6,REPORT_raw_dataseen!$D$1:$O$1,1)+3,FALSE)</f>
        <v>1</v>
      </c>
      <c r="I63" s="53">
        <f>+VLOOKUP($A63&amp;$A$48&amp;$B$48,REPORT_raw_dataseen!$A$1:$P$721, MATCH(Referrals!I$6,REPORT_raw_dataseen!$D$1:$O$1,1)+3,FALSE)</f>
        <v>0</v>
      </c>
      <c r="J63" s="53">
        <f>+VLOOKUP($A63&amp;$A$48&amp;$B$48,REPORT_raw_dataseen!$A$1:$P$721, MATCH(Referrals!J$6,REPORT_raw_dataseen!$D$1:$O$1,1)+3,FALSE)</f>
        <v>0</v>
      </c>
      <c r="K63" s="53">
        <f>+VLOOKUP($A63&amp;$A$48&amp;$B$48,REPORT_raw_dataseen!$A$1:$P$721, MATCH(Referrals!K$6,REPORT_raw_dataseen!$D$1:$O$1,1)+3,FALSE)</f>
        <v>0</v>
      </c>
      <c r="L63" s="53">
        <f>+VLOOKUP($A63&amp;$A$48&amp;$B$48,REPORT_raw_dataseen!$A$1:$P$721, MATCH(Referrals!L$6,REPORT_raw_dataseen!$D$1:$O$1,1)+3,FALSE)</f>
        <v>0</v>
      </c>
      <c r="M63" s="53">
        <f>+VLOOKUP($A63&amp;$A$48&amp;$B$48,REPORT_raw_dataseen!$A$1:$R$721, MATCH(Referrals!M$6,REPORT_raw_dataseen!$D$1:$R$1,1)+3,FALSE)</f>
        <v>0</v>
      </c>
      <c r="N63" s="53">
        <f>+VLOOKUP($A63&amp;$A$48&amp;$B$48,REPORT_raw_dataseen!$A$1:$R$721, MATCH(Referrals!N$6,REPORT_raw_dataseen!$D$1:$R$1,1)+3,FALSE)</f>
        <v>1</v>
      </c>
      <c r="O63" s="53">
        <f>+VLOOKUP($A63&amp;$A$48&amp;$B$48,REPORT_raw_dataseen!$A$1:$R$721, MATCH(Referrals!O$6,REPORT_raw_dataseen!$D$1:$R$1,1)+3,FALSE)</f>
        <v>0</v>
      </c>
      <c r="P63" s="53">
        <f>+VLOOKUP($A63&amp;$A$48&amp;$B$48,REPORT_raw_dataseen!$A$1:$R$721, MATCH(Referrals!P$6,REPORT_raw_dataseen!$D$1:$R$1,1)+3,FALSE)</f>
        <v>1</v>
      </c>
    </row>
    <row r="64" spans="1:16">
      <c r="A64" s="50" t="s">
        <v>145</v>
      </c>
      <c r="B64" s="53">
        <f>+VLOOKUP($A64&amp;$A$48&amp;$B$48,REPORT_raw_dataseen!$A$1:$P$721, MATCH(Referrals!B$51,REPORT_raw_dataseen!$D$1:$O$1,1)+3,FALSE)</f>
        <v>0</v>
      </c>
      <c r="C64" s="53">
        <f>+VLOOKUP($A64&amp;$A$48&amp;$B$48,REPORT_raw_dataseen!$A$1:$P$721, MATCH(Referrals!C$51,REPORT_raw_dataseen!$D$1:$O$1,1)+3,FALSE)</f>
        <v>0</v>
      </c>
      <c r="D64" s="53">
        <f>+VLOOKUP($A64&amp;$A$48&amp;$B$48,REPORT_raw_dataseen!$A$1:$P$721, MATCH(Referrals!D$51,REPORT_raw_dataseen!$D$1:$O$1,1)+3,FALSE)</f>
        <v>0</v>
      </c>
      <c r="E64" s="53">
        <f>+VLOOKUP($A64&amp;$A$48&amp;$B$48,REPORT_raw_dataseen!$A$1:$P$721, MATCH(Referrals!E$6,REPORT_raw_dataseen!$D$1:$O$1,1)+3,FALSE)</f>
        <v>0</v>
      </c>
      <c r="F64" s="53">
        <f>+VLOOKUP($A64&amp;$A$48&amp;$B$48,REPORT_raw_dataseen!$A$1:$P$721, MATCH(Referrals!F$6,REPORT_raw_dataseen!$D$1:$O$1,1)+3,FALSE)</f>
        <v>0</v>
      </c>
      <c r="G64" s="53">
        <f>+VLOOKUP($A64&amp;$A$48&amp;$B$48,REPORT_raw_dataseen!$A$1:$P$721, MATCH(Referrals!G$6,REPORT_raw_dataseen!$D$1:$O$1,1)+3,FALSE)</f>
        <v>4</v>
      </c>
      <c r="H64" s="53">
        <f>+VLOOKUP($A64&amp;$A$48&amp;$B$48,REPORT_raw_dataseen!$A$1:$P$721, MATCH(Referrals!H$6,REPORT_raw_dataseen!$D$1:$O$1,1)+3,FALSE)</f>
        <v>4</v>
      </c>
      <c r="I64" s="53">
        <f>+VLOOKUP($A64&amp;$A$48&amp;$B$48,REPORT_raw_dataseen!$A$1:$P$721, MATCH(Referrals!I$6,REPORT_raw_dataseen!$D$1:$O$1,1)+3,FALSE)</f>
        <v>0</v>
      </c>
      <c r="J64" s="53">
        <f>+VLOOKUP($A64&amp;$A$48&amp;$B$48,REPORT_raw_dataseen!$A$1:$P$721, MATCH(Referrals!J$6,REPORT_raw_dataseen!$D$1:$O$1,1)+3,FALSE)</f>
        <v>1</v>
      </c>
      <c r="K64" s="53">
        <f>+VLOOKUP($A64&amp;$A$48&amp;$B$48,REPORT_raw_dataseen!$A$1:$P$721, MATCH(Referrals!K$6,REPORT_raw_dataseen!$D$1:$O$1,1)+3,FALSE)</f>
        <v>0</v>
      </c>
      <c r="L64" s="53">
        <f>+VLOOKUP($A64&amp;$A$48&amp;$B$48,REPORT_raw_dataseen!$A$1:$P$721, MATCH(Referrals!L$6,REPORT_raw_dataseen!$D$1:$O$1,1)+3,FALSE)</f>
        <v>1</v>
      </c>
      <c r="M64" s="53">
        <f>+VLOOKUP($A64&amp;$A$48&amp;$B$48,REPORT_raw_dataseen!$A$1:$R$721, MATCH(Referrals!M$6,REPORT_raw_dataseen!$D$1:$R$1,1)+3,FALSE)</f>
        <v>0</v>
      </c>
      <c r="N64" s="53">
        <f>+VLOOKUP($A64&amp;$A$48&amp;$B$48,REPORT_raw_dataseen!$A$1:$R$721, MATCH(Referrals!N$6,REPORT_raw_dataseen!$D$1:$R$1,1)+3,FALSE)</f>
        <v>1</v>
      </c>
      <c r="O64" s="53">
        <f>+VLOOKUP($A64&amp;$A$48&amp;$B$48,REPORT_raw_dataseen!$A$1:$R$721, MATCH(Referrals!O$6,REPORT_raw_dataseen!$D$1:$R$1,1)+3,FALSE)</f>
        <v>2</v>
      </c>
      <c r="P64" s="53">
        <f>+VLOOKUP($A64&amp;$A$48&amp;$B$48,REPORT_raw_dataseen!$A$1:$R$721, MATCH(Referrals!P$6,REPORT_raw_dataseen!$D$1:$R$1,1)+3,FALSE)</f>
        <v>2</v>
      </c>
    </row>
    <row r="65" spans="1:16">
      <c r="A65" s="50" t="s">
        <v>146</v>
      </c>
      <c r="B65" s="53">
        <f>+VLOOKUP($A65&amp;$A$48&amp;$B$48,REPORT_raw_dataseen!$A$1:$P$721, MATCH(Referrals!B$51,REPORT_raw_dataseen!$D$1:$O$1,1)+3,FALSE)</f>
        <v>28</v>
      </c>
      <c r="C65" s="53">
        <f>+VLOOKUP($A65&amp;$A$48&amp;$B$48,REPORT_raw_dataseen!$A$1:$P$721, MATCH(Referrals!C$51,REPORT_raw_dataseen!$D$1:$O$1,1)+3,FALSE)</f>
        <v>25</v>
      </c>
      <c r="D65" s="53">
        <f>+VLOOKUP($A65&amp;$A$48&amp;$B$48,REPORT_raw_dataseen!$A$1:$P$721, MATCH(Referrals!D$51,REPORT_raw_dataseen!$D$1:$O$1,1)+3,FALSE)</f>
        <v>25</v>
      </c>
      <c r="E65" s="53">
        <f>+VLOOKUP($A65&amp;$A$48&amp;$B$48,REPORT_raw_dataseen!$A$1:$P$721, MATCH(Referrals!E$6,REPORT_raw_dataseen!$D$1:$O$1,1)+3,FALSE)</f>
        <v>106</v>
      </c>
      <c r="F65" s="53">
        <f>+VLOOKUP($A65&amp;$A$48&amp;$B$48,REPORT_raw_dataseen!$A$1:$P$721, MATCH(Referrals!F$6,REPORT_raw_dataseen!$D$1:$O$1,1)+3,FALSE)</f>
        <v>53</v>
      </c>
      <c r="G65" s="53">
        <f>+VLOOKUP($A65&amp;$A$48&amp;$B$48,REPORT_raw_dataseen!$A$1:$P$721, MATCH(Referrals!G$6,REPORT_raw_dataseen!$D$1:$O$1,1)+3,FALSE)</f>
        <v>100</v>
      </c>
      <c r="H65" s="53">
        <f>+VLOOKUP($A65&amp;$A$48&amp;$B$48,REPORT_raw_dataseen!$A$1:$P$721, MATCH(Referrals!H$6,REPORT_raw_dataseen!$D$1:$O$1,1)+3,FALSE)</f>
        <v>48</v>
      </c>
      <c r="I65" s="53">
        <f>+VLOOKUP($A65&amp;$A$48&amp;$B$48,REPORT_raw_dataseen!$A$1:$P$721, MATCH(Referrals!I$6,REPORT_raw_dataseen!$D$1:$O$1,1)+3,FALSE)</f>
        <v>107</v>
      </c>
      <c r="J65" s="53">
        <f>+VLOOKUP($A65&amp;$A$48&amp;$B$48,REPORT_raw_dataseen!$A$1:$P$721, MATCH(Referrals!J$6,REPORT_raw_dataseen!$D$1:$O$1,1)+3,FALSE)</f>
        <v>46</v>
      </c>
      <c r="K65" s="53">
        <f>+VLOOKUP($A65&amp;$A$48&amp;$B$48,REPORT_raw_dataseen!$A$1:$P$721, MATCH(Referrals!K$6,REPORT_raw_dataseen!$D$1:$O$1,1)+3,FALSE)</f>
        <v>95</v>
      </c>
      <c r="L65" s="53">
        <f>+VLOOKUP($A65&amp;$A$48&amp;$B$48,REPORT_raw_dataseen!$A$1:$P$721, MATCH(Referrals!L$6,REPORT_raw_dataseen!$D$1:$O$1,1)+3,FALSE)</f>
        <v>77</v>
      </c>
      <c r="M65" s="53">
        <f>+VLOOKUP($A65&amp;$A$48&amp;$B$48,REPORT_raw_dataseen!$A$1:$R$721, MATCH(Referrals!M$6,REPORT_raw_dataseen!$D$1:$R$1,1)+3,FALSE)</f>
        <v>95</v>
      </c>
      <c r="N65" s="53">
        <f>+VLOOKUP($A65&amp;$A$48&amp;$B$48,REPORT_raw_dataseen!$A$1:$R$721, MATCH(Referrals!N$6,REPORT_raw_dataseen!$D$1:$R$1,1)+3,FALSE)</f>
        <v>81</v>
      </c>
      <c r="O65" s="53">
        <f>+VLOOKUP($A65&amp;$A$48&amp;$B$48,REPORT_raw_dataseen!$A$1:$R$721, MATCH(Referrals!O$6,REPORT_raw_dataseen!$D$1:$R$1,1)+3,FALSE)</f>
        <v>87</v>
      </c>
      <c r="P65" s="53">
        <f>+VLOOKUP($A65&amp;$A$48&amp;$B$48,REPORT_raw_dataseen!$A$1:$R$721, MATCH(Referrals!P$6,REPORT_raw_dataseen!$D$1:$R$1,1)+3,FALSE)</f>
        <v>132</v>
      </c>
    </row>
    <row r="66" spans="1:16">
      <c r="A66" s="50" t="s">
        <v>147</v>
      </c>
      <c r="B66" s="53">
        <f>+VLOOKUP($A66&amp;$A$48&amp;$B$48,REPORT_raw_dataseen!$A$1:$P$721, MATCH(Referrals!B$51,REPORT_raw_dataseen!$D$1:$O$1,1)+3,FALSE)</f>
        <v>0</v>
      </c>
      <c r="C66" s="53">
        <f>+VLOOKUP($A66&amp;$A$48&amp;$B$48,REPORT_raw_dataseen!$A$1:$P$721, MATCH(Referrals!C$51,REPORT_raw_dataseen!$D$1:$O$1,1)+3,FALSE)</f>
        <v>1</v>
      </c>
      <c r="D66" s="53">
        <f>+VLOOKUP($A66&amp;$A$48&amp;$B$48,REPORT_raw_dataseen!$A$1:$P$721, MATCH(Referrals!D$51,REPORT_raw_dataseen!$D$1:$O$1,1)+3,FALSE)</f>
        <v>1</v>
      </c>
      <c r="E66" s="53">
        <f>+VLOOKUP($A66&amp;$A$48&amp;$B$48,REPORT_raw_dataseen!$A$1:$P$721, MATCH(Referrals!E$6,REPORT_raw_dataseen!$D$1:$O$1,1)+3,FALSE)</f>
        <v>2</v>
      </c>
      <c r="F66" s="53">
        <f>+VLOOKUP($A66&amp;$A$48&amp;$B$48,REPORT_raw_dataseen!$A$1:$P$721, MATCH(Referrals!F$6,REPORT_raw_dataseen!$D$1:$O$1,1)+3,FALSE)</f>
        <v>0</v>
      </c>
      <c r="G66" s="53">
        <f>+VLOOKUP($A66&amp;$A$48&amp;$B$48,REPORT_raw_dataseen!$A$1:$P$721, MATCH(Referrals!G$6,REPORT_raw_dataseen!$D$1:$O$1,1)+3,FALSE)</f>
        <v>0</v>
      </c>
      <c r="H66" s="53">
        <f>+VLOOKUP($A66&amp;$A$48&amp;$B$48,REPORT_raw_dataseen!$A$1:$P$721, MATCH(Referrals!H$6,REPORT_raw_dataseen!$D$1:$O$1,1)+3,FALSE)</f>
        <v>0</v>
      </c>
      <c r="I66" s="53">
        <f>+VLOOKUP($A66&amp;$A$48&amp;$B$48,REPORT_raw_dataseen!$A$1:$P$721, MATCH(Referrals!I$6,REPORT_raw_dataseen!$D$1:$O$1,1)+3,FALSE)</f>
        <v>0</v>
      </c>
      <c r="J66" s="53">
        <f>+VLOOKUP($A66&amp;$A$48&amp;$B$48,REPORT_raw_dataseen!$A$1:$P$721, MATCH(Referrals!J$6,REPORT_raw_dataseen!$D$1:$O$1,1)+3,FALSE)</f>
        <v>0</v>
      </c>
      <c r="K66" s="53">
        <f>+VLOOKUP($A66&amp;$A$48&amp;$B$48,REPORT_raw_dataseen!$A$1:$P$721, MATCH(Referrals!K$6,REPORT_raw_dataseen!$D$1:$O$1,1)+3,FALSE)</f>
        <v>1</v>
      </c>
      <c r="L66" s="53">
        <f>+VLOOKUP($A66&amp;$A$48&amp;$B$48,REPORT_raw_dataseen!$A$1:$P$721, MATCH(Referrals!L$6,REPORT_raw_dataseen!$D$1:$O$1,1)+3,FALSE)</f>
        <v>0</v>
      </c>
      <c r="M66" s="53">
        <f>+VLOOKUP($A66&amp;$A$48&amp;$B$48,REPORT_raw_dataseen!$A$1:$R$721, MATCH(Referrals!M$6,REPORT_raw_dataseen!$D$1:$R$1,1)+3,FALSE)</f>
        <v>0</v>
      </c>
      <c r="N66" s="53">
        <f>+VLOOKUP($A66&amp;$A$48&amp;$B$48,REPORT_raw_dataseen!$A$1:$R$721, MATCH(Referrals!N$6,REPORT_raw_dataseen!$D$1:$R$1,1)+3,FALSE)</f>
        <v>0</v>
      </c>
      <c r="O66" s="53">
        <f>+VLOOKUP($A66&amp;$A$48&amp;$B$48,REPORT_raw_dataseen!$A$1:$R$721, MATCH(Referrals!O$6,REPORT_raw_dataseen!$D$1:$R$1,1)+3,FALSE)</f>
        <v>0</v>
      </c>
      <c r="P66" s="53">
        <f>+VLOOKUP($A66&amp;$A$48&amp;$B$48,REPORT_raw_dataseen!$A$1:$R$721, MATCH(Referrals!P$6,REPORT_raw_dataseen!$D$1:$R$1,1)+3,FALSE)</f>
        <v>0</v>
      </c>
    </row>
    <row r="67" spans="1:16">
      <c r="A67" s="59" t="s">
        <v>328</v>
      </c>
      <c r="B67" s="53">
        <f>+VLOOKUP($A67&amp;$A$48&amp;$B$48,REPORT_raw_dataseen!$A$1:$R$769, MATCH(Referrals!B$6,REPORT_raw_dataseen!$D$1:$R$1,1)+3,FALSE)</f>
        <v>2</v>
      </c>
      <c r="C67" s="53">
        <f>+VLOOKUP($A67&amp;$A$48&amp;$B$48,REPORT_raw_dataseen!$A$1:$R$769, MATCH(Referrals!C$6,REPORT_raw_dataseen!$D$1:$R$1,1)+3,FALSE)</f>
        <v>2</v>
      </c>
      <c r="D67" s="53">
        <f>+VLOOKUP($A67&amp;$A$48&amp;$B$48,REPORT_raw_dataseen!$A$1:$R$769, MATCH(Referrals!D$6,REPORT_raw_dataseen!$D$1:$R$1,1)+3,FALSE)</f>
        <v>6</v>
      </c>
      <c r="E67" s="53">
        <f>+VLOOKUP($A67&amp;$A$48&amp;$B$48,REPORT_raw_dataseen!$A$1:$R$769, MATCH(Referrals!E$6,REPORT_raw_dataseen!$D$1:$R$1,1)+3,FALSE)</f>
        <v>6</v>
      </c>
      <c r="F67" s="53">
        <f>+VLOOKUP($A67&amp;$A$48&amp;$B$48,REPORT_raw_dataseen!$A$1:$R$769, MATCH(Referrals!F$6,REPORT_raw_dataseen!$D$1:$R$1,1)+3,FALSE)</f>
        <v>5</v>
      </c>
      <c r="G67" s="53">
        <f>+VLOOKUP($A67&amp;$A$48&amp;$B$48,REPORT_raw_dataseen!$A$1:$R$769, MATCH(Referrals!G$6,REPORT_raw_dataseen!$D$1:$R$1,1)+3,FALSE)</f>
        <v>5</v>
      </c>
      <c r="H67" s="53" t="str">
        <f>+VLOOKUP($A67&amp;$A$48&amp;$B$48,REPORT_raw_dataseen!$A$1:$R$769, MATCH(Referrals!H$6,REPORT_raw_dataseen!$D$1:$R$1,1)+3,FALSE)</f>
        <v>..</v>
      </c>
      <c r="I67" s="53">
        <f>+VLOOKUP($A67&amp;$A$48&amp;$B$48,REPORT_raw_dataseen!$A$1:$R$769, MATCH(Referrals!I$6,REPORT_raw_dataseen!$D$1:$R$1,1)+3,FALSE)</f>
        <v>2</v>
      </c>
      <c r="J67" s="53">
        <f>+VLOOKUP($A67&amp;$A$48&amp;$B$48,REPORT_raw_dataseen!$A$1:$R$769, MATCH(Referrals!J$6,REPORT_raw_dataseen!$D$1:$R$1,1)+3,FALSE)</f>
        <v>4</v>
      </c>
      <c r="K67" s="53">
        <f>+VLOOKUP($A67&amp;$A$48&amp;$B$48,REPORT_raw_dataseen!$A$1:$R$769, MATCH(Referrals!K$6,REPORT_raw_dataseen!$D$1:$R$1,1)+3,FALSE)</f>
        <v>6</v>
      </c>
      <c r="L67" s="53" t="str">
        <f>+VLOOKUP($A67&amp;$A$48&amp;$B$48,REPORT_raw_dataseen!$A$1:$R$769, MATCH(Referrals!L$6,REPORT_raw_dataseen!$D$1:$R$1,1)+3,FALSE)</f>
        <v>..</v>
      </c>
      <c r="M67" s="53">
        <f>+VLOOKUP($A67&amp;$A$48&amp;$B$48,REPORT_raw_dataseen!$A$1:$R$769, MATCH(Referrals!M$6,REPORT_raw_dataseen!$D$1:$R$1,1)+3,FALSE)</f>
        <v>0</v>
      </c>
      <c r="N67" s="53">
        <f>+VLOOKUP($A67&amp;$A$48&amp;$B$48,REPORT_raw_dataseen!$A$1:$R$769, MATCH(Referrals!N$6,REPORT_raw_dataseen!$D$1:$R$1,1)+3,FALSE)</f>
        <v>0</v>
      </c>
      <c r="O67" s="53">
        <f>+VLOOKUP($A67&amp;$A$48&amp;$B$48,REPORT_raw_dataseen!$A$1:$R$769, MATCH(Referrals!O$6,REPORT_raw_dataseen!$D$1:$R$1,1)+3,FALSE)</f>
        <v>0</v>
      </c>
      <c r="P67" s="53" t="str">
        <f>+VLOOKUP($A67&amp;$A$48&amp;$B$48,REPORT_raw_dataseen!$A$1:$R$769, MATCH(Referrals!P$6,REPORT_raw_dataseen!$D$1:$R$1,1)+3,FALSE)</f>
        <v>..</v>
      </c>
    </row>
    <row r="69" spans="1:16">
      <c r="A69" t="s">
        <v>302</v>
      </c>
      <c r="I69" s="57"/>
      <c r="J69" s="57"/>
      <c r="K69" s="57"/>
      <c r="L69" s="57"/>
      <c r="M69" s="57"/>
      <c r="N69" s="57"/>
      <c r="O69" s="57"/>
      <c r="P69" s="57"/>
    </row>
    <row r="70" spans="1:16">
      <c r="A70" t="s">
        <v>176</v>
      </c>
      <c r="B70" t="s">
        <v>178</v>
      </c>
    </row>
    <row r="71" spans="1:16">
      <c r="A71" t="s">
        <v>301</v>
      </c>
    </row>
    <row r="73" spans="1:16">
      <c r="A73" s="50"/>
      <c r="B73" s="51">
        <f>DATE(YEAR(C73),MONTH(C73)-1,DAY(C73))</f>
        <v>43922</v>
      </c>
      <c r="C73" s="51">
        <f>DATE(YEAR(D73),MONTH(D73)-1,DAY(D73))</f>
        <v>43952</v>
      </c>
      <c r="D73" s="51">
        <f>DATE(YEAR(E73),MONTH(E73)-1,DAY(E73))</f>
        <v>43983</v>
      </c>
      <c r="E73" s="51">
        <f t="shared" ref="E73:O73" si="3">DATE(YEAR(F73),MONTH(F73)-1,DAY(F73))</f>
        <v>44013</v>
      </c>
      <c r="F73" s="51">
        <f t="shared" si="3"/>
        <v>44044</v>
      </c>
      <c r="G73" s="51">
        <f t="shared" si="3"/>
        <v>44075</v>
      </c>
      <c r="H73" s="51">
        <f t="shared" si="3"/>
        <v>44105</v>
      </c>
      <c r="I73" s="51">
        <f t="shared" si="3"/>
        <v>44136</v>
      </c>
      <c r="J73" s="51">
        <f t="shared" si="3"/>
        <v>44166</v>
      </c>
      <c r="K73" s="51">
        <f t="shared" si="3"/>
        <v>44197</v>
      </c>
      <c r="L73" s="51">
        <f t="shared" si="3"/>
        <v>44228</v>
      </c>
      <c r="M73" s="51">
        <f t="shared" si="3"/>
        <v>44256</v>
      </c>
      <c r="N73" s="51">
        <f t="shared" si="3"/>
        <v>44287</v>
      </c>
      <c r="O73" s="51">
        <f t="shared" si="3"/>
        <v>44317</v>
      </c>
      <c r="P73" s="10">
        <f>+Sheet1!A20</f>
        <v>44348</v>
      </c>
    </row>
    <row r="74" spans="1:16">
      <c r="A74" s="52" t="s">
        <v>28</v>
      </c>
      <c r="B74" s="53">
        <f>+VLOOKUP($A74&amp;$A$70&amp;$B$70,REPORT_raw_dataseen!$A$1:$P$721, MATCH(Referrals!B$73,REPORT_raw_dataseen!$D$1:$O$1,1)+3,FALSE)</f>
        <v>583</v>
      </c>
      <c r="C74" s="53">
        <f>+VLOOKUP($A74&amp;$A$70&amp;$B$70,REPORT_raw_dataseen!$A$1:$P$721, MATCH(Referrals!C$73,REPORT_raw_dataseen!$D$1:$O$1,1)+3,FALSE)</f>
        <v>856</v>
      </c>
      <c r="D74" s="53">
        <f>+VLOOKUP($A74&amp;$A$70&amp;$B$70,REPORT_raw_dataseen!$A$1:$P$721, MATCH(Referrals!D$73,REPORT_raw_dataseen!$D$1:$O$1,1)+3,FALSE)</f>
        <v>1139</v>
      </c>
      <c r="E74" s="53">
        <f>+VLOOKUP($A74&amp;$A$70&amp;$B$70,REPORT_raw_dataseen!$A$1:$P$721, MATCH(Referrals!E$6,REPORT_raw_dataseen!$D$1:$O$1,1)+3,FALSE)</f>
        <v>1343</v>
      </c>
      <c r="F74" s="53">
        <f>+VLOOKUP($A74&amp;$A$70&amp;$B$70,REPORT_raw_dataseen!$A$1:$P$721, MATCH(Referrals!F$6,REPORT_raw_dataseen!$D$1:$O$1,1)+3,FALSE)</f>
        <v>1240</v>
      </c>
      <c r="G74" s="53">
        <f>+VLOOKUP($A74&amp;$A$70&amp;$B$70,REPORT_raw_dataseen!$A$1:$P$721, MATCH(Referrals!G$6,REPORT_raw_dataseen!$D$1:$O$1,1)+3,FALSE)</f>
        <v>1337</v>
      </c>
      <c r="H74" s="53">
        <f>+VLOOKUP($A74&amp;$A$70&amp;$B$70,REPORT_raw_dataseen!$A$1:$P$721, MATCH(Referrals!H$6,REPORT_raw_dataseen!$D$1:$O$1,1)+3,FALSE)</f>
        <v>1293</v>
      </c>
      <c r="I74" s="53">
        <f>+VLOOKUP($A74&amp;$A$70&amp;$B$70,REPORT_raw_dataseen!$A$1:$P$721, MATCH(Referrals!I$6,REPORT_raw_dataseen!$D$1:$O$1,1)+3,FALSE)</f>
        <v>1318</v>
      </c>
      <c r="J74" s="53">
        <f>+VLOOKUP($A74&amp;$A$70&amp;$B$70,REPORT_raw_dataseen!$A$1:$P$721, MATCH(Referrals!J$6,REPORT_raw_dataseen!$D$1:$O$1,1)+3,FALSE)</f>
        <v>1198</v>
      </c>
      <c r="K74" s="53">
        <f>+VLOOKUP($A74&amp;$A$70&amp;$B$70,REPORT_raw_dataseen!$A$1:$P$721, MATCH(Referrals!K$6,REPORT_raw_dataseen!$D$1:$O$1,1)+3,FALSE)</f>
        <v>1152</v>
      </c>
      <c r="L74" s="53">
        <f>+VLOOKUP($A74&amp;$A$70&amp;$B$70,REPORT_raw_dataseen!$A$1:$P$721, MATCH(Referrals!L$6,REPORT_raw_dataseen!$D$1:$O$1,1)+3,FALSE)</f>
        <v>1223</v>
      </c>
      <c r="M74" s="53">
        <f>+VLOOKUP($A74&amp;$A$70&amp;$B$70,REPORT_raw_dataseen!$A$1:$R$721, MATCH(Referrals!M$6,REPORT_raw_dataseen!$D$1:$R$1,1)+3,FALSE)</f>
        <v>1516</v>
      </c>
      <c r="N74" s="53">
        <f>+VLOOKUP($A74&amp;$A$70&amp;$B$70,REPORT_raw_dataseen!$A$1:$R$721, MATCH(Referrals!N$6,REPORT_raw_dataseen!$D$1:$R$1,1)+3,FALSE)</f>
        <v>1434</v>
      </c>
      <c r="O74" s="53">
        <f>+VLOOKUP($A74&amp;$A$70&amp;$B$70,REPORT_raw_dataseen!$A$1:$R$721, MATCH(Referrals!O$6,REPORT_raw_dataseen!$D$1:$R$1,1)+3,FALSE)</f>
        <v>1439</v>
      </c>
      <c r="P74" s="53">
        <f>+VLOOKUP($A74&amp;$A$70&amp;$B$70,REPORT_raw_dataseen!$A$1:$R$721, MATCH(Referrals!P$6,REPORT_raw_dataseen!$D$1:$R$1,1)+3,FALSE)</f>
        <v>1672</v>
      </c>
    </row>
    <row r="75" spans="1:16">
      <c r="A75" s="50" t="s">
        <v>136</v>
      </c>
      <c r="B75" s="53">
        <f>+VLOOKUP($A75&amp;$A$70&amp;$B$70,REPORT_raw_dataseen!$A$1:$P$721, MATCH(Referrals!B$73,REPORT_raw_dataseen!$D$1:$O$1,1)+3,FALSE)</f>
        <v>1</v>
      </c>
      <c r="C75" s="53">
        <f>+VLOOKUP($A75&amp;$A$70&amp;$B$70,REPORT_raw_dataseen!$A$1:$P$721, MATCH(Referrals!C$73,REPORT_raw_dataseen!$D$1:$O$1,1)+3,FALSE)</f>
        <v>5</v>
      </c>
      <c r="D75" s="53">
        <f>+VLOOKUP($A75&amp;$A$70&amp;$B$70,REPORT_raw_dataseen!$A$1:$P$721, MATCH(Referrals!D$73,REPORT_raw_dataseen!$D$1:$O$1,1)+3,FALSE)</f>
        <v>11</v>
      </c>
      <c r="E75" s="53">
        <f>+VLOOKUP($A75&amp;$A$70&amp;$B$70,REPORT_raw_dataseen!$A$1:$P$721, MATCH(Referrals!E$6,REPORT_raw_dataseen!$D$1:$O$1,1)+3,FALSE)</f>
        <v>0</v>
      </c>
      <c r="F75" s="53">
        <f>+VLOOKUP($A75&amp;$A$70&amp;$B$70,REPORT_raw_dataseen!$A$1:$P$721, MATCH(Referrals!F$6,REPORT_raw_dataseen!$D$1:$O$1,1)+3,FALSE)</f>
        <v>23</v>
      </c>
      <c r="G75" s="53">
        <f>+VLOOKUP($A75&amp;$A$70&amp;$B$70,REPORT_raw_dataseen!$A$1:$P$721, MATCH(Referrals!G$6,REPORT_raw_dataseen!$D$1:$O$1,1)+3,FALSE)</f>
        <v>20</v>
      </c>
      <c r="H75" s="53">
        <f>+VLOOKUP($A75&amp;$A$70&amp;$B$70,REPORT_raw_dataseen!$A$1:$P$721, MATCH(Referrals!H$6,REPORT_raw_dataseen!$D$1:$O$1,1)+3,FALSE)</f>
        <v>20</v>
      </c>
      <c r="I75" s="53">
        <f>+VLOOKUP($A75&amp;$A$70&amp;$B$70,REPORT_raw_dataseen!$A$1:$P$721, MATCH(Referrals!I$6,REPORT_raw_dataseen!$D$1:$O$1,1)+3,FALSE)</f>
        <v>17</v>
      </c>
      <c r="J75" s="53">
        <f>+VLOOKUP($A75&amp;$A$70&amp;$B$70,REPORT_raw_dataseen!$A$1:$P$721, MATCH(Referrals!J$6,REPORT_raw_dataseen!$D$1:$O$1,1)+3,FALSE)</f>
        <v>9</v>
      </c>
      <c r="K75" s="53">
        <f>+VLOOKUP($A75&amp;$A$70&amp;$B$70,REPORT_raw_dataseen!$A$1:$P$721, MATCH(Referrals!K$6,REPORT_raw_dataseen!$D$1:$O$1,1)+3,FALSE)</f>
        <v>9</v>
      </c>
      <c r="L75" s="53">
        <f>+VLOOKUP($A75&amp;$A$70&amp;$B$70,REPORT_raw_dataseen!$A$1:$P$721, MATCH(Referrals!L$6,REPORT_raw_dataseen!$D$1:$O$1,1)+3,FALSE)</f>
        <v>9</v>
      </c>
      <c r="M75" s="53">
        <f>+VLOOKUP($A75&amp;$A$70&amp;$B$70,REPORT_raw_dataseen!$A$1:$R$721, MATCH(Referrals!M$6,REPORT_raw_dataseen!$D$1:$R$1,1)+3,FALSE)</f>
        <v>4</v>
      </c>
      <c r="N75" s="53">
        <f>+VLOOKUP($A75&amp;$A$70&amp;$B$70,REPORT_raw_dataseen!$A$1:$R$721, MATCH(Referrals!N$6,REPORT_raw_dataseen!$D$1:$R$1,1)+3,FALSE)</f>
        <v>18</v>
      </c>
      <c r="O75" s="53">
        <f>+VLOOKUP($A75&amp;$A$70&amp;$B$70,REPORT_raw_dataseen!$A$1:$R$721, MATCH(Referrals!O$6,REPORT_raw_dataseen!$D$1:$R$1,1)+3,FALSE)</f>
        <v>15</v>
      </c>
      <c r="P75" s="53">
        <f>+VLOOKUP($A75&amp;$A$70&amp;$B$70,REPORT_raw_dataseen!$A$1:$R$721, MATCH(Referrals!P$6,REPORT_raw_dataseen!$D$1:$R$1,1)+3,FALSE)</f>
        <v>38</v>
      </c>
    </row>
    <row r="76" spans="1:16">
      <c r="A76" s="50" t="s">
        <v>137</v>
      </c>
      <c r="B76" s="53">
        <f>+VLOOKUP($A76&amp;$A$70&amp;$B$70,REPORT_raw_dataseen!$A$1:$P$721, MATCH(Referrals!B$73,REPORT_raw_dataseen!$D$1:$O$1,1)+3,FALSE)</f>
        <v>2</v>
      </c>
      <c r="C76" s="53">
        <f>+VLOOKUP($A76&amp;$A$70&amp;$B$70,REPORT_raw_dataseen!$A$1:$P$721, MATCH(Referrals!C$73,REPORT_raw_dataseen!$D$1:$O$1,1)+3,FALSE)</f>
        <v>0</v>
      </c>
      <c r="D76" s="53">
        <f>+VLOOKUP($A76&amp;$A$70&amp;$B$70,REPORT_raw_dataseen!$A$1:$P$721, MATCH(Referrals!D$73,REPORT_raw_dataseen!$D$1:$O$1,1)+3,FALSE)</f>
        <v>0</v>
      </c>
      <c r="E76" s="53">
        <f>+VLOOKUP($A76&amp;$A$70&amp;$B$70,REPORT_raw_dataseen!$A$1:$P$721, MATCH(Referrals!E$6,REPORT_raw_dataseen!$D$1:$O$1,1)+3,FALSE)</f>
        <v>14</v>
      </c>
      <c r="F76" s="53">
        <f>+VLOOKUP($A76&amp;$A$70&amp;$B$70,REPORT_raw_dataseen!$A$1:$P$721, MATCH(Referrals!F$6,REPORT_raw_dataseen!$D$1:$O$1,1)+3,FALSE)</f>
        <v>2</v>
      </c>
      <c r="G76" s="53">
        <f>+VLOOKUP($A76&amp;$A$70&amp;$B$70,REPORT_raw_dataseen!$A$1:$P$721, MATCH(Referrals!G$6,REPORT_raw_dataseen!$D$1:$O$1,1)+3,FALSE)</f>
        <v>0</v>
      </c>
      <c r="H76" s="53">
        <f>+VLOOKUP($A76&amp;$A$70&amp;$B$70,REPORT_raw_dataseen!$A$1:$P$721, MATCH(Referrals!H$6,REPORT_raw_dataseen!$D$1:$O$1,1)+3,FALSE)</f>
        <v>26</v>
      </c>
      <c r="I76" s="53">
        <f>+VLOOKUP($A76&amp;$A$70&amp;$B$70,REPORT_raw_dataseen!$A$1:$P$721, MATCH(Referrals!I$6,REPORT_raw_dataseen!$D$1:$O$1,1)+3,FALSE)</f>
        <v>5</v>
      </c>
      <c r="J76" s="53">
        <f>+VLOOKUP($A76&amp;$A$70&amp;$B$70,REPORT_raw_dataseen!$A$1:$P$721, MATCH(Referrals!J$6,REPORT_raw_dataseen!$D$1:$O$1,1)+3,FALSE)</f>
        <v>21</v>
      </c>
      <c r="K76" s="53">
        <f>+VLOOKUP($A76&amp;$A$70&amp;$B$70,REPORT_raw_dataseen!$A$1:$P$721, MATCH(Referrals!K$6,REPORT_raw_dataseen!$D$1:$O$1,1)+3,FALSE)</f>
        <v>10</v>
      </c>
      <c r="L76" s="53">
        <f>+VLOOKUP($A76&amp;$A$70&amp;$B$70,REPORT_raw_dataseen!$A$1:$P$721, MATCH(Referrals!L$6,REPORT_raw_dataseen!$D$1:$O$1,1)+3,FALSE)</f>
        <v>9</v>
      </c>
      <c r="M76" s="53">
        <f>+VLOOKUP($A76&amp;$A$70&amp;$B$70,REPORT_raw_dataseen!$A$1:$R$721, MATCH(Referrals!M$6,REPORT_raw_dataseen!$D$1:$R$1,1)+3,FALSE)</f>
        <v>19</v>
      </c>
      <c r="N76" s="53">
        <f>+VLOOKUP($A76&amp;$A$70&amp;$B$70,REPORT_raw_dataseen!$A$1:$R$721, MATCH(Referrals!N$6,REPORT_raw_dataseen!$D$1:$R$1,1)+3,FALSE)</f>
        <v>29</v>
      </c>
      <c r="O76" s="53">
        <f>+VLOOKUP($A76&amp;$A$70&amp;$B$70,REPORT_raw_dataseen!$A$1:$R$721, MATCH(Referrals!O$6,REPORT_raw_dataseen!$D$1:$R$1,1)+3,FALSE)</f>
        <v>29</v>
      </c>
      <c r="P76" s="53">
        <f>+VLOOKUP($A76&amp;$A$70&amp;$B$70,REPORT_raw_dataseen!$A$1:$R$721, MATCH(Referrals!P$6,REPORT_raw_dataseen!$D$1:$R$1,1)+3,FALSE)</f>
        <v>43</v>
      </c>
    </row>
    <row r="77" spans="1:16">
      <c r="A77" s="50" t="s">
        <v>160</v>
      </c>
      <c r="B77" s="53">
        <f>+VLOOKUP($A77&amp;$A$70&amp;$B$70,REPORT_raw_dataseen!$A$1:$P$721, MATCH(Referrals!B$73,REPORT_raw_dataseen!$D$1:$O$1,1)+3,FALSE)</f>
        <v>6</v>
      </c>
      <c r="C77" s="53">
        <f>+VLOOKUP($A77&amp;$A$70&amp;$B$70,REPORT_raw_dataseen!$A$1:$P$721, MATCH(Referrals!C$73,REPORT_raw_dataseen!$D$1:$O$1,1)+3,FALSE)</f>
        <v>4</v>
      </c>
      <c r="D77" s="53">
        <f>+VLOOKUP($A77&amp;$A$70&amp;$B$70,REPORT_raw_dataseen!$A$1:$P$721, MATCH(Referrals!D$73,REPORT_raw_dataseen!$D$1:$O$1,1)+3,FALSE)</f>
        <v>3</v>
      </c>
      <c r="E77" s="53">
        <f>+VLOOKUP($A77&amp;$A$70&amp;$B$70,REPORT_raw_dataseen!$A$1:$P$721, MATCH(Referrals!E$6,REPORT_raw_dataseen!$D$1:$O$1,1)+3,FALSE)</f>
        <v>10</v>
      </c>
      <c r="F77" s="53">
        <f>+VLOOKUP($A77&amp;$A$70&amp;$B$70,REPORT_raw_dataseen!$A$1:$P$721, MATCH(Referrals!F$6,REPORT_raw_dataseen!$D$1:$O$1,1)+3,FALSE)</f>
        <v>7</v>
      </c>
      <c r="G77" s="53">
        <f>+VLOOKUP($A77&amp;$A$70&amp;$B$70,REPORT_raw_dataseen!$A$1:$P$721, MATCH(Referrals!G$6,REPORT_raw_dataseen!$D$1:$O$1,1)+3,FALSE)</f>
        <v>24</v>
      </c>
      <c r="H77" s="53">
        <f>+VLOOKUP($A77&amp;$A$70&amp;$B$70,REPORT_raw_dataseen!$A$1:$P$721, MATCH(Referrals!H$6,REPORT_raw_dataseen!$D$1:$O$1,1)+3,FALSE)</f>
        <v>25</v>
      </c>
      <c r="I77" s="53">
        <f>+VLOOKUP($A77&amp;$A$70&amp;$B$70,REPORT_raw_dataseen!$A$1:$P$721, MATCH(Referrals!I$6,REPORT_raw_dataseen!$D$1:$O$1,1)+3,FALSE)</f>
        <v>36</v>
      </c>
      <c r="J77" s="53">
        <f>+VLOOKUP($A77&amp;$A$70&amp;$B$70,REPORT_raw_dataseen!$A$1:$P$721, MATCH(Referrals!J$6,REPORT_raw_dataseen!$D$1:$O$1,1)+3,FALSE)</f>
        <v>38</v>
      </c>
      <c r="K77" s="53">
        <f>+VLOOKUP($A77&amp;$A$70&amp;$B$70,REPORT_raw_dataseen!$A$1:$P$721, MATCH(Referrals!K$6,REPORT_raw_dataseen!$D$1:$O$1,1)+3,FALSE)</f>
        <v>22</v>
      </c>
      <c r="L77" s="53">
        <f>+VLOOKUP($A77&amp;$A$70&amp;$B$70,REPORT_raw_dataseen!$A$1:$P$721, MATCH(Referrals!L$6,REPORT_raw_dataseen!$D$1:$O$1,1)+3,FALSE)</f>
        <v>25</v>
      </c>
      <c r="M77" s="53">
        <f>+VLOOKUP($A77&amp;$A$70&amp;$B$70,REPORT_raw_dataseen!$A$1:$R$721, MATCH(Referrals!M$6,REPORT_raw_dataseen!$D$1:$R$1,1)+3,FALSE)</f>
        <v>32</v>
      </c>
      <c r="N77" s="53">
        <f>+VLOOKUP($A77&amp;$A$70&amp;$B$70,REPORT_raw_dataseen!$A$1:$R$721, MATCH(Referrals!N$6,REPORT_raw_dataseen!$D$1:$R$1,1)+3,FALSE)</f>
        <v>27</v>
      </c>
      <c r="O77" s="53">
        <f>+VLOOKUP($A77&amp;$A$70&amp;$B$70,REPORT_raw_dataseen!$A$1:$R$721, MATCH(Referrals!O$6,REPORT_raw_dataseen!$D$1:$R$1,1)+3,FALSE)</f>
        <v>18</v>
      </c>
      <c r="P77" s="53">
        <f>+VLOOKUP($A77&amp;$A$70&amp;$B$70,REPORT_raw_dataseen!$A$1:$R$721, MATCH(Referrals!P$6,REPORT_raw_dataseen!$D$1:$R$1,1)+3,FALSE)</f>
        <v>31</v>
      </c>
    </row>
    <row r="78" spans="1:16">
      <c r="A78" s="50" t="s">
        <v>138</v>
      </c>
      <c r="B78" s="53">
        <f>+VLOOKUP($A78&amp;$A$70&amp;$B$70,REPORT_raw_dataseen!$A$1:$P$721, MATCH(Referrals!B$73,REPORT_raw_dataseen!$D$1:$O$1,1)+3,FALSE)</f>
        <v>6</v>
      </c>
      <c r="C78" s="53">
        <f>+VLOOKUP($A78&amp;$A$70&amp;$B$70,REPORT_raw_dataseen!$A$1:$P$721, MATCH(Referrals!C$73,REPORT_raw_dataseen!$D$1:$O$1,1)+3,FALSE)</f>
        <v>6</v>
      </c>
      <c r="D78" s="53">
        <f>+VLOOKUP($A78&amp;$A$70&amp;$B$70,REPORT_raw_dataseen!$A$1:$P$721, MATCH(Referrals!D$73,REPORT_raw_dataseen!$D$1:$O$1,1)+3,FALSE)</f>
        <v>8</v>
      </c>
      <c r="E78" s="53">
        <f>+VLOOKUP($A78&amp;$A$70&amp;$B$70,REPORT_raw_dataseen!$A$1:$P$721, MATCH(Referrals!E$6,REPORT_raw_dataseen!$D$1:$O$1,1)+3,FALSE)</f>
        <v>17</v>
      </c>
      <c r="F78" s="53">
        <f>+VLOOKUP($A78&amp;$A$70&amp;$B$70,REPORT_raw_dataseen!$A$1:$P$721, MATCH(Referrals!F$6,REPORT_raw_dataseen!$D$1:$O$1,1)+3,FALSE)</f>
        <v>24</v>
      </c>
      <c r="G78" s="53">
        <f>+VLOOKUP($A78&amp;$A$70&amp;$B$70,REPORT_raw_dataseen!$A$1:$P$721, MATCH(Referrals!G$6,REPORT_raw_dataseen!$D$1:$O$1,1)+3,FALSE)</f>
        <v>12</v>
      </c>
      <c r="H78" s="53">
        <f>+VLOOKUP($A78&amp;$A$70&amp;$B$70,REPORT_raw_dataseen!$A$1:$P$721, MATCH(Referrals!H$6,REPORT_raw_dataseen!$D$1:$O$1,1)+3,FALSE)</f>
        <v>26</v>
      </c>
      <c r="I78" s="53">
        <f>+VLOOKUP($A78&amp;$A$70&amp;$B$70,REPORT_raw_dataseen!$A$1:$P$721, MATCH(Referrals!I$6,REPORT_raw_dataseen!$D$1:$O$1,1)+3,FALSE)</f>
        <v>16</v>
      </c>
      <c r="J78" s="53">
        <f>+VLOOKUP($A78&amp;$A$70&amp;$B$70,REPORT_raw_dataseen!$A$1:$P$721, MATCH(Referrals!J$6,REPORT_raw_dataseen!$D$1:$O$1,1)+3,FALSE)</f>
        <v>25</v>
      </c>
      <c r="K78" s="53">
        <f>+VLOOKUP($A78&amp;$A$70&amp;$B$70,REPORT_raw_dataseen!$A$1:$P$721, MATCH(Referrals!K$6,REPORT_raw_dataseen!$D$1:$O$1,1)+3,FALSE)</f>
        <v>14</v>
      </c>
      <c r="L78" s="53">
        <f>+VLOOKUP($A78&amp;$A$70&amp;$B$70,REPORT_raw_dataseen!$A$1:$P$721, MATCH(Referrals!L$6,REPORT_raw_dataseen!$D$1:$O$1,1)+3,FALSE)</f>
        <v>13</v>
      </c>
      <c r="M78" s="53">
        <f>+VLOOKUP($A78&amp;$A$70&amp;$B$70,REPORT_raw_dataseen!$A$1:$R$721, MATCH(Referrals!M$6,REPORT_raw_dataseen!$D$1:$R$1,1)+3,FALSE)</f>
        <v>25</v>
      </c>
      <c r="N78" s="53">
        <f>+VLOOKUP($A78&amp;$A$70&amp;$B$70,REPORT_raw_dataseen!$A$1:$R$721, MATCH(Referrals!N$6,REPORT_raw_dataseen!$D$1:$R$1,1)+3,FALSE)</f>
        <v>25</v>
      </c>
      <c r="O78" s="53">
        <f>+VLOOKUP($A78&amp;$A$70&amp;$B$70,REPORT_raw_dataseen!$A$1:$R$721, MATCH(Referrals!O$6,REPORT_raw_dataseen!$D$1:$R$1,1)+3,FALSE)</f>
        <v>22</v>
      </c>
      <c r="P78" s="53">
        <f>+VLOOKUP($A78&amp;$A$70&amp;$B$70,REPORT_raw_dataseen!$A$1:$R$721, MATCH(Referrals!P$6,REPORT_raw_dataseen!$D$1:$R$1,1)+3,FALSE)</f>
        <v>32</v>
      </c>
    </row>
    <row r="79" spans="1:16">
      <c r="A79" s="50" t="s">
        <v>139</v>
      </c>
      <c r="B79" s="53">
        <f>+VLOOKUP($A79&amp;$A$70&amp;$B$70,REPORT_raw_dataseen!$A$1:$P$721, MATCH(Referrals!B$73,REPORT_raw_dataseen!$D$1:$O$1,1)+3,FALSE)</f>
        <v>7</v>
      </c>
      <c r="C79" s="53">
        <f>+VLOOKUP($A79&amp;$A$70&amp;$B$70,REPORT_raw_dataseen!$A$1:$P$721, MATCH(Referrals!C$73,REPORT_raw_dataseen!$D$1:$O$1,1)+3,FALSE)</f>
        <v>8</v>
      </c>
      <c r="D79" s="53">
        <f>+VLOOKUP($A79&amp;$A$70&amp;$B$70,REPORT_raw_dataseen!$A$1:$P$721, MATCH(Referrals!D$73,REPORT_raw_dataseen!$D$1:$O$1,1)+3,FALSE)</f>
        <v>12</v>
      </c>
      <c r="E79" s="53">
        <f>+VLOOKUP($A79&amp;$A$70&amp;$B$70,REPORT_raw_dataseen!$A$1:$P$721, MATCH(Referrals!E$6,REPORT_raw_dataseen!$D$1:$O$1,1)+3,FALSE)</f>
        <v>11</v>
      </c>
      <c r="F79" s="53">
        <f>+VLOOKUP($A79&amp;$A$70&amp;$B$70,REPORT_raw_dataseen!$A$1:$P$721, MATCH(Referrals!F$6,REPORT_raw_dataseen!$D$1:$O$1,1)+3,FALSE)</f>
        <v>12</v>
      </c>
      <c r="G79" s="53">
        <f>+VLOOKUP($A79&amp;$A$70&amp;$B$70,REPORT_raw_dataseen!$A$1:$P$721, MATCH(Referrals!G$6,REPORT_raw_dataseen!$D$1:$O$1,1)+3,FALSE)</f>
        <v>11</v>
      </c>
      <c r="H79" s="53">
        <f>+VLOOKUP($A79&amp;$A$70&amp;$B$70,REPORT_raw_dataseen!$A$1:$P$721, MATCH(Referrals!H$6,REPORT_raw_dataseen!$D$1:$O$1,1)+3,FALSE)</f>
        <v>17</v>
      </c>
      <c r="I79" s="53">
        <f>+VLOOKUP($A79&amp;$A$70&amp;$B$70,REPORT_raw_dataseen!$A$1:$P$721, MATCH(Referrals!I$6,REPORT_raw_dataseen!$D$1:$O$1,1)+3,FALSE)</f>
        <v>17</v>
      </c>
      <c r="J79" s="53">
        <f>+VLOOKUP($A79&amp;$A$70&amp;$B$70,REPORT_raw_dataseen!$A$1:$P$721, MATCH(Referrals!J$6,REPORT_raw_dataseen!$D$1:$O$1,1)+3,FALSE)</f>
        <v>22</v>
      </c>
      <c r="K79" s="53">
        <f>+VLOOKUP($A79&amp;$A$70&amp;$B$70,REPORT_raw_dataseen!$A$1:$P$721, MATCH(Referrals!K$6,REPORT_raw_dataseen!$D$1:$O$1,1)+3,FALSE)</f>
        <v>27</v>
      </c>
      <c r="L79" s="53">
        <f>+VLOOKUP($A79&amp;$A$70&amp;$B$70,REPORT_raw_dataseen!$A$1:$P$721, MATCH(Referrals!L$6,REPORT_raw_dataseen!$D$1:$O$1,1)+3,FALSE)</f>
        <v>15</v>
      </c>
      <c r="M79" s="53">
        <f>+VLOOKUP($A79&amp;$A$70&amp;$B$70,REPORT_raw_dataseen!$A$1:$R$721, MATCH(Referrals!M$6,REPORT_raw_dataseen!$D$1:$R$1,1)+3,FALSE)</f>
        <v>26</v>
      </c>
      <c r="N79" s="53">
        <f>+VLOOKUP($A79&amp;$A$70&amp;$B$70,REPORT_raw_dataseen!$A$1:$R$721, MATCH(Referrals!N$6,REPORT_raw_dataseen!$D$1:$R$1,1)+3,FALSE)</f>
        <v>22</v>
      </c>
      <c r="O79" s="53">
        <f>+VLOOKUP($A79&amp;$A$70&amp;$B$70,REPORT_raw_dataseen!$A$1:$R$721, MATCH(Referrals!O$6,REPORT_raw_dataseen!$D$1:$R$1,1)+3,FALSE)</f>
        <v>24</v>
      </c>
      <c r="P79" s="53">
        <f>+VLOOKUP($A79&amp;$A$70&amp;$B$70,REPORT_raw_dataseen!$A$1:$R$721, MATCH(Referrals!P$6,REPORT_raw_dataseen!$D$1:$R$1,1)+3,FALSE)</f>
        <v>30</v>
      </c>
    </row>
    <row r="80" spans="1:16">
      <c r="A80" s="50" t="s">
        <v>140</v>
      </c>
      <c r="B80" s="53">
        <f>+VLOOKUP($A80&amp;$A$70&amp;$B$70,REPORT_raw_dataseen!$A$1:$P$721, MATCH(Referrals!B$73,REPORT_raw_dataseen!$D$1:$O$1,1)+3,FALSE)</f>
        <v>2</v>
      </c>
      <c r="C80" s="53">
        <f>+VLOOKUP($A80&amp;$A$70&amp;$B$70,REPORT_raw_dataseen!$A$1:$P$721, MATCH(Referrals!C$73,REPORT_raw_dataseen!$D$1:$O$1,1)+3,FALSE)</f>
        <v>8</v>
      </c>
      <c r="D80" s="53">
        <f>+VLOOKUP($A80&amp;$A$70&amp;$B$70,REPORT_raw_dataseen!$A$1:$P$721, MATCH(Referrals!D$73,REPORT_raw_dataseen!$D$1:$O$1,1)+3,FALSE)</f>
        <v>8</v>
      </c>
      <c r="E80" s="53">
        <f>+VLOOKUP($A80&amp;$A$70&amp;$B$70,REPORT_raw_dataseen!$A$1:$P$721, MATCH(Referrals!E$6,REPORT_raw_dataseen!$D$1:$O$1,1)+3,FALSE)</f>
        <v>12</v>
      </c>
      <c r="F80" s="53">
        <f>+VLOOKUP($A80&amp;$A$70&amp;$B$70,REPORT_raw_dataseen!$A$1:$P$721, MATCH(Referrals!F$6,REPORT_raw_dataseen!$D$1:$O$1,1)+3,FALSE)</f>
        <v>11</v>
      </c>
      <c r="G80" s="53">
        <f>+VLOOKUP($A80&amp;$A$70&amp;$B$70,REPORT_raw_dataseen!$A$1:$P$721, MATCH(Referrals!G$6,REPORT_raw_dataseen!$D$1:$O$1,1)+3,FALSE)</f>
        <v>11</v>
      </c>
      <c r="H80" s="53">
        <f>+VLOOKUP($A80&amp;$A$70&amp;$B$70,REPORT_raw_dataseen!$A$1:$P$721, MATCH(Referrals!H$6,REPORT_raw_dataseen!$D$1:$O$1,1)+3,FALSE)</f>
        <v>12</v>
      </c>
      <c r="I80" s="53">
        <f>+VLOOKUP($A80&amp;$A$70&amp;$B$70,REPORT_raw_dataseen!$A$1:$P$721, MATCH(Referrals!I$6,REPORT_raw_dataseen!$D$1:$O$1,1)+3,FALSE)</f>
        <v>24</v>
      </c>
      <c r="J80" s="53">
        <f>+VLOOKUP($A80&amp;$A$70&amp;$B$70,REPORT_raw_dataseen!$A$1:$P$721, MATCH(Referrals!J$6,REPORT_raw_dataseen!$D$1:$O$1,1)+3,FALSE)</f>
        <v>14</v>
      </c>
      <c r="K80" s="53">
        <f>+VLOOKUP($A80&amp;$A$70&amp;$B$70,REPORT_raw_dataseen!$A$1:$P$721, MATCH(Referrals!K$6,REPORT_raw_dataseen!$D$1:$O$1,1)+3,FALSE)</f>
        <v>18</v>
      </c>
      <c r="L80" s="53">
        <f>+VLOOKUP($A80&amp;$A$70&amp;$B$70,REPORT_raw_dataseen!$A$1:$P$721, MATCH(Referrals!L$6,REPORT_raw_dataseen!$D$1:$O$1,1)+3,FALSE)</f>
        <v>21</v>
      </c>
      <c r="M80" s="53">
        <f>+VLOOKUP($A80&amp;$A$70&amp;$B$70,REPORT_raw_dataseen!$A$1:$R$721, MATCH(Referrals!M$6,REPORT_raw_dataseen!$D$1:$R$1,1)+3,FALSE)</f>
        <v>18</v>
      </c>
      <c r="N80" s="53">
        <f>+VLOOKUP($A80&amp;$A$70&amp;$B$70,REPORT_raw_dataseen!$A$1:$R$721, MATCH(Referrals!N$6,REPORT_raw_dataseen!$D$1:$R$1,1)+3,FALSE)</f>
        <v>23</v>
      </c>
      <c r="O80" s="53">
        <f>+VLOOKUP($A80&amp;$A$70&amp;$B$70,REPORT_raw_dataseen!$A$1:$R$721, MATCH(Referrals!O$6,REPORT_raw_dataseen!$D$1:$R$1,1)+3,FALSE)</f>
        <v>36</v>
      </c>
      <c r="P80" s="53">
        <f>+VLOOKUP($A80&amp;$A$70&amp;$B$70,REPORT_raw_dataseen!$A$1:$R$721, MATCH(Referrals!P$6,REPORT_raw_dataseen!$D$1:$R$1,1)+3,FALSE)</f>
        <v>41</v>
      </c>
    </row>
    <row r="81" spans="1:16">
      <c r="A81" s="50" t="s">
        <v>141</v>
      </c>
      <c r="B81" s="53">
        <f>+VLOOKUP($A81&amp;$A$70&amp;$B$70,REPORT_raw_dataseen!$A$1:$P$721, MATCH(Referrals!B$73,REPORT_raw_dataseen!$D$1:$O$1,1)+3,FALSE)</f>
        <v>413</v>
      </c>
      <c r="C81" s="53">
        <f>+VLOOKUP($A81&amp;$A$70&amp;$B$70,REPORT_raw_dataseen!$A$1:$P$721, MATCH(Referrals!C$73,REPORT_raw_dataseen!$D$1:$O$1,1)+3,FALSE)</f>
        <v>711</v>
      </c>
      <c r="D81" s="53">
        <f>+VLOOKUP($A81&amp;$A$70&amp;$B$70,REPORT_raw_dataseen!$A$1:$P$721, MATCH(Referrals!D$73,REPORT_raw_dataseen!$D$1:$O$1,1)+3,FALSE)</f>
        <v>937</v>
      </c>
      <c r="E81" s="53">
        <f>+VLOOKUP($A81&amp;$A$70&amp;$B$70,REPORT_raw_dataseen!$A$1:$P$721, MATCH(Referrals!E$6,REPORT_raw_dataseen!$D$1:$O$1,1)+3,FALSE)</f>
        <v>1020</v>
      </c>
      <c r="F81" s="53">
        <f>+VLOOKUP($A81&amp;$A$70&amp;$B$70,REPORT_raw_dataseen!$A$1:$P$721, MATCH(Referrals!F$6,REPORT_raw_dataseen!$D$1:$O$1,1)+3,FALSE)</f>
        <v>956</v>
      </c>
      <c r="G81" s="53">
        <f>+VLOOKUP($A81&amp;$A$70&amp;$B$70,REPORT_raw_dataseen!$A$1:$P$721, MATCH(Referrals!G$6,REPORT_raw_dataseen!$D$1:$O$1,1)+3,FALSE)</f>
        <v>985</v>
      </c>
      <c r="H81" s="53">
        <f>+VLOOKUP($A81&amp;$A$70&amp;$B$70,REPORT_raw_dataseen!$A$1:$P$721, MATCH(Referrals!H$6,REPORT_raw_dataseen!$D$1:$O$1,1)+3,FALSE)</f>
        <v>980</v>
      </c>
      <c r="I81" s="53">
        <f>+VLOOKUP($A81&amp;$A$70&amp;$B$70,REPORT_raw_dataseen!$A$1:$P$721, MATCH(Referrals!I$6,REPORT_raw_dataseen!$D$1:$O$1,1)+3,FALSE)</f>
        <v>934</v>
      </c>
      <c r="J81" s="53">
        <f>+VLOOKUP($A81&amp;$A$70&amp;$B$70,REPORT_raw_dataseen!$A$1:$P$721, MATCH(Referrals!J$6,REPORT_raw_dataseen!$D$1:$O$1,1)+3,FALSE)</f>
        <v>882</v>
      </c>
      <c r="K81" s="53">
        <f>+VLOOKUP($A81&amp;$A$70&amp;$B$70,REPORT_raw_dataseen!$A$1:$P$721, MATCH(Referrals!K$6,REPORT_raw_dataseen!$D$1:$O$1,1)+3,FALSE)</f>
        <v>826</v>
      </c>
      <c r="L81" s="53">
        <f>+VLOOKUP($A81&amp;$A$70&amp;$B$70,REPORT_raw_dataseen!$A$1:$P$721, MATCH(Referrals!L$6,REPORT_raw_dataseen!$D$1:$O$1,1)+3,FALSE)</f>
        <v>902</v>
      </c>
      <c r="M81" s="53">
        <f>+VLOOKUP($A81&amp;$A$70&amp;$B$70,REPORT_raw_dataseen!$A$1:$R$721, MATCH(Referrals!M$6,REPORT_raw_dataseen!$D$1:$R$1,1)+3,FALSE)</f>
        <v>1091</v>
      </c>
      <c r="N81" s="53">
        <f>+VLOOKUP($A81&amp;$A$70&amp;$B$70,REPORT_raw_dataseen!$A$1:$R$721, MATCH(Referrals!N$6,REPORT_raw_dataseen!$D$1:$R$1,1)+3,FALSE)</f>
        <v>1026</v>
      </c>
      <c r="O81" s="53">
        <f>+VLOOKUP($A81&amp;$A$70&amp;$B$70,REPORT_raw_dataseen!$A$1:$R$721, MATCH(Referrals!O$6,REPORT_raw_dataseen!$D$1:$R$1,1)+3,FALSE)</f>
        <v>986</v>
      </c>
      <c r="P81" s="53">
        <f>+VLOOKUP($A81&amp;$A$70&amp;$B$70,REPORT_raw_dataseen!$A$1:$R$721, MATCH(Referrals!P$6,REPORT_raw_dataseen!$D$1:$R$1,1)+3,FALSE)</f>
        <v>1099</v>
      </c>
    </row>
    <row r="82" spans="1:16">
      <c r="A82" s="50" t="s">
        <v>142</v>
      </c>
      <c r="B82" s="53">
        <f>+VLOOKUP($A82&amp;$A$70&amp;$B$70,REPORT_raw_dataseen!$A$1:$P$721, MATCH(Referrals!B$73,REPORT_raw_dataseen!$D$1:$O$1,1)+3,FALSE)</f>
        <v>13</v>
      </c>
      <c r="C82" s="53">
        <f>+VLOOKUP($A82&amp;$A$70&amp;$B$70,REPORT_raw_dataseen!$A$1:$P$721, MATCH(Referrals!C$73,REPORT_raw_dataseen!$D$1:$O$1,1)+3,FALSE)</f>
        <v>19</v>
      </c>
      <c r="D82" s="53">
        <f>+VLOOKUP($A82&amp;$A$70&amp;$B$70,REPORT_raw_dataseen!$A$1:$P$721, MATCH(Referrals!D$73,REPORT_raw_dataseen!$D$1:$O$1,1)+3,FALSE)</f>
        <v>28</v>
      </c>
      <c r="E82" s="53">
        <f>+VLOOKUP($A82&amp;$A$70&amp;$B$70,REPORT_raw_dataseen!$A$1:$P$721, MATCH(Referrals!E$6,REPORT_raw_dataseen!$D$1:$O$1,1)+3,FALSE)</f>
        <v>25</v>
      </c>
      <c r="F82" s="53">
        <f>+VLOOKUP($A82&amp;$A$70&amp;$B$70,REPORT_raw_dataseen!$A$1:$P$721, MATCH(Referrals!F$6,REPORT_raw_dataseen!$D$1:$O$1,1)+3,FALSE)</f>
        <v>26</v>
      </c>
      <c r="G82" s="53">
        <f>+VLOOKUP($A82&amp;$A$70&amp;$B$70,REPORT_raw_dataseen!$A$1:$P$721, MATCH(Referrals!G$6,REPORT_raw_dataseen!$D$1:$O$1,1)+3,FALSE)</f>
        <v>26</v>
      </c>
      <c r="H82" s="53">
        <f>+VLOOKUP($A82&amp;$A$70&amp;$B$70,REPORT_raw_dataseen!$A$1:$P$721, MATCH(Referrals!H$6,REPORT_raw_dataseen!$D$1:$O$1,1)+3,FALSE)</f>
        <v>17</v>
      </c>
      <c r="I82" s="53">
        <f>+VLOOKUP($A82&amp;$A$70&amp;$B$70,REPORT_raw_dataseen!$A$1:$P$721, MATCH(Referrals!I$6,REPORT_raw_dataseen!$D$1:$O$1,1)+3,FALSE)</f>
        <v>29</v>
      </c>
      <c r="J82" s="53">
        <f>+VLOOKUP($A82&amp;$A$70&amp;$B$70,REPORT_raw_dataseen!$A$1:$P$721, MATCH(Referrals!J$6,REPORT_raw_dataseen!$D$1:$O$1,1)+3,FALSE)</f>
        <v>29</v>
      </c>
      <c r="K82" s="53">
        <f>+VLOOKUP($A82&amp;$A$70&amp;$B$70,REPORT_raw_dataseen!$A$1:$P$721, MATCH(Referrals!K$6,REPORT_raw_dataseen!$D$1:$O$1,1)+3,FALSE)</f>
        <v>21</v>
      </c>
      <c r="L82" s="53">
        <f>+VLOOKUP($A82&amp;$A$70&amp;$B$70,REPORT_raw_dataseen!$A$1:$P$721, MATCH(Referrals!L$6,REPORT_raw_dataseen!$D$1:$O$1,1)+3,FALSE)</f>
        <v>23</v>
      </c>
      <c r="M82" s="53">
        <f>+VLOOKUP($A82&amp;$A$70&amp;$B$70,REPORT_raw_dataseen!$A$1:$R$721, MATCH(Referrals!M$6,REPORT_raw_dataseen!$D$1:$R$1,1)+3,FALSE)</f>
        <v>39</v>
      </c>
      <c r="N82" s="53">
        <f>+VLOOKUP($A82&amp;$A$70&amp;$B$70,REPORT_raw_dataseen!$A$1:$R$721, MATCH(Referrals!N$6,REPORT_raw_dataseen!$D$1:$R$1,1)+3,FALSE)</f>
        <v>48</v>
      </c>
      <c r="O82" s="53">
        <f>+VLOOKUP($A82&amp;$A$70&amp;$B$70,REPORT_raw_dataseen!$A$1:$R$721, MATCH(Referrals!O$6,REPORT_raw_dataseen!$D$1:$R$1,1)+3,FALSE)</f>
        <v>32</v>
      </c>
      <c r="P82" s="53">
        <f>+VLOOKUP($A82&amp;$A$70&amp;$B$70,REPORT_raw_dataseen!$A$1:$R$721, MATCH(Referrals!P$6,REPORT_raw_dataseen!$D$1:$R$1,1)+3,FALSE)</f>
        <v>53</v>
      </c>
    </row>
    <row r="83" spans="1:16">
      <c r="A83" s="50" t="s">
        <v>192</v>
      </c>
      <c r="B83" s="53">
        <f>+VLOOKUP($A83&amp;$A$70&amp;$B$70,REPORT_raw_dataseen!$A$1:$P$721, MATCH(Referrals!B$73,REPORT_raw_dataseen!$D$1:$O$1,1)+3,FALSE)</f>
        <v>18</v>
      </c>
      <c r="C83" s="53">
        <f>+VLOOKUP($A83&amp;$A$70&amp;$B$70,REPORT_raw_dataseen!$A$1:$P$721, MATCH(Referrals!C$73,REPORT_raw_dataseen!$D$1:$O$1,1)+3,FALSE)</f>
        <v>18</v>
      </c>
      <c r="D83" s="53">
        <f>+VLOOKUP($A83&amp;$A$70&amp;$B$70,REPORT_raw_dataseen!$A$1:$P$721, MATCH(Referrals!D$73,REPORT_raw_dataseen!$D$1:$O$1,1)+3,FALSE)</f>
        <v>19</v>
      </c>
      <c r="E83" s="53">
        <f>+VLOOKUP($A83&amp;$A$70&amp;$B$70,REPORT_raw_dataseen!$A$1:$P$721, MATCH(Referrals!E$6,REPORT_raw_dataseen!$D$1:$O$1,1)+3,FALSE)</f>
        <v>33</v>
      </c>
      <c r="F83" s="53">
        <f>+VLOOKUP($A83&amp;$A$70&amp;$B$70,REPORT_raw_dataseen!$A$1:$P$721, MATCH(Referrals!F$6,REPORT_raw_dataseen!$D$1:$O$1,1)+3,FALSE)</f>
        <v>32</v>
      </c>
      <c r="G83" s="53">
        <f>+VLOOKUP($A83&amp;$A$70&amp;$B$70,REPORT_raw_dataseen!$A$1:$P$721, MATCH(Referrals!G$6,REPORT_raw_dataseen!$D$1:$O$1,1)+3,FALSE)</f>
        <v>54</v>
      </c>
      <c r="H83" s="53">
        <f>+VLOOKUP($A83&amp;$A$70&amp;$B$70,REPORT_raw_dataseen!$A$1:$P$721, MATCH(Referrals!H$6,REPORT_raw_dataseen!$D$1:$O$1,1)+3,FALSE)</f>
        <v>37</v>
      </c>
      <c r="I83" s="53">
        <f>+VLOOKUP($A83&amp;$A$70&amp;$B$70,REPORT_raw_dataseen!$A$1:$P$721, MATCH(Referrals!I$6,REPORT_raw_dataseen!$D$1:$O$1,1)+3,FALSE)</f>
        <v>47</v>
      </c>
      <c r="J83" s="53">
        <f>+VLOOKUP($A83&amp;$A$70&amp;$B$70,REPORT_raw_dataseen!$A$1:$P$721, MATCH(Referrals!J$6,REPORT_raw_dataseen!$D$1:$O$1,1)+3,FALSE)</f>
        <v>32</v>
      </c>
      <c r="K83" s="53">
        <f>+VLOOKUP($A83&amp;$A$70&amp;$B$70,REPORT_raw_dataseen!$A$1:$P$721, MATCH(Referrals!K$6,REPORT_raw_dataseen!$D$1:$O$1,1)+3,FALSE)</f>
        <v>36</v>
      </c>
      <c r="L83" s="53">
        <f>+VLOOKUP($A83&amp;$A$70&amp;$B$70,REPORT_raw_dataseen!$A$1:$P$721, MATCH(Referrals!L$6,REPORT_raw_dataseen!$D$1:$O$1,1)+3,FALSE)</f>
        <v>45</v>
      </c>
      <c r="M83" s="53">
        <f>+VLOOKUP($A83&amp;$A$70&amp;$B$70,REPORT_raw_dataseen!$A$1:$R$721, MATCH(Referrals!M$6,REPORT_raw_dataseen!$D$1:$R$1,1)+3,FALSE)</f>
        <v>60</v>
      </c>
      <c r="N83" s="53">
        <f>+VLOOKUP($A83&amp;$A$70&amp;$B$70,REPORT_raw_dataseen!$A$1:$R$721, MATCH(Referrals!N$6,REPORT_raw_dataseen!$D$1:$R$1,1)+3,FALSE)</f>
        <v>42</v>
      </c>
      <c r="O83" s="53">
        <f>+VLOOKUP($A83&amp;$A$70&amp;$B$70,REPORT_raw_dataseen!$A$1:$R$721, MATCH(Referrals!O$6,REPORT_raw_dataseen!$D$1:$R$1,1)+3,FALSE)</f>
        <v>88</v>
      </c>
      <c r="P83" s="53">
        <f>+VLOOKUP($A83&amp;$A$70&amp;$B$70,REPORT_raw_dataseen!$A$1:$R$721, MATCH(Referrals!P$6,REPORT_raw_dataseen!$D$1:$R$1,1)+3,FALSE)</f>
        <v>78</v>
      </c>
    </row>
    <row r="84" spans="1:16">
      <c r="A84" s="50" t="s">
        <v>143</v>
      </c>
      <c r="B84" s="53">
        <f>+VLOOKUP($A84&amp;$A$70&amp;$B$70,REPORT_raw_dataseen!$A$1:$P$721, MATCH(Referrals!B$73,REPORT_raw_dataseen!$D$1:$O$1,1)+3,FALSE)</f>
        <v>86</v>
      </c>
      <c r="C84" s="53">
        <f>+VLOOKUP($A84&amp;$A$70&amp;$B$70,REPORT_raw_dataseen!$A$1:$P$721, MATCH(Referrals!C$73,REPORT_raw_dataseen!$D$1:$O$1,1)+3,FALSE)</f>
        <v>51</v>
      </c>
      <c r="D84" s="53">
        <f>+VLOOKUP($A84&amp;$A$70&amp;$B$70,REPORT_raw_dataseen!$A$1:$P$721, MATCH(Referrals!D$73,REPORT_raw_dataseen!$D$1:$O$1,1)+3,FALSE)</f>
        <v>83</v>
      </c>
      <c r="E84" s="53">
        <f>+VLOOKUP($A84&amp;$A$70&amp;$B$70,REPORT_raw_dataseen!$A$1:$P$721, MATCH(Referrals!E$6,REPORT_raw_dataseen!$D$1:$O$1,1)+3,FALSE)</f>
        <v>93</v>
      </c>
      <c r="F84" s="53">
        <f>+VLOOKUP($A84&amp;$A$70&amp;$B$70,REPORT_raw_dataseen!$A$1:$P$721, MATCH(Referrals!F$6,REPORT_raw_dataseen!$D$1:$O$1,1)+3,FALSE)</f>
        <v>93</v>
      </c>
      <c r="G84" s="53">
        <f>+VLOOKUP($A84&amp;$A$70&amp;$B$70,REPORT_raw_dataseen!$A$1:$P$721, MATCH(Referrals!G$6,REPORT_raw_dataseen!$D$1:$O$1,1)+3,FALSE)</f>
        <v>87</v>
      </c>
      <c r="H84" s="53">
        <f>+VLOOKUP($A84&amp;$A$70&amp;$B$70,REPORT_raw_dataseen!$A$1:$P$721, MATCH(Referrals!H$6,REPORT_raw_dataseen!$D$1:$O$1,1)+3,FALSE)</f>
        <v>83</v>
      </c>
      <c r="I84" s="53">
        <f>+VLOOKUP($A84&amp;$A$70&amp;$B$70,REPORT_raw_dataseen!$A$1:$P$721, MATCH(Referrals!I$6,REPORT_raw_dataseen!$D$1:$O$1,1)+3,FALSE)</f>
        <v>87</v>
      </c>
      <c r="J84" s="53">
        <f>+VLOOKUP($A84&amp;$A$70&amp;$B$70,REPORT_raw_dataseen!$A$1:$P$721, MATCH(Referrals!J$6,REPORT_raw_dataseen!$D$1:$O$1,1)+3,FALSE)</f>
        <v>80</v>
      </c>
      <c r="K84" s="53">
        <f>+VLOOKUP($A84&amp;$A$70&amp;$B$70,REPORT_raw_dataseen!$A$1:$P$721, MATCH(Referrals!K$6,REPORT_raw_dataseen!$D$1:$O$1,1)+3,FALSE)</f>
        <v>73</v>
      </c>
      <c r="L84" s="53">
        <f>+VLOOKUP($A84&amp;$A$70&amp;$B$70,REPORT_raw_dataseen!$A$1:$P$721, MATCH(Referrals!L$6,REPORT_raw_dataseen!$D$1:$O$1,1)+3,FALSE)</f>
        <v>83</v>
      </c>
      <c r="M84" s="53">
        <f>+VLOOKUP($A84&amp;$A$70&amp;$B$70,REPORT_raw_dataseen!$A$1:$R$721, MATCH(Referrals!M$6,REPORT_raw_dataseen!$D$1:$R$1,1)+3,FALSE)</f>
        <v>107</v>
      </c>
      <c r="N84" s="53">
        <f>+VLOOKUP($A84&amp;$A$70&amp;$B$70,REPORT_raw_dataseen!$A$1:$R$721, MATCH(Referrals!N$6,REPORT_raw_dataseen!$D$1:$R$1,1)+3,FALSE)</f>
        <v>92</v>
      </c>
      <c r="O84" s="53">
        <f>+VLOOKUP($A84&amp;$A$70&amp;$B$70,REPORT_raw_dataseen!$A$1:$R$721, MATCH(Referrals!O$6,REPORT_raw_dataseen!$D$1:$R$1,1)+3,FALSE)</f>
        <v>102</v>
      </c>
      <c r="P84" s="53">
        <f>+VLOOKUP($A84&amp;$A$70&amp;$B$70,REPORT_raw_dataseen!$A$1:$R$721, MATCH(Referrals!P$6,REPORT_raw_dataseen!$D$1:$R$1,1)+3,FALSE)</f>
        <v>93</v>
      </c>
    </row>
    <row r="85" spans="1:16">
      <c r="A85" s="50" t="s">
        <v>144</v>
      </c>
      <c r="B85" s="53">
        <f>+VLOOKUP($A85&amp;$A$70&amp;$B$70,REPORT_raw_dataseen!$A$1:$P$721, MATCH(Referrals!B$73,REPORT_raw_dataseen!$D$1:$O$1,1)+3,FALSE)</f>
        <v>0</v>
      </c>
      <c r="C85" s="53">
        <f>+VLOOKUP($A85&amp;$A$70&amp;$B$70,REPORT_raw_dataseen!$A$1:$P$721, MATCH(Referrals!C$73,REPORT_raw_dataseen!$D$1:$O$1,1)+3,FALSE)</f>
        <v>0</v>
      </c>
      <c r="D85" s="53">
        <f>+VLOOKUP($A85&amp;$A$70&amp;$B$70,REPORT_raw_dataseen!$A$1:$P$721, MATCH(Referrals!D$73,REPORT_raw_dataseen!$D$1:$O$1,1)+3,FALSE)</f>
        <v>1</v>
      </c>
      <c r="E85" s="53">
        <f>+VLOOKUP($A85&amp;$A$70&amp;$B$70,REPORT_raw_dataseen!$A$1:$P$721, MATCH(Referrals!E$6,REPORT_raw_dataseen!$D$1:$O$1,1)+3,FALSE)</f>
        <v>0</v>
      </c>
      <c r="F85" s="53">
        <f>+VLOOKUP($A85&amp;$A$70&amp;$B$70,REPORT_raw_dataseen!$A$1:$P$721, MATCH(Referrals!F$6,REPORT_raw_dataseen!$D$1:$O$1,1)+3,FALSE)</f>
        <v>0</v>
      </c>
      <c r="G85" s="53">
        <f>+VLOOKUP($A85&amp;$A$70&amp;$B$70,REPORT_raw_dataseen!$A$1:$P$721, MATCH(Referrals!G$6,REPORT_raw_dataseen!$D$1:$O$1,1)+3,FALSE)</f>
        <v>0</v>
      </c>
      <c r="H85" s="53">
        <f>+VLOOKUP($A85&amp;$A$70&amp;$B$70,REPORT_raw_dataseen!$A$1:$P$721, MATCH(Referrals!H$6,REPORT_raw_dataseen!$D$1:$O$1,1)+3,FALSE)</f>
        <v>1</v>
      </c>
      <c r="I85" s="53">
        <f>+VLOOKUP($A85&amp;$A$70&amp;$B$70,REPORT_raw_dataseen!$A$1:$P$721, MATCH(Referrals!I$6,REPORT_raw_dataseen!$D$1:$O$1,1)+3,FALSE)</f>
        <v>0</v>
      </c>
      <c r="J85" s="53">
        <f>+VLOOKUP($A85&amp;$A$70&amp;$B$70,REPORT_raw_dataseen!$A$1:$P$721, MATCH(Referrals!J$6,REPORT_raw_dataseen!$D$1:$O$1,1)+3,FALSE)</f>
        <v>0</v>
      </c>
      <c r="K85" s="53">
        <f>+VLOOKUP($A85&amp;$A$70&amp;$B$70,REPORT_raw_dataseen!$A$1:$P$721, MATCH(Referrals!K$6,REPORT_raw_dataseen!$D$1:$O$1,1)+3,FALSE)</f>
        <v>0</v>
      </c>
      <c r="L85" s="53">
        <f>+VLOOKUP($A85&amp;$A$70&amp;$B$70,REPORT_raw_dataseen!$A$1:$P$721, MATCH(Referrals!L$6,REPORT_raw_dataseen!$D$1:$O$1,1)+3,FALSE)</f>
        <v>0</v>
      </c>
      <c r="M85" s="53">
        <f>+VLOOKUP($A85&amp;$A$70&amp;$B$70,REPORT_raw_dataseen!$A$1:$R$721, MATCH(Referrals!M$6,REPORT_raw_dataseen!$D$1:$R$1,1)+3,FALSE)</f>
        <v>0</v>
      </c>
      <c r="N85" s="53">
        <f>+VLOOKUP($A85&amp;$A$70&amp;$B$70,REPORT_raw_dataseen!$A$1:$R$721, MATCH(Referrals!N$6,REPORT_raw_dataseen!$D$1:$R$1,1)+3,FALSE)</f>
        <v>1</v>
      </c>
      <c r="O85" s="53">
        <f>+VLOOKUP($A85&amp;$A$70&amp;$B$70,REPORT_raw_dataseen!$A$1:$R$721, MATCH(Referrals!O$6,REPORT_raw_dataseen!$D$1:$R$1,1)+3,FALSE)</f>
        <v>0</v>
      </c>
      <c r="P85" s="53">
        <f>+VLOOKUP($A85&amp;$A$70&amp;$B$70,REPORT_raw_dataseen!$A$1:$R$721, MATCH(Referrals!P$6,REPORT_raw_dataseen!$D$1:$R$1,1)+3,FALSE)</f>
        <v>1</v>
      </c>
    </row>
    <row r="86" spans="1:16">
      <c r="A86" s="50" t="s">
        <v>145</v>
      </c>
      <c r="B86" s="53">
        <f>+VLOOKUP($A86&amp;$A$70&amp;$B$70,REPORT_raw_dataseen!$A$1:$P$721, MATCH(Referrals!B$73,REPORT_raw_dataseen!$D$1:$O$1,1)+3,FALSE)</f>
        <v>0</v>
      </c>
      <c r="C86" s="53">
        <f>+VLOOKUP($A86&amp;$A$70&amp;$B$70,REPORT_raw_dataseen!$A$1:$P$721, MATCH(Referrals!C$73,REPORT_raw_dataseen!$D$1:$O$1,1)+3,FALSE)</f>
        <v>0</v>
      </c>
      <c r="D86" s="53">
        <f>+VLOOKUP($A86&amp;$A$70&amp;$B$70,REPORT_raw_dataseen!$A$1:$P$721, MATCH(Referrals!D$73,REPORT_raw_dataseen!$D$1:$O$1,1)+3,FALSE)</f>
        <v>0</v>
      </c>
      <c r="E86" s="53">
        <f>+VLOOKUP($A86&amp;$A$70&amp;$B$70,REPORT_raw_dataseen!$A$1:$P$721, MATCH(Referrals!E$6,REPORT_raw_dataseen!$D$1:$O$1,1)+3,FALSE)</f>
        <v>0</v>
      </c>
      <c r="F86" s="53">
        <f>+VLOOKUP($A86&amp;$A$70&amp;$B$70,REPORT_raw_dataseen!$A$1:$P$721, MATCH(Referrals!F$6,REPORT_raw_dataseen!$D$1:$O$1,1)+3,FALSE)</f>
        <v>0</v>
      </c>
      <c r="G86" s="53">
        <f>+VLOOKUP($A86&amp;$A$70&amp;$B$70,REPORT_raw_dataseen!$A$1:$P$721, MATCH(Referrals!G$6,REPORT_raw_dataseen!$D$1:$O$1,1)+3,FALSE)</f>
        <v>3</v>
      </c>
      <c r="H86" s="53">
        <f>+VLOOKUP($A86&amp;$A$70&amp;$B$70,REPORT_raw_dataseen!$A$1:$P$721, MATCH(Referrals!H$6,REPORT_raw_dataseen!$D$1:$O$1,1)+3,FALSE)</f>
        <v>2</v>
      </c>
      <c r="I86" s="53">
        <f>+VLOOKUP($A86&amp;$A$70&amp;$B$70,REPORT_raw_dataseen!$A$1:$P$721, MATCH(Referrals!I$6,REPORT_raw_dataseen!$D$1:$O$1,1)+3,FALSE)</f>
        <v>0</v>
      </c>
      <c r="J86" s="53">
        <f>+VLOOKUP($A86&amp;$A$70&amp;$B$70,REPORT_raw_dataseen!$A$1:$P$721, MATCH(Referrals!J$6,REPORT_raw_dataseen!$D$1:$O$1,1)+3,FALSE)</f>
        <v>1</v>
      </c>
      <c r="K86" s="53">
        <f>+VLOOKUP($A86&amp;$A$70&amp;$B$70,REPORT_raw_dataseen!$A$1:$P$721, MATCH(Referrals!K$6,REPORT_raw_dataseen!$D$1:$O$1,1)+3,FALSE)</f>
        <v>0</v>
      </c>
      <c r="L86" s="53">
        <f>+VLOOKUP($A86&amp;$A$70&amp;$B$70,REPORT_raw_dataseen!$A$1:$P$721, MATCH(Referrals!L$6,REPORT_raw_dataseen!$D$1:$O$1,1)+3,FALSE)</f>
        <v>1</v>
      </c>
      <c r="M86" s="53">
        <f>+VLOOKUP($A86&amp;$A$70&amp;$B$70,REPORT_raw_dataseen!$A$1:$R$721, MATCH(Referrals!M$6,REPORT_raw_dataseen!$D$1:$R$1,1)+3,FALSE)</f>
        <v>0</v>
      </c>
      <c r="N86" s="53">
        <f>+VLOOKUP($A86&amp;$A$70&amp;$B$70,REPORT_raw_dataseen!$A$1:$R$721, MATCH(Referrals!N$6,REPORT_raw_dataseen!$D$1:$R$1,1)+3,FALSE)</f>
        <v>1</v>
      </c>
      <c r="O86" s="53">
        <f>+VLOOKUP($A86&amp;$A$70&amp;$B$70,REPORT_raw_dataseen!$A$1:$R$721, MATCH(Referrals!O$6,REPORT_raw_dataseen!$D$1:$R$1,1)+3,FALSE)</f>
        <v>2</v>
      </c>
      <c r="P86" s="53">
        <f>+VLOOKUP($A86&amp;$A$70&amp;$B$70,REPORT_raw_dataseen!$A$1:$R$721, MATCH(Referrals!P$6,REPORT_raw_dataseen!$D$1:$R$1,1)+3,FALSE)</f>
        <v>2</v>
      </c>
    </row>
    <row r="87" spans="1:16">
      <c r="A87" s="50" t="s">
        <v>146</v>
      </c>
      <c r="B87" s="53">
        <f>+VLOOKUP($A87&amp;$A$70&amp;$B$70,REPORT_raw_dataseen!$A$1:$P$721, MATCH(Referrals!B$73,REPORT_raw_dataseen!$D$1:$O$1,1)+3,FALSE)</f>
        <v>28</v>
      </c>
      <c r="C87" s="53">
        <f>+VLOOKUP($A87&amp;$A$70&amp;$B$70,REPORT_raw_dataseen!$A$1:$P$721, MATCH(Referrals!C$73,REPORT_raw_dataseen!$D$1:$O$1,1)+3,FALSE)</f>
        <v>25</v>
      </c>
      <c r="D87" s="53">
        <f>+VLOOKUP($A87&amp;$A$70&amp;$B$70,REPORT_raw_dataseen!$A$1:$P$721, MATCH(Referrals!D$73,REPORT_raw_dataseen!$D$1:$O$1,1)+3,FALSE)</f>
        <v>24</v>
      </c>
      <c r="E87" s="53">
        <f>+VLOOKUP($A87&amp;$A$70&amp;$B$70,REPORT_raw_dataseen!$A$1:$P$721, MATCH(Referrals!E$6,REPORT_raw_dataseen!$D$1:$O$1,1)+3,FALSE)</f>
        <v>104</v>
      </c>
      <c r="F87" s="53">
        <f>+VLOOKUP($A87&amp;$A$70&amp;$B$70,REPORT_raw_dataseen!$A$1:$P$721, MATCH(Referrals!F$6,REPORT_raw_dataseen!$D$1:$O$1,1)+3,FALSE)</f>
        <v>52</v>
      </c>
      <c r="G87" s="53">
        <f>+VLOOKUP($A87&amp;$A$70&amp;$B$70,REPORT_raw_dataseen!$A$1:$P$721, MATCH(Referrals!G$6,REPORT_raw_dataseen!$D$1:$O$1,1)+3,FALSE)</f>
        <v>100</v>
      </c>
      <c r="H87" s="53">
        <f>+VLOOKUP($A87&amp;$A$70&amp;$B$70,REPORT_raw_dataseen!$A$1:$P$721, MATCH(Referrals!H$6,REPORT_raw_dataseen!$D$1:$O$1,1)+3,FALSE)</f>
        <v>47</v>
      </c>
      <c r="I87" s="53">
        <f>+VLOOKUP($A87&amp;$A$70&amp;$B$70,REPORT_raw_dataseen!$A$1:$P$721, MATCH(Referrals!I$6,REPORT_raw_dataseen!$D$1:$O$1,1)+3,FALSE)</f>
        <v>104</v>
      </c>
      <c r="J87" s="53">
        <f>+VLOOKUP($A87&amp;$A$70&amp;$B$70,REPORT_raw_dataseen!$A$1:$P$721, MATCH(Referrals!J$6,REPORT_raw_dataseen!$D$1:$O$1,1)+3,FALSE)</f>
        <v>42</v>
      </c>
      <c r="K87" s="53">
        <f>+VLOOKUP($A87&amp;$A$70&amp;$B$70,REPORT_raw_dataseen!$A$1:$P$721, MATCH(Referrals!K$6,REPORT_raw_dataseen!$D$1:$O$1,1)+3,FALSE)</f>
        <v>91</v>
      </c>
      <c r="L87" s="53">
        <f>+VLOOKUP($A87&amp;$A$70&amp;$B$70,REPORT_raw_dataseen!$A$1:$P$721, MATCH(Referrals!L$6,REPORT_raw_dataseen!$D$1:$O$1,1)+3,FALSE)</f>
        <v>77</v>
      </c>
      <c r="M87" s="53">
        <f>+VLOOKUP($A87&amp;$A$70&amp;$B$70,REPORT_raw_dataseen!$A$1:$R$721, MATCH(Referrals!M$6,REPORT_raw_dataseen!$D$1:$R$1,1)+3,FALSE)</f>
        <v>95</v>
      </c>
      <c r="N87" s="53">
        <f>+VLOOKUP($A87&amp;$A$70&amp;$B$70,REPORT_raw_dataseen!$A$1:$R$721, MATCH(Referrals!N$6,REPORT_raw_dataseen!$D$1:$R$1,1)+3,FALSE)</f>
        <v>80</v>
      </c>
      <c r="O87" s="53">
        <f>+VLOOKUP($A87&amp;$A$70&amp;$B$70,REPORT_raw_dataseen!$A$1:$R$721, MATCH(Referrals!O$6,REPORT_raw_dataseen!$D$1:$R$1,1)+3,FALSE)</f>
        <v>85</v>
      </c>
      <c r="P87" s="53">
        <f>+VLOOKUP($A87&amp;$A$70&amp;$B$70,REPORT_raw_dataseen!$A$1:$R$721, MATCH(Referrals!P$6,REPORT_raw_dataseen!$D$1:$R$1,1)+3,FALSE)</f>
        <v>131</v>
      </c>
    </row>
    <row r="88" spans="1:16">
      <c r="A88" s="50" t="s">
        <v>147</v>
      </c>
      <c r="B88" s="53">
        <f>+VLOOKUP($A88&amp;$A$70&amp;$B$70,REPORT_raw_dataseen!$A$1:$P$721, MATCH(Referrals!B$73,REPORT_raw_dataseen!$D$1:$O$1,1)+3,FALSE)</f>
        <v>0</v>
      </c>
      <c r="C88" s="53">
        <f>+VLOOKUP($A88&amp;$A$70&amp;$B$70,REPORT_raw_dataseen!$A$1:$P$721, MATCH(Referrals!C$73,REPORT_raw_dataseen!$D$1:$O$1,1)+3,FALSE)</f>
        <v>1</v>
      </c>
      <c r="D88" s="53">
        <f>+VLOOKUP($A88&amp;$A$70&amp;$B$70,REPORT_raw_dataseen!$A$1:$P$721, MATCH(Referrals!D$73,REPORT_raw_dataseen!$D$1:$O$1,1)+3,FALSE)</f>
        <v>1</v>
      </c>
      <c r="E88" s="53">
        <f>+VLOOKUP($A88&amp;$A$70&amp;$B$70,REPORT_raw_dataseen!$A$1:$P$721, MATCH(Referrals!E$6,REPORT_raw_dataseen!$D$1:$O$1,1)+3,FALSE)</f>
        <v>2</v>
      </c>
      <c r="F88" s="53">
        <f>+VLOOKUP($A88&amp;$A$70&amp;$B$70,REPORT_raw_dataseen!$A$1:$P$721, MATCH(Referrals!F$6,REPORT_raw_dataseen!$D$1:$O$1,1)+3,FALSE)</f>
        <v>0</v>
      </c>
      <c r="G88" s="53">
        <f>+VLOOKUP($A88&amp;$A$70&amp;$B$70,REPORT_raw_dataseen!$A$1:$P$721, MATCH(Referrals!G$6,REPORT_raw_dataseen!$D$1:$O$1,1)+3,FALSE)</f>
        <v>0</v>
      </c>
      <c r="H88" s="53">
        <f>+VLOOKUP($A88&amp;$A$70&amp;$B$70,REPORT_raw_dataseen!$A$1:$P$721, MATCH(Referrals!H$6,REPORT_raw_dataseen!$D$1:$O$1,1)+3,FALSE)</f>
        <v>0</v>
      </c>
      <c r="I88" s="53">
        <f>+VLOOKUP($A88&amp;$A$70&amp;$B$70,REPORT_raw_dataseen!$A$1:$P$721, MATCH(Referrals!I$6,REPORT_raw_dataseen!$D$1:$O$1,1)+3,FALSE)</f>
        <v>0</v>
      </c>
      <c r="J88" s="53">
        <f>+VLOOKUP($A88&amp;$A$70&amp;$B$70,REPORT_raw_dataseen!$A$1:$P$721, MATCH(Referrals!J$6,REPORT_raw_dataseen!$D$1:$O$1,1)+3,FALSE)</f>
        <v>0</v>
      </c>
      <c r="K88" s="53">
        <f>+VLOOKUP($A88&amp;$A$70&amp;$B$70,REPORT_raw_dataseen!$A$1:$P$721, MATCH(Referrals!K$6,REPORT_raw_dataseen!$D$1:$O$1,1)+3,FALSE)</f>
        <v>1</v>
      </c>
      <c r="L88" s="53">
        <f>+VLOOKUP($A88&amp;$A$70&amp;$B$70,REPORT_raw_dataseen!$A$1:$P$721, MATCH(Referrals!L$6,REPORT_raw_dataseen!$D$1:$O$1,1)+3,FALSE)</f>
        <v>0</v>
      </c>
      <c r="M88" s="53">
        <f>+VLOOKUP($A88&amp;$A$70&amp;$B$70,REPORT_raw_dataseen!$A$1:$R$721, MATCH(Referrals!M$6,REPORT_raw_dataseen!$D$1:$R$1,1)+3,FALSE)</f>
        <v>0</v>
      </c>
      <c r="N88" s="53">
        <f>+VLOOKUP($A88&amp;$A$70&amp;$B$70,REPORT_raw_dataseen!$A$1:$R$721, MATCH(Referrals!N$6,REPORT_raw_dataseen!$D$1:$R$1,1)+3,FALSE)</f>
        <v>0</v>
      </c>
      <c r="O88" s="53">
        <f>+VLOOKUP($A88&amp;$A$70&amp;$B$70,REPORT_raw_dataseen!$A$1:$R$721, MATCH(Referrals!O$6,REPORT_raw_dataseen!$D$1:$R$1,1)+3,FALSE)</f>
        <v>0</v>
      </c>
      <c r="P88" s="53">
        <f>+VLOOKUP($A88&amp;$A$70&amp;$B$70,REPORT_raw_dataseen!$A$1:$R$721, MATCH(Referrals!P$6,REPORT_raw_dataseen!$D$1:$R$1,1)+3,FALSE)</f>
        <v>0</v>
      </c>
    </row>
    <row r="89" spans="1:16">
      <c r="A89" s="59" t="s">
        <v>328</v>
      </c>
      <c r="B89" s="53">
        <f>+VLOOKUP($A89&amp;$A$70&amp;$B$70,REPORT_raw_dataseen!$A$1:$R$769, MATCH(Referrals!B$6,REPORT_raw_dataseen!$D$1:$R$1,1)+3,FALSE)</f>
        <v>1</v>
      </c>
      <c r="C89" s="53">
        <f>+VLOOKUP($A89&amp;$A$70&amp;$B$70,REPORT_raw_dataseen!$A$1:$R$769, MATCH(Referrals!C$6,REPORT_raw_dataseen!$D$1:$R$1,1)+3,FALSE)</f>
        <v>0</v>
      </c>
      <c r="D89" s="53">
        <f>+VLOOKUP($A89&amp;$A$70&amp;$B$70,REPORT_raw_dataseen!$A$1:$R$769, MATCH(Referrals!D$6,REPORT_raw_dataseen!$D$1:$R$1,1)+3,FALSE)</f>
        <v>4</v>
      </c>
      <c r="E89" s="53">
        <f>+VLOOKUP($A89&amp;$A$70&amp;$B$70,REPORT_raw_dataseen!$A$1:$R$769, MATCH(Referrals!E$6,REPORT_raw_dataseen!$D$1:$R$1,1)+3,FALSE)</f>
        <v>2</v>
      </c>
      <c r="F89" s="53">
        <f>+VLOOKUP($A89&amp;$A$70&amp;$B$70,REPORT_raw_dataseen!$A$1:$R$769, MATCH(Referrals!F$6,REPORT_raw_dataseen!$D$1:$R$1,1)+3,FALSE)</f>
        <v>2</v>
      </c>
      <c r="G89" s="53">
        <f>+VLOOKUP($A89&amp;$A$70&amp;$B$70,REPORT_raw_dataseen!$A$1:$R$769, MATCH(Referrals!G$6,REPORT_raw_dataseen!$D$1:$R$1,1)+3,FALSE)</f>
        <v>4</v>
      </c>
      <c r="H89" s="53" t="str">
        <f>+VLOOKUP($A89&amp;$A$70&amp;$B$70,REPORT_raw_dataseen!$A$1:$R$769, MATCH(Referrals!H$6,REPORT_raw_dataseen!$D$1:$R$1,1)+3,FALSE)</f>
        <v>..</v>
      </c>
      <c r="I89" s="53">
        <f>+VLOOKUP($A89&amp;$A$70&amp;$B$70,REPORT_raw_dataseen!$A$1:$R$769, MATCH(Referrals!I$6,REPORT_raw_dataseen!$D$1:$R$1,1)+3,FALSE)</f>
        <v>2</v>
      </c>
      <c r="J89" s="53">
        <f>+VLOOKUP($A89&amp;$A$70&amp;$B$70,REPORT_raw_dataseen!$A$1:$R$769, MATCH(Referrals!J$6,REPORT_raw_dataseen!$D$1:$R$1,1)+3,FALSE)</f>
        <v>3</v>
      </c>
      <c r="K89" s="53">
        <f>+VLOOKUP($A89&amp;$A$70&amp;$B$70,REPORT_raw_dataseen!$A$1:$R$769, MATCH(Referrals!K$6,REPORT_raw_dataseen!$D$1:$R$1,1)+3,FALSE)</f>
        <v>4</v>
      </c>
      <c r="L89" s="53" t="str">
        <f>+VLOOKUP($A89&amp;$A$70&amp;$B$70,REPORT_raw_dataseen!$A$1:$R$769, MATCH(Referrals!L$6,REPORT_raw_dataseen!$D$1:$R$1,1)+3,FALSE)</f>
        <v>..</v>
      </c>
      <c r="M89" s="53">
        <f>+VLOOKUP($A89&amp;$A$70&amp;$B$70,REPORT_raw_dataseen!$A$1:$R$769, MATCH(Referrals!M$6,REPORT_raw_dataseen!$D$1:$R$1,1)+3,FALSE)</f>
        <v>0</v>
      </c>
      <c r="N89" s="53">
        <f>+VLOOKUP($A89&amp;$A$70&amp;$B$70,REPORT_raw_dataseen!$A$1:$R$769, MATCH(Referrals!N$6,REPORT_raw_dataseen!$D$1:$R$1,1)+3,FALSE)</f>
        <v>0</v>
      </c>
      <c r="O89" s="53">
        <f>+VLOOKUP($A89&amp;$A$70&amp;$B$70,REPORT_raw_dataseen!$A$1:$R$769, MATCH(Referrals!O$6,REPORT_raw_dataseen!$D$1:$R$1,1)+3,FALSE)</f>
        <v>0</v>
      </c>
      <c r="P89" s="53" t="str">
        <f>+VLOOKUP($A89&amp;$A$70&amp;$B$70,REPORT_raw_dataseen!$A$1:$R$769, MATCH(Referrals!P$6,REPORT_raw_dataseen!$D$1:$R$1,1)+3,FALSE)</f>
        <v>..</v>
      </c>
    </row>
  </sheetData>
  <pageMargins left="0.70866141732283472" right="0.70866141732283472" top="0.74803149606299213" bottom="0.74803149606299213" header="0.31496062992125984" footer="0.31496062992125984"/>
  <pageSetup paperSize="9" scale="73" fitToHeight="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AB160"/>
  <sheetViews>
    <sheetView topLeftCell="A19" workbookViewId="0">
      <selection activeCell="B4" sqref="B4:C4"/>
    </sheetView>
  </sheetViews>
  <sheetFormatPr defaultRowHeight="15"/>
  <cols>
    <col min="1" max="1" width="30.42578125" style="6" customWidth="1"/>
    <col min="2" max="2" width="13.5703125" style="6" customWidth="1"/>
    <col min="3" max="3" width="15.140625" style="6" customWidth="1"/>
    <col min="4" max="4" width="13.42578125" style="6" customWidth="1"/>
    <col min="5" max="5" width="17.140625" style="6" customWidth="1"/>
    <col min="6" max="6" width="7.28515625" style="6" customWidth="1"/>
    <col min="7" max="7" width="3.28515625" style="6" customWidth="1"/>
    <col min="8" max="8" width="7.5703125" style="6" bestFit="1" customWidth="1"/>
    <col min="9" max="9" width="11.5703125" style="6" customWidth="1"/>
    <col min="10" max="10" width="9.140625" style="6"/>
    <col min="11" max="11" width="10.140625" style="6" bestFit="1" customWidth="1"/>
    <col min="12" max="22" width="9.140625" style="6"/>
    <col min="23" max="23" width="12.28515625" style="6" customWidth="1"/>
    <col min="24" max="24" width="11.42578125" style="6" customWidth="1"/>
    <col min="25" max="256" width="9.140625" style="6"/>
    <col min="257" max="257" width="30.42578125" style="6" customWidth="1"/>
    <col min="258" max="258" width="13.5703125" style="6" customWidth="1"/>
    <col min="259" max="259" width="15.140625" style="6" customWidth="1"/>
    <col min="260" max="260" width="13.42578125" style="6" customWidth="1"/>
    <col min="261" max="261" width="17.140625" style="6" customWidth="1"/>
    <col min="262" max="262" width="7.28515625" style="6" customWidth="1"/>
    <col min="263" max="263" width="3.28515625" style="6" customWidth="1"/>
    <col min="264" max="264" width="7.5703125" style="6" bestFit="1" customWidth="1"/>
    <col min="265" max="265" width="8.7109375" style="6" bestFit="1" customWidth="1"/>
    <col min="266" max="266" width="9.140625" style="6"/>
    <col min="267" max="267" width="10.140625" style="6" bestFit="1" customWidth="1"/>
    <col min="268" max="512" width="9.140625" style="6"/>
    <col min="513" max="513" width="30.42578125" style="6" customWidth="1"/>
    <col min="514" max="514" width="13.5703125" style="6" customWidth="1"/>
    <col min="515" max="515" width="15.140625" style="6" customWidth="1"/>
    <col min="516" max="516" width="13.42578125" style="6" customWidth="1"/>
    <col min="517" max="517" width="17.140625" style="6" customWidth="1"/>
    <col min="518" max="518" width="7.28515625" style="6" customWidth="1"/>
    <col min="519" max="519" width="3.28515625" style="6" customWidth="1"/>
    <col min="520" max="520" width="7.5703125" style="6" bestFit="1" customWidth="1"/>
    <col min="521" max="521" width="8.7109375" style="6" bestFit="1" customWidth="1"/>
    <col min="522" max="522" width="9.140625" style="6"/>
    <col min="523" max="523" width="10.140625" style="6" bestFit="1" customWidth="1"/>
    <col min="524" max="768" width="9.140625" style="6"/>
    <col min="769" max="769" width="30.42578125" style="6" customWidth="1"/>
    <col min="770" max="770" width="13.5703125" style="6" customWidth="1"/>
    <col min="771" max="771" width="15.140625" style="6" customWidth="1"/>
    <col min="772" max="772" width="13.42578125" style="6" customWidth="1"/>
    <col min="773" max="773" width="17.140625" style="6" customWidth="1"/>
    <col min="774" max="774" width="7.28515625" style="6" customWidth="1"/>
    <col min="775" max="775" width="3.28515625" style="6" customWidth="1"/>
    <col min="776" max="776" width="7.5703125" style="6" bestFit="1" customWidth="1"/>
    <col min="777" max="777" width="8.7109375" style="6" bestFit="1" customWidth="1"/>
    <col min="778" max="778" width="9.140625" style="6"/>
    <col min="779" max="779" width="10.140625" style="6" bestFit="1" customWidth="1"/>
    <col min="780" max="1024" width="9.140625" style="6"/>
    <col min="1025" max="1025" width="30.42578125" style="6" customWidth="1"/>
    <col min="1026" max="1026" width="13.5703125" style="6" customWidth="1"/>
    <col min="1027" max="1027" width="15.140625" style="6" customWidth="1"/>
    <col min="1028" max="1028" width="13.42578125" style="6" customWidth="1"/>
    <col min="1029" max="1029" width="17.140625" style="6" customWidth="1"/>
    <col min="1030" max="1030" width="7.28515625" style="6" customWidth="1"/>
    <col min="1031" max="1031" width="3.28515625" style="6" customWidth="1"/>
    <col min="1032" max="1032" width="7.5703125" style="6" bestFit="1" customWidth="1"/>
    <col min="1033" max="1033" width="8.7109375" style="6" bestFit="1" customWidth="1"/>
    <col min="1034" max="1034" width="9.140625" style="6"/>
    <col min="1035" max="1035" width="10.140625" style="6" bestFit="1" customWidth="1"/>
    <col min="1036" max="1280" width="9.140625" style="6"/>
    <col min="1281" max="1281" width="30.42578125" style="6" customWidth="1"/>
    <col min="1282" max="1282" width="13.5703125" style="6" customWidth="1"/>
    <col min="1283" max="1283" width="15.140625" style="6" customWidth="1"/>
    <col min="1284" max="1284" width="13.42578125" style="6" customWidth="1"/>
    <col min="1285" max="1285" width="17.140625" style="6" customWidth="1"/>
    <col min="1286" max="1286" width="7.28515625" style="6" customWidth="1"/>
    <col min="1287" max="1287" width="3.28515625" style="6" customWidth="1"/>
    <col min="1288" max="1288" width="7.5703125" style="6" bestFit="1" customWidth="1"/>
    <col min="1289" max="1289" width="8.7109375" style="6" bestFit="1" customWidth="1"/>
    <col min="1290" max="1290" width="9.140625" style="6"/>
    <col min="1291" max="1291" width="10.140625" style="6" bestFit="1" customWidth="1"/>
    <col min="1292" max="1536" width="9.140625" style="6"/>
    <col min="1537" max="1537" width="30.42578125" style="6" customWidth="1"/>
    <col min="1538" max="1538" width="13.5703125" style="6" customWidth="1"/>
    <col min="1539" max="1539" width="15.140625" style="6" customWidth="1"/>
    <col min="1540" max="1540" width="13.42578125" style="6" customWidth="1"/>
    <col min="1541" max="1541" width="17.140625" style="6" customWidth="1"/>
    <col min="1542" max="1542" width="7.28515625" style="6" customWidth="1"/>
    <col min="1543" max="1543" width="3.28515625" style="6" customWidth="1"/>
    <col min="1544" max="1544" width="7.5703125" style="6" bestFit="1" customWidth="1"/>
    <col min="1545" max="1545" width="8.7109375" style="6" bestFit="1" customWidth="1"/>
    <col min="1546" max="1546" width="9.140625" style="6"/>
    <col min="1547" max="1547" width="10.140625" style="6" bestFit="1" customWidth="1"/>
    <col min="1548" max="1792" width="9.140625" style="6"/>
    <col min="1793" max="1793" width="30.42578125" style="6" customWidth="1"/>
    <col min="1794" max="1794" width="13.5703125" style="6" customWidth="1"/>
    <col min="1795" max="1795" width="15.140625" style="6" customWidth="1"/>
    <col min="1796" max="1796" width="13.42578125" style="6" customWidth="1"/>
    <col min="1797" max="1797" width="17.140625" style="6" customWidth="1"/>
    <col min="1798" max="1798" width="7.28515625" style="6" customWidth="1"/>
    <col min="1799" max="1799" width="3.28515625" style="6" customWidth="1"/>
    <col min="1800" max="1800" width="7.5703125" style="6" bestFit="1" customWidth="1"/>
    <col min="1801" max="1801" width="8.7109375" style="6" bestFit="1" customWidth="1"/>
    <col min="1802" max="1802" width="9.140625" style="6"/>
    <col min="1803" max="1803" width="10.140625" style="6" bestFit="1" customWidth="1"/>
    <col min="1804" max="2048" width="9.140625" style="6"/>
    <col min="2049" max="2049" width="30.42578125" style="6" customWidth="1"/>
    <col min="2050" max="2050" width="13.5703125" style="6" customWidth="1"/>
    <col min="2051" max="2051" width="15.140625" style="6" customWidth="1"/>
    <col min="2052" max="2052" width="13.42578125" style="6" customWidth="1"/>
    <col min="2053" max="2053" width="17.140625" style="6" customWidth="1"/>
    <col min="2054" max="2054" width="7.28515625" style="6" customWidth="1"/>
    <col min="2055" max="2055" width="3.28515625" style="6" customWidth="1"/>
    <col min="2056" max="2056" width="7.5703125" style="6" bestFit="1" customWidth="1"/>
    <col min="2057" max="2057" width="8.7109375" style="6" bestFit="1" customWidth="1"/>
    <col min="2058" max="2058" width="9.140625" style="6"/>
    <col min="2059" max="2059" width="10.140625" style="6" bestFit="1" customWidth="1"/>
    <col min="2060" max="2304" width="9.140625" style="6"/>
    <col min="2305" max="2305" width="30.42578125" style="6" customWidth="1"/>
    <col min="2306" max="2306" width="13.5703125" style="6" customWidth="1"/>
    <col min="2307" max="2307" width="15.140625" style="6" customWidth="1"/>
    <col min="2308" max="2308" width="13.42578125" style="6" customWidth="1"/>
    <col min="2309" max="2309" width="17.140625" style="6" customWidth="1"/>
    <col min="2310" max="2310" width="7.28515625" style="6" customWidth="1"/>
    <col min="2311" max="2311" width="3.28515625" style="6" customWidth="1"/>
    <col min="2312" max="2312" width="7.5703125" style="6" bestFit="1" customWidth="1"/>
    <col min="2313" max="2313" width="8.7109375" style="6" bestFit="1" customWidth="1"/>
    <col min="2314" max="2314" width="9.140625" style="6"/>
    <col min="2315" max="2315" width="10.140625" style="6" bestFit="1" customWidth="1"/>
    <col min="2316" max="2560" width="9.140625" style="6"/>
    <col min="2561" max="2561" width="30.42578125" style="6" customWidth="1"/>
    <col min="2562" max="2562" width="13.5703125" style="6" customWidth="1"/>
    <col min="2563" max="2563" width="15.140625" style="6" customWidth="1"/>
    <col min="2564" max="2564" width="13.42578125" style="6" customWidth="1"/>
    <col min="2565" max="2565" width="17.140625" style="6" customWidth="1"/>
    <col min="2566" max="2566" width="7.28515625" style="6" customWidth="1"/>
    <col min="2567" max="2567" width="3.28515625" style="6" customWidth="1"/>
    <col min="2568" max="2568" width="7.5703125" style="6" bestFit="1" customWidth="1"/>
    <col min="2569" max="2569" width="8.7109375" style="6" bestFit="1" customWidth="1"/>
    <col min="2570" max="2570" width="9.140625" style="6"/>
    <col min="2571" max="2571" width="10.140625" style="6" bestFit="1" customWidth="1"/>
    <col min="2572" max="2816" width="9.140625" style="6"/>
    <col min="2817" max="2817" width="30.42578125" style="6" customWidth="1"/>
    <col min="2818" max="2818" width="13.5703125" style="6" customWidth="1"/>
    <col min="2819" max="2819" width="15.140625" style="6" customWidth="1"/>
    <col min="2820" max="2820" width="13.42578125" style="6" customWidth="1"/>
    <col min="2821" max="2821" width="17.140625" style="6" customWidth="1"/>
    <col min="2822" max="2822" width="7.28515625" style="6" customWidth="1"/>
    <col min="2823" max="2823" width="3.28515625" style="6" customWidth="1"/>
    <col min="2824" max="2824" width="7.5703125" style="6" bestFit="1" customWidth="1"/>
    <col min="2825" max="2825" width="8.7109375" style="6" bestFit="1" customWidth="1"/>
    <col min="2826" max="2826" width="9.140625" style="6"/>
    <col min="2827" max="2827" width="10.140625" style="6" bestFit="1" customWidth="1"/>
    <col min="2828" max="3072" width="9.140625" style="6"/>
    <col min="3073" max="3073" width="30.42578125" style="6" customWidth="1"/>
    <col min="3074" max="3074" width="13.5703125" style="6" customWidth="1"/>
    <col min="3075" max="3075" width="15.140625" style="6" customWidth="1"/>
    <col min="3076" max="3076" width="13.42578125" style="6" customWidth="1"/>
    <col min="3077" max="3077" width="17.140625" style="6" customWidth="1"/>
    <col min="3078" max="3078" width="7.28515625" style="6" customWidth="1"/>
    <col min="3079" max="3079" width="3.28515625" style="6" customWidth="1"/>
    <col min="3080" max="3080" width="7.5703125" style="6" bestFit="1" customWidth="1"/>
    <col min="3081" max="3081" width="8.7109375" style="6" bestFit="1" customWidth="1"/>
    <col min="3082" max="3082" width="9.140625" style="6"/>
    <col min="3083" max="3083" width="10.140625" style="6" bestFit="1" customWidth="1"/>
    <col min="3084" max="3328" width="9.140625" style="6"/>
    <col min="3329" max="3329" width="30.42578125" style="6" customWidth="1"/>
    <col min="3330" max="3330" width="13.5703125" style="6" customWidth="1"/>
    <col min="3331" max="3331" width="15.140625" style="6" customWidth="1"/>
    <col min="3332" max="3332" width="13.42578125" style="6" customWidth="1"/>
    <col min="3333" max="3333" width="17.140625" style="6" customWidth="1"/>
    <col min="3334" max="3334" width="7.28515625" style="6" customWidth="1"/>
    <col min="3335" max="3335" width="3.28515625" style="6" customWidth="1"/>
    <col min="3336" max="3336" width="7.5703125" style="6" bestFit="1" customWidth="1"/>
    <col min="3337" max="3337" width="8.7109375" style="6" bestFit="1" customWidth="1"/>
    <col min="3338" max="3338" width="9.140625" style="6"/>
    <col min="3339" max="3339" width="10.140625" style="6" bestFit="1" customWidth="1"/>
    <col min="3340" max="3584" width="9.140625" style="6"/>
    <col min="3585" max="3585" width="30.42578125" style="6" customWidth="1"/>
    <col min="3586" max="3586" width="13.5703125" style="6" customWidth="1"/>
    <col min="3587" max="3587" width="15.140625" style="6" customWidth="1"/>
    <col min="3588" max="3588" width="13.42578125" style="6" customWidth="1"/>
    <col min="3589" max="3589" width="17.140625" style="6" customWidth="1"/>
    <col min="3590" max="3590" width="7.28515625" style="6" customWidth="1"/>
    <col min="3591" max="3591" width="3.28515625" style="6" customWidth="1"/>
    <col min="3592" max="3592" width="7.5703125" style="6" bestFit="1" customWidth="1"/>
    <col min="3593" max="3593" width="8.7109375" style="6" bestFit="1" customWidth="1"/>
    <col min="3594" max="3594" width="9.140625" style="6"/>
    <col min="3595" max="3595" width="10.140625" style="6" bestFit="1" customWidth="1"/>
    <col min="3596" max="3840" width="9.140625" style="6"/>
    <col min="3841" max="3841" width="30.42578125" style="6" customWidth="1"/>
    <col min="3842" max="3842" width="13.5703125" style="6" customWidth="1"/>
    <col min="3843" max="3843" width="15.140625" style="6" customWidth="1"/>
    <col min="3844" max="3844" width="13.42578125" style="6" customWidth="1"/>
    <col min="3845" max="3845" width="17.140625" style="6" customWidth="1"/>
    <col min="3846" max="3846" width="7.28515625" style="6" customWidth="1"/>
    <col min="3847" max="3847" width="3.28515625" style="6" customWidth="1"/>
    <col min="3848" max="3848" width="7.5703125" style="6" bestFit="1" customWidth="1"/>
    <col min="3849" max="3849" width="8.7109375" style="6" bestFit="1" customWidth="1"/>
    <col min="3850" max="3850" width="9.140625" style="6"/>
    <col min="3851" max="3851" width="10.140625" style="6" bestFit="1" customWidth="1"/>
    <col min="3852" max="4096" width="9.140625" style="6"/>
    <col min="4097" max="4097" width="30.42578125" style="6" customWidth="1"/>
    <col min="4098" max="4098" width="13.5703125" style="6" customWidth="1"/>
    <col min="4099" max="4099" width="15.140625" style="6" customWidth="1"/>
    <col min="4100" max="4100" width="13.42578125" style="6" customWidth="1"/>
    <col min="4101" max="4101" width="17.140625" style="6" customWidth="1"/>
    <col min="4102" max="4102" width="7.28515625" style="6" customWidth="1"/>
    <col min="4103" max="4103" width="3.28515625" style="6" customWidth="1"/>
    <col min="4104" max="4104" width="7.5703125" style="6" bestFit="1" customWidth="1"/>
    <col min="4105" max="4105" width="8.7109375" style="6" bestFit="1" customWidth="1"/>
    <col min="4106" max="4106" width="9.140625" style="6"/>
    <col min="4107" max="4107" width="10.140625" style="6" bestFit="1" customWidth="1"/>
    <col min="4108" max="4352" width="9.140625" style="6"/>
    <col min="4353" max="4353" width="30.42578125" style="6" customWidth="1"/>
    <col min="4354" max="4354" width="13.5703125" style="6" customWidth="1"/>
    <col min="4355" max="4355" width="15.140625" style="6" customWidth="1"/>
    <col min="4356" max="4356" width="13.42578125" style="6" customWidth="1"/>
    <col min="4357" max="4357" width="17.140625" style="6" customWidth="1"/>
    <col min="4358" max="4358" width="7.28515625" style="6" customWidth="1"/>
    <col min="4359" max="4359" width="3.28515625" style="6" customWidth="1"/>
    <col min="4360" max="4360" width="7.5703125" style="6" bestFit="1" customWidth="1"/>
    <col min="4361" max="4361" width="8.7109375" style="6" bestFit="1" customWidth="1"/>
    <col min="4362" max="4362" width="9.140625" style="6"/>
    <col min="4363" max="4363" width="10.140625" style="6" bestFit="1" customWidth="1"/>
    <col min="4364" max="4608" width="9.140625" style="6"/>
    <col min="4609" max="4609" width="30.42578125" style="6" customWidth="1"/>
    <col min="4610" max="4610" width="13.5703125" style="6" customWidth="1"/>
    <col min="4611" max="4611" width="15.140625" style="6" customWidth="1"/>
    <col min="4612" max="4612" width="13.42578125" style="6" customWidth="1"/>
    <col min="4613" max="4613" width="17.140625" style="6" customWidth="1"/>
    <col min="4614" max="4614" width="7.28515625" style="6" customWidth="1"/>
    <col min="4615" max="4615" width="3.28515625" style="6" customWidth="1"/>
    <col min="4616" max="4616" width="7.5703125" style="6" bestFit="1" customWidth="1"/>
    <col min="4617" max="4617" width="8.7109375" style="6" bestFit="1" customWidth="1"/>
    <col min="4618" max="4618" width="9.140625" style="6"/>
    <col min="4619" max="4619" width="10.140625" style="6" bestFit="1" customWidth="1"/>
    <col min="4620" max="4864" width="9.140625" style="6"/>
    <col min="4865" max="4865" width="30.42578125" style="6" customWidth="1"/>
    <col min="4866" max="4866" width="13.5703125" style="6" customWidth="1"/>
    <col min="4867" max="4867" width="15.140625" style="6" customWidth="1"/>
    <col min="4868" max="4868" width="13.42578125" style="6" customWidth="1"/>
    <col min="4869" max="4869" width="17.140625" style="6" customWidth="1"/>
    <col min="4870" max="4870" width="7.28515625" style="6" customWidth="1"/>
    <col min="4871" max="4871" width="3.28515625" style="6" customWidth="1"/>
    <col min="4872" max="4872" width="7.5703125" style="6" bestFit="1" customWidth="1"/>
    <col min="4873" max="4873" width="8.7109375" style="6" bestFit="1" customWidth="1"/>
    <col min="4874" max="4874" width="9.140625" style="6"/>
    <col min="4875" max="4875" width="10.140625" style="6" bestFit="1" customWidth="1"/>
    <col min="4876" max="5120" width="9.140625" style="6"/>
    <col min="5121" max="5121" width="30.42578125" style="6" customWidth="1"/>
    <col min="5122" max="5122" width="13.5703125" style="6" customWidth="1"/>
    <col min="5123" max="5123" width="15.140625" style="6" customWidth="1"/>
    <col min="5124" max="5124" width="13.42578125" style="6" customWidth="1"/>
    <col min="5125" max="5125" width="17.140625" style="6" customWidth="1"/>
    <col min="5126" max="5126" width="7.28515625" style="6" customWidth="1"/>
    <col min="5127" max="5127" width="3.28515625" style="6" customWidth="1"/>
    <col min="5128" max="5128" width="7.5703125" style="6" bestFit="1" customWidth="1"/>
    <col min="5129" max="5129" width="8.7109375" style="6" bestFit="1" customWidth="1"/>
    <col min="5130" max="5130" width="9.140625" style="6"/>
    <col min="5131" max="5131" width="10.140625" style="6" bestFit="1" customWidth="1"/>
    <col min="5132" max="5376" width="9.140625" style="6"/>
    <col min="5377" max="5377" width="30.42578125" style="6" customWidth="1"/>
    <col min="5378" max="5378" width="13.5703125" style="6" customWidth="1"/>
    <col min="5379" max="5379" width="15.140625" style="6" customWidth="1"/>
    <col min="5380" max="5380" width="13.42578125" style="6" customWidth="1"/>
    <col min="5381" max="5381" width="17.140625" style="6" customWidth="1"/>
    <col min="5382" max="5382" width="7.28515625" style="6" customWidth="1"/>
    <col min="5383" max="5383" width="3.28515625" style="6" customWidth="1"/>
    <col min="5384" max="5384" width="7.5703125" style="6" bestFit="1" customWidth="1"/>
    <col min="5385" max="5385" width="8.7109375" style="6" bestFit="1" customWidth="1"/>
    <col min="5386" max="5386" width="9.140625" style="6"/>
    <col min="5387" max="5387" width="10.140625" style="6" bestFit="1" customWidth="1"/>
    <col min="5388" max="5632" width="9.140625" style="6"/>
    <col min="5633" max="5633" width="30.42578125" style="6" customWidth="1"/>
    <col min="5634" max="5634" width="13.5703125" style="6" customWidth="1"/>
    <col min="5635" max="5635" width="15.140625" style="6" customWidth="1"/>
    <col min="5636" max="5636" width="13.42578125" style="6" customWidth="1"/>
    <col min="5637" max="5637" width="17.140625" style="6" customWidth="1"/>
    <col min="5638" max="5638" width="7.28515625" style="6" customWidth="1"/>
    <col min="5639" max="5639" width="3.28515625" style="6" customWidth="1"/>
    <col min="5640" max="5640" width="7.5703125" style="6" bestFit="1" customWidth="1"/>
    <col min="5641" max="5641" width="8.7109375" style="6" bestFit="1" customWidth="1"/>
    <col min="5642" max="5642" width="9.140625" style="6"/>
    <col min="5643" max="5643" width="10.140625" style="6" bestFit="1" customWidth="1"/>
    <col min="5644" max="5888" width="9.140625" style="6"/>
    <col min="5889" max="5889" width="30.42578125" style="6" customWidth="1"/>
    <col min="5890" max="5890" width="13.5703125" style="6" customWidth="1"/>
    <col min="5891" max="5891" width="15.140625" style="6" customWidth="1"/>
    <col min="5892" max="5892" width="13.42578125" style="6" customWidth="1"/>
    <col min="5893" max="5893" width="17.140625" style="6" customWidth="1"/>
    <col min="5894" max="5894" width="7.28515625" style="6" customWidth="1"/>
    <col min="5895" max="5895" width="3.28515625" style="6" customWidth="1"/>
    <col min="5896" max="5896" width="7.5703125" style="6" bestFit="1" customWidth="1"/>
    <col min="5897" max="5897" width="8.7109375" style="6" bestFit="1" customWidth="1"/>
    <col min="5898" max="5898" width="9.140625" style="6"/>
    <col min="5899" max="5899" width="10.140625" style="6" bestFit="1" customWidth="1"/>
    <col min="5900" max="6144" width="9.140625" style="6"/>
    <col min="6145" max="6145" width="30.42578125" style="6" customWidth="1"/>
    <col min="6146" max="6146" width="13.5703125" style="6" customWidth="1"/>
    <col min="6147" max="6147" width="15.140625" style="6" customWidth="1"/>
    <col min="6148" max="6148" width="13.42578125" style="6" customWidth="1"/>
    <col min="6149" max="6149" width="17.140625" style="6" customWidth="1"/>
    <col min="6150" max="6150" width="7.28515625" style="6" customWidth="1"/>
    <col min="6151" max="6151" width="3.28515625" style="6" customWidth="1"/>
    <col min="6152" max="6152" width="7.5703125" style="6" bestFit="1" customWidth="1"/>
    <col min="6153" max="6153" width="8.7109375" style="6" bestFit="1" customWidth="1"/>
    <col min="6154" max="6154" width="9.140625" style="6"/>
    <col min="6155" max="6155" width="10.140625" style="6" bestFit="1" customWidth="1"/>
    <col min="6156" max="6400" width="9.140625" style="6"/>
    <col min="6401" max="6401" width="30.42578125" style="6" customWidth="1"/>
    <col min="6402" max="6402" width="13.5703125" style="6" customWidth="1"/>
    <col min="6403" max="6403" width="15.140625" style="6" customWidth="1"/>
    <col min="6404" max="6404" width="13.42578125" style="6" customWidth="1"/>
    <col min="6405" max="6405" width="17.140625" style="6" customWidth="1"/>
    <col min="6406" max="6406" width="7.28515625" style="6" customWidth="1"/>
    <col min="6407" max="6407" width="3.28515625" style="6" customWidth="1"/>
    <col min="6408" max="6408" width="7.5703125" style="6" bestFit="1" customWidth="1"/>
    <col min="6409" max="6409" width="8.7109375" style="6" bestFit="1" customWidth="1"/>
    <col min="6410" max="6410" width="9.140625" style="6"/>
    <col min="6411" max="6411" width="10.140625" style="6" bestFit="1" customWidth="1"/>
    <col min="6412" max="6656" width="9.140625" style="6"/>
    <col min="6657" max="6657" width="30.42578125" style="6" customWidth="1"/>
    <col min="6658" max="6658" width="13.5703125" style="6" customWidth="1"/>
    <col min="6659" max="6659" width="15.140625" style="6" customWidth="1"/>
    <col min="6660" max="6660" width="13.42578125" style="6" customWidth="1"/>
    <col min="6661" max="6661" width="17.140625" style="6" customWidth="1"/>
    <col min="6662" max="6662" width="7.28515625" style="6" customWidth="1"/>
    <col min="6663" max="6663" width="3.28515625" style="6" customWidth="1"/>
    <col min="6664" max="6664" width="7.5703125" style="6" bestFit="1" customWidth="1"/>
    <col min="6665" max="6665" width="8.7109375" style="6" bestFit="1" customWidth="1"/>
    <col min="6666" max="6666" width="9.140625" style="6"/>
    <col min="6667" max="6667" width="10.140625" style="6" bestFit="1" customWidth="1"/>
    <col min="6668" max="6912" width="9.140625" style="6"/>
    <col min="6913" max="6913" width="30.42578125" style="6" customWidth="1"/>
    <col min="6914" max="6914" width="13.5703125" style="6" customWidth="1"/>
    <col min="6915" max="6915" width="15.140625" style="6" customWidth="1"/>
    <col min="6916" max="6916" width="13.42578125" style="6" customWidth="1"/>
    <col min="6917" max="6917" width="17.140625" style="6" customWidth="1"/>
    <col min="6918" max="6918" width="7.28515625" style="6" customWidth="1"/>
    <col min="6919" max="6919" width="3.28515625" style="6" customWidth="1"/>
    <col min="6920" max="6920" width="7.5703125" style="6" bestFit="1" customWidth="1"/>
    <col min="6921" max="6921" width="8.7109375" style="6" bestFit="1" customWidth="1"/>
    <col min="6922" max="6922" width="9.140625" style="6"/>
    <col min="6923" max="6923" width="10.140625" style="6" bestFit="1" customWidth="1"/>
    <col min="6924" max="7168" width="9.140625" style="6"/>
    <col min="7169" max="7169" width="30.42578125" style="6" customWidth="1"/>
    <col min="7170" max="7170" width="13.5703125" style="6" customWidth="1"/>
    <col min="7171" max="7171" width="15.140625" style="6" customWidth="1"/>
    <col min="7172" max="7172" width="13.42578125" style="6" customWidth="1"/>
    <col min="7173" max="7173" width="17.140625" style="6" customWidth="1"/>
    <col min="7174" max="7174" width="7.28515625" style="6" customWidth="1"/>
    <col min="7175" max="7175" width="3.28515625" style="6" customWidth="1"/>
    <col min="7176" max="7176" width="7.5703125" style="6" bestFit="1" customWidth="1"/>
    <col min="7177" max="7177" width="8.7109375" style="6" bestFit="1" customWidth="1"/>
    <col min="7178" max="7178" width="9.140625" style="6"/>
    <col min="7179" max="7179" width="10.140625" style="6" bestFit="1" customWidth="1"/>
    <col min="7180" max="7424" width="9.140625" style="6"/>
    <col min="7425" max="7425" width="30.42578125" style="6" customWidth="1"/>
    <col min="7426" max="7426" width="13.5703125" style="6" customWidth="1"/>
    <col min="7427" max="7427" width="15.140625" style="6" customWidth="1"/>
    <col min="7428" max="7428" width="13.42578125" style="6" customWidth="1"/>
    <col min="7429" max="7429" width="17.140625" style="6" customWidth="1"/>
    <col min="7430" max="7430" width="7.28515625" style="6" customWidth="1"/>
    <col min="7431" max="7431" width="3.28515625" style="6" customWidth="1"/>
    <col min="7432" max="7432" width="7.5703125" style="6" bestFit="1" customWidth="1"/>
    <col min="7433" max="7433" width="8.7109375" style="6" bestFit="1" customWidth="1"/>
    <col min="7434" max="7434" width="9.140625" style="6"/>
    <col min="7435" max="7435" width="10.140625" style="6" bestFit="1" customWidth="1"/>
    <col min="7436" max="7680" width="9.140625" style="6"/>
    <col min="7681" max="7681" width="30.42578125" style="6" customWidth="1"/>
    <col min="7682" max="7682" width="13.5703125" style="6" customWidth="1"/>
    <col min="7683" max="7683" width="15.140625" style="6" customWidth="1"/>
    <col min="7684" max="7684" width="13.42578125" style="6" customWidth="1"/>
    <col min="7685" max="7685" width="17.140625" style="6" customWidth="1"/>
    <col min="7686" max="7686" width="7.28515625" style="6" customWidth="1"/>
    <col min="7687" max="7687" width="3.28515625" style="6" customWidth="1"/>
    <col min="7688" max="7688" width="7.5703125" style="6" bestFit="1" customWidth="1"/>
    <col min="7689" max="7689" width="8.7109375" style="6" bestFit="1" customWidth="1"/>
    <col min="7690" max="7690" width="9.140625" style="6"/>
    <col min="7691" max="7691" width="10.140625" style="6" bestFit="1" customWidth="1"/>
    <col min="7692" max="7936" width="9.140625" style="6"/>
    <col min="7937" max="7937" width="30.42578125" style="6" customWidth="1"/>
    <col min="7938" max="7938" width="13.5703125" style="6" customWidth="1"/>
    <col min="7939" max="7939" width="15.140625" style="6" customWidth="1"/>
    <col min="7940" max="7940" width="13.42578125" style="6" customWidth="1"/>
    <col min="7941" max="7941" width="17.140625" style="6" customWidth="1"/>
    <col min="7942" max="7942" width="7.28515625" style="6" customWidth="1"/>
    <col min="7943" max="7943" width="3.28515625" style="6" customWidth="1"/>
    <col min="7944" max="7944" width="7.5703125" style="6" bestFit="1" customWidth="1"/>
    <col min="7945" max="7945" width="8.7109375" style="6" bestFit="1" customWidth="1"/>
    <col min="7946" max="7946" width="9.140625" style="6"/>
    <col min="7947" max="7947" width="10.140625" style="6" bestFit="1" customWidth="1"/>
    <col min="7948" max="8192" width="9.140625" style="6"/>
    <col min="8193" max="8193" width="30.42578125" style="6" customWidth="1"/>
    <col min="8194" max="8194" width="13.5703125" style="6" customWidth="1"/>
    <col min="8195" max="8195" width="15.140625" style="6" customWidth="1"/>
    <col min="8196" max="8196" width="13.42578125" style="6" customWidth="1"/>
    <col min="8197" max="8197" width="17.140625" style="6" customWidth="1"/>
    <col min="8198" max="8198" width="7.28515625" style="6" customWidth="1"/>
    <col min="8199" max="8199" width="3.28515625" style="6" customWidth="1"/>
    <col min="8200" max="8200" width="7.5703125" style="6" bestFit="1" customWidth="1"/>
    <col min="8201" max="8201" width="8.7109375" style="6" bestFit="1" customWidth="1"/>
    <col min="8202" max="8202" width="9.140625" style="6"/>
    <col min="8203" max="8203" width="10.140625" style="6" bestFit="1" customWidth="1"/>
    <col min="8204" max="8448" width="9.140625" style="6"/>
    <col min="8449" max="8449" width="30.42578125" style="6" customWidth="1"/>
    <col min="8450" max="8450" width="13.5703125" style="6" customWidth="1"/>
    <col min="8451" max="8451" width="15.140625" style="6" customWidth="1"/>
    <col min="8452" max="8452" width="13.42578125" style="6" customWidth="1"/>
    <col min="8453" max="8453" width="17.140625" style="6" customWidth="1"/>
    <col min="8454" max="8454" width="7.28515625" style="6" customWidth="1"/>
    <col min="8455" max="8455" width="3.28515625" style="6" customWidth="1"/>
    <col min="8456" max="8456" width="7.5703125" style="6" bestFit="1" customWidth="1"/>
    <col min="8457" max="8457" width="8.7109375" style="6" bestFit="1" customWidth="1"/>
    <col min="8458" max="8458" width="9.140625" style="6"/>
    <col min="8459" max="8459" width="10.140625" style="6" bestFit="1" customWidth="1"/>
    <col min="8460" max="8704" width="9.140625" style="6"/>
    <col min="8705" max="8705" width="30.42578125" style="6" customWidth="1"/>
    <col min="8706" max="8706" width="13.5703125" style="6" customWidth="1"/>
    <col min="8707" max="8707" width="15.140625" style="6" customWidth="1"/>
    <col min="8708" max="8708" width="13.42578125" style="6" customWidth="1"/>
    <col min="8709" max="8709" width="17.140625" style="6" customWidth="1"/>
    <col min="8710" max="8710" width="7.28515625" style="6" customWidth="1"/>
    <col min="8711" max="8711" width="3.28515625" style="6" customWidth="1"/>
    <col min="8712" max="8712" width="7.5703125" style="6" bestFit="1" customWidth="1"/>
    <col min="8713" max="8713" width="8.7109375" style="6" bestFit="1" customWidth="1"/>
    <col min="8714" max="8714" width="9.140625" style="6"/>
    <col min="8715" max="8715" width="10.140625" style="6" bestFit="1" customWidth="1"/>
    <col min="8716" max="8960" width="9.140625" style="6"/>
    <col min="8961" max="8961" width="30.42578125" style="6" customWidth="1"/>
    <col min="8962" max="8962" width="13.5703125" style="6" customWidth="1"/>
    <col min="8963" max="8963" width="15.140625" style="6" customWidth="1"/>
    <col min="8964" max="8964" width="13.42578125" style="6" customWidth="1"/>
    <col min="8965" max="8965" width="17.140625" style="6" customWidth="1"/>
    <col min="8966" max="8966" width="7.28515625" style="6" customWidth="1"/>
    <col min="8967" max="8967" width="3.28515625" style="6" customWidth="1"/>
    <col min="8968" max="8968" width="7.5703125" style="6" bestFit="1" customWidth="1"/>
    <col min="8969" max="8969" width="8.7109375" style="6" bestFit="1" customWidth="1"/>
    <col min="8970" max="8970" width="9.140625" style="6"/>
    <col min="8971" max="8971" width="10.140625" style="6" bestFit="1" customWidth="1"/>
    <col min="8972" max="9216" width="9.140625" style="6"/>
    <col min="9217" max="9217" width="30.42578125" style="6" customWidth="1"/>
    <col min="9218" max="9218" width="13.5703125" style="6" customWidth="1"/>
    <col min="9219" max="9219" width="15.140625" style="6" customWidth="1"/>
    <col min="9220" max="9220" width="13.42578125" style="6" customWidth="1"/>
    <col min="9221" max="9221" width="17.140625" style="6" customWidth="1"/>
    <col min="9222" max="9222" width="7.28515625" style="6" customWidth="1"/>
    <col min="9223" max="9223" width="3.28515625" style="6" customWidth="1"/>
    <col min="9224" max="9224" width="7.5703125" style="6" bestFit="1" customWidth="1"/>
    <col min="9225" max="9225" width="8.7109375" style="6" bestFit="1" customWidth="1"/>
    <col min="9226" max="9226" width="9.140625" style="6"/>
    <col min="9227" max="9227" width="10.140625" style="6" bestFit="1" customWidth="1"/>
    <col min="9228" max="9472" width="9.140625" style="6"/>
    <col min="9473" max="9473" width="30.42578125" style="6" customWidth="1"/>
    <col min="9474" max="9474" width="13.5703125" style="6" customWidth="1"/>
    <col min="9475" max="9475" width="15.140625" style="6" customWidth="1"/>
    <col min="9476" max="9476" width="13.42578125" style="6" customWidth="1"/>
    <col min="9477" max="9477" width="17.140625" style="6" customWidth="1"/>
    <col min="9478" max="9478" width="7.28515625" style="6" customWidth="1"/>
    <col min="9479" max="9479" width="3.28515625" style="6" customWidth="1"/>
    <col min="9480" max="9480" width="7.5703125" style="6" bestFit="1" customWidth="1"/>
    <col min="9481" max="9481" width="8.7109375" style="6" bestFit="1" customWidth="1"/>
    <col min="9482" max="9482" width="9.140625" style="6"/>
    <col min="9483" max="9483" width="10.140625" style="6" bestFit="1" customWidth="1"/>
    <col min="9484" max="9728" width="9.140625" style="6"/>
    <col min="9729" max="9729" width="30.42578125" style="6" customWidth="1"/>
    <col min="9730" max="9730" width="13.5703125" style="6" customWidth="1"/>
    <col min="9731" max="9731" width="15.140625" style="6" customWidth="1"/>
    <col min="9732" max="9732" width="13.42578125" style="6" customWidth="1"/>
    <col min="9733" max="9733" width="17.140625" style="6" customWidth="1"/>
    <col min="9734" max="9734" width="7.28515625" style="6" customWidth="1"/>
    <col min="9735" max="9735" width="3.28515625" style="6" customWidth="1"/>
    <col min="9736" max="9736" width="7.5703125" style="6" bestFit="1" customWidth="1"/>
    <col min="9737" max="9737" width="8.7109375" style="6" bestFit="1" customWidth="1"/>
    <col min="9738" max="9738" width="9.140625" style="6"/>
    <col min="9739" max="9739" width="10.140625" style="6" bestFit="1" customWidth="1"/>
    <col min="9740" max="9984" width="9.140625" style="6"/>
    <col min="9985" max="9985" width="30.42578125" style="6" customWidth="1"/>
    <col min="9986" max="9986" width="13.5703125" style="6" customWidth="1"/>
    <col min="9987" max="9987" width="15.140625" style="6" customWidth="1"/>
    <col min="9988" max="9988" width="13.42578125" style="6" customWidth="1"/>
    <col min="9989" max="9989" width="17.140625" style="6" customWidth="1"/>
    <col min="9990" max="9990" width="7.28515625" style="6" customWidth="1"/>
    <col min="9991" max="9991" width="3.28515625" style="6" customWidth="1"/>
    <col min="9992" max="9992" width="7.5703125" style="6" bestFit="1" customWidth="1"/>
    <col min="9993" max="9993" width="8.7109375" style="6" bestFit="1" customWidth="1"/>
    <col min="9994" max="9994" width="9.140625" style="6"/>
    <col min="9995" max="9995" width="10.140625" style="6" bestFit="1" customWidth="1"/>
    <col min="9996" max="10240" width="9.140625" style="6"/>
    <col min="10241" max="10241" width="30.42578125" style="6" customWidth="1"/>
    <col min="10242" max="10242" width="13.5703125" style="6" customWidth="1"/>
    <col min="10243" max="10243" width="15.140625" style="6" customWidth="1"/>
    <col min="10244" max="10244" width="13.42578125" style="6" customWidth="1"/>
    <col min="10245" max="10245" width="17.140625" style="6" customWidth="1"/>
    <col min="10246" max="10246" width="7.28515625" style="6" customWidth="1"/>
    <col min="10247" max="10247" width="3.28515625" style="6" customWidth="1"/>
    <col min="10248" max="10248" width="7.5703125" style="6" bestFit="1" customWidth="1"/>
    <col min="10249" max="10249" width="8.7109375" style="6" bestFit="1" customWidth="1"/>
    <col min="10250" max="10250" width="9.140625" style="6"/>
    <col min="10251" max="10251" width="10.140625" style="6" bestFit="1" customWidth="1"/>
    <col min="10252" max="10496" width="9.140625" style="6"/>
    <col min="10497" max="10497" width="30.42578125" style="6" customWidth="1"/>
    <col min="10498" max="10498" width="13.5703125" style="6" customWidth="1"/>
    <col min="10499" max="10499" width="15.140625" style="6" customWidth="1"/>
    <col min="10500" max="10500" width="13.42578125" style="6" customWidth="1"/>
    <col min="10501" max="10501" width="17.140625" style="6" customWidth="1"/>
    <col min="10502" max="10502" width="7.28515625" style="6" customWidth="1"/>
    <col min="10503" max="10503" width="3.28515625" style="6" customWidth="1"/>
    <col min="10504" max="10504" width="7.5703125" style="6" bestFit="1" customWidth="1"/>
    <col min="10505" max="10505" width="8.7109375" style="6" bestFit="1" customWidth="1"/>
    <col min="10506" max="10506" width="9.140625" style="6"/>
    <col min="10507" max="10507" width="10.140625" style="6" bestFit="1" customWidth="1"/>
    <col min="10508" max="10752" width="9.140625" style="6"/>
    <col min="10753" max="10753" width="30.42578125" style="6" customWidth="1"/>
    <col min="10754" max="10754" width="13.5703125" style="6" customWidth="1"/>
    <col min="10755" max="10755" width="15.140625" style="6" customWidth="1"/>
    <col min="10756" max="10756" width="13.42578125" style="6" customWidth="1"/>
    <col min="10757" max="10757" width="17.140625" style="6" customWidth="1"/>
    <col min="10758" max="10758" width="7.28515625" style="6" customWidth="1"/>
    <col min="10759" max="10759" width="3.28515625" style="6" customWidth="1"/>
    <col min="10760" max="10760" width="7.5703125" style="6" bestFit="1" customWidth="1"/>
    <col min="10761" max="10761" width="8.7109375" style="6" bestFit="1" customWidth="1"/>
    <col min="10762" max="10762" width="9.140625" style="6"/>
    <col min="10763" max="10763" width="10.140625" style="6" bestFit="1" customWidth="1"/>
    <col min="10764" max="11008" width="9.140625" style="6"/>
    <col min="11009" max="11009" width="30.42578125" style="6" customWidth="1"/>
    <col min="11010" max="11010" width="13.5703125" style="6" customWidth="1"/>
    <col min="11011" max="11011" width="15.140625" style="6" customWidth="1"/>
    <col min="11012" max="11012" width="13.42578125" style="6" customWidth="1"/>
    <col min="11013" max="11013" width="17.140625" style="6" customWidth="1"/>
    <col min="11014" max="11014" width="7.28515625" style="6" customWidth="1"/>
    <col min="11015" max="11015" width="3.28515625" style="6" customWidth="1"/>
    <col min="11016" max="11016" width="7.5703125" style="6" bestFit="1" customWidth="1"/>
    <col min="11017" max="11017" width="8.7109375" style="6" bestFit="1" customWidth="1"/>
    <col min="11018" max="11018" width="9.140625" style="6"/>
    <col min="11019" max="11019" width="10.140625" style="6" bestFit="1" customWidth="1"/>
    <col min="11020" max="11264" width="9.140625" style="6"/>
    <col min="11265" max="11265" width="30.42578125" style="6" customWidth="1"/>
    <col min="11266" max="11266" width="13.5703125" style="6" customWidth="1"/>
    <col min="11267" max="11267" width="15.140625" style="6" customWidth="1"/>
    <col min="11268" max="11268" width="13.42578125" style="6" customWidth="1"/>
    <col min="11269" max="11269" width="17.140625" style="6" customWidth="1"/>
    <col min="11270" max="11270" width="7.28515625" style="6" customWidth="1"/>
    <col min="11271" max="11271" width="3.28515625" style="6" customWidth="1"/>
    <col min="11272" max="11272" width="7.5703125" style="6" bestFit="1" customWidth="1"/>
    <col min="11273" max="11273" width="8.7109375" style="6" bestFit="1" customWidth="1"/>
    <col min="11274" max="11274" width="9.140625" style="6"/>
    <col min="11275" max="11275" width="10.140625" style="6" bestFit="1" customWidth="1"/>
    <col min="11276" max="11520" width="9.140625" style="6"/>
    <col min="11521" max="11521" width="30.42578125" style="6" customWidth="1"/>
    <col min="11522" max="11522" width="13.5703125" style="6" customWidth="1"/>
    <col min="11523" max="11523" width="15.140625" style="6" customWidth="1"/>
    <col min="11524" max="11524" width="13.42578125" style="6" customWidth="1"/>
    <col min="11525" max="11525" width="17.140625" style="6" customWidth="1"/>
    <col min="11526" max="11526" width="7.28515625" style="6" customWidth="1"/>
    <col min="11527" max="11527" width="3.28515625" style="6" customWidth="1"/>
    <col min="11528" max="11528" width="7.5703125" style="6" bestFit="1" customWidth="1"/>
    <col min="11529" max="11529" width="8.7109375" style="6" bestFit="1" customWidth="1"/>
    <col min="11530" max="11530" width="9.140625" style="6"/>
    <col min="11531" max="11531" width="10.140625" style="6" bestFit="1" customWidth="1"/>
    <col min="11532" max="11776" width="9.140625" style="6"/>
    <col min="11777" max="11777" width="30.42578125" style="6" customWidth="1"/>
    <col min="11778" max="11778" width="13.5703125" style="6" customWidth="1"/>
    <col min="11779" max="11779" width="15.140625" style="6" customWidth="1"/>
    <col min="11780" max="11780" width="13.42578125" style="6" customWidth="1"/>
    <col min="11781" max="11781" width="17.140625" style="6" customWidth="1"/>
    <col min="11782" max="11782" width="7.28515625" style="6" customWidth="1"/>
    <col min="11783" max="11783" width="3.28515625" style="6" customWidth="1"/>
    <col min="11784" max="11784" width="7.5703125" style="6" bestFit="1" customWidth="1"/>
    <col min="11785" max="11785" width="8.7109375" style="6" bestFit="1" customWidth="1"/>
    <col min="11786" max="11786" width="9.140625" style="6"/>
    <col min="11787" max="11787" width="10.140625" style="6" bestFit="1" customWidth="1"/>
    <col min="11788" max="12032" width="9.140625" style="6"/>
    <col min="12033" max="12033" width="30.42578125" style="6" customWidth="1"/>
    <col min="12034" max="12034" width="13.5703125" style="6" customWidth="1"/>
    <col min="12035" max="12035" width="15.140625" style="6" customWidth="1"/>
    <col min="12036" max="12036" width="13.42578125" style="6" customWidth="1"/>
    <col min="12037" max="12037" width="17.140625" style="6" customWidth="1"/>
    <col min="12038" max="12038" width="7.28515625" style="6" customWidth="1"/>
    <col min="12039" max="12039" width="3.28515625" style="6" customWidth="1"/>
    <col min="12040" max="12040" width="7.5703125" style="6" bestFit="1" customWidth="1"/>
    <col min="12041" max="12041" width="8.7109375" style="6" bestFit="1" customWidth="1"/>
    <col min="12042" max="12042" width="9.140625" style="6"/>
    <col min="12043" max="12043" width="10.140625" style="6" bestFit="1" customWidth="1"/>
    <col min="12044" max="12288" width="9.140625" style="6"/>
    <col min="12289" max="12289" width="30.42578125" style="6" customWidth="1"/>
    <col min="12290" max="12290" width="13.5703125" style="6" customWidth="1"/>
    <col min="12291" max="12291" width="15.140625" style="6" customWidth="1"/>
    <col min="12292" max="12292" width="13.42578125" style="6" customWidth="1"/>
    <col min="12293" max="12293" width="17.140625" style="6" customWidth="1"/>
    <col min="12294" max="12294" width="7.28515625" style="6" customWidth="1"/>
    <col min="12295" max="12295" width="3.28515625" style="6" customWidth="1"/>
    <col min="12296" max="12296" width="7.5703125" style="6" bestFit="1" customWidth="1"/>
    <col min="12297" max="12297" width="8.7109375" style="6" bestFit="1" customWidth="1"/>
    <col min="12298" max="12298" width="9.140625" style="6"/>
    <col min="12299" max="12299" width="10.140625" style="6" bestFit="1" customWidth="1"/>
    <col min="12300" max="12544" width="9.140625" style="6"/>
    <col min="12545" max="12545" width="30.42578125" style="6" customWidth="1"/>
    <col min="12546" max="12546" width="13.5703125" style="6" customWidth="1"/>
    <col min="12547" max="12547" width="15.140625" style="6" customWidth="1"/>
    <col min="12548" max="12548" width="13.42578125" style="6" customWidth="1"/>
    <col min="12549" max="12549" width="17.140625" style="6" customWidth="1"/>
    <col min="12550" max="12550" width="7.28515625" style="6" customWidth="1"/>
    <col min="12551" max="12551" width="3.28515625" style="6" customWidth="1"/>
    <col min="12552" max="12552" width="7.5703125" style="6" bestFit="1" customWidth="1"/>
    <col min="12553" max="12553" width="8.7109375" style="6" bestFit="1" customWidth="1"/>
    <col min="12554" max="12554" width="9.140625" style="6"/>
    <col min="12555" max="12555" width="10.140625" style="6" bestFit="1" customWidth="1"/>
    <col min="12556" max="12800" width="9.140625" style="6"/>
    <col min="12801" max="12801" width="30.42578125" style="6" customWidth="1"/>
    <col min="12802" max="12802" width="13.5703125" style="6" customWidth="1"/>
    <col min="12803" max="12803" width="15.140625" style="6" customWidth="1"/>
    <col min="12804" max="12804" width="13.42578125" style="6" customWidth="1"/>
    <col min="12805" max="12805" width="17.140625" style="6" customWidth="1"/>
    <col min="12806" max="12806" width="7.28515625" style="6" customWidth="1"/>
    <col min="12807" max="12807" width="3.28515625" style="6" customWidth="1"/>
    <col min="12808" max="12808" width="7.5703125" style="6" bestFit="1" customWidth="1"/>
    <col min="12809" max="12809" width="8.7109375" style="6" bestFit="1" customWidth="1"/>
    <col min="12810" max="12810" width="9.140625" style="6"/>
    <col min="12811" max="12811" width="10.140625" style="6" bestFit="1" customWidth="1"/>
    <col min="12812" max="13056" width="9.140625" style="6"/>
    <col min="13057" max="13057" width="30.42578125" style="6" customWidth="1"/>
    <col min="13058" max="13058" width="13.5703125" style="6" customWidth="1"/>
    <col min="13059" max="13059" width="15.140625" style="6" customWidth="1"/>
    <col min="13060" max="13060" width="13.42578125" style="6" customWidth="1"/>
    <col min="13061" max="13061" width="17.140625" style="6" customWidth="1"/>
    <col min="13062" max="13062" width="7.28515625" style="6" customWidth="1"/>
    <col min="13063" max="13063" width="3.28515625" style="6" customWidth="1"/>
    <col min="13064" max="13064" width="7.5703125" style="6" bestFit="1" customWidth="1"/>
    <col min="13065" max="13065" width="8.7109375" style="6" bestFit="1" customWidth="1"/>
    <col min="13066" max="13066" width="9.140625" style="6"/>
    <col min="13067" max="13067" width="10.140625" style="6" bestFit="1" customWidth="1"/>
    <col min="13068" max="13312" width="9.140625" style="6"/>
    <col min="13313" max="13313" width="30.42578125" style="6" customWidth="1"/>
    <col min="13314" max="13314" width="13.5703125" style="6" customWidth="1"/>
    <col min="13315" max="13315" width="15.140625" style="6" customWidth="1"/>
    <col min="13316" max="13316" width="13.42578125" style="6" customWidth="1"/>
    <col min="13317" max="13317" width="17.140625" style="6" customWidth="1"/>
    <col min="13318" max="13318" width="7.28515625" style="6" customWidth="1"/>
    <col min="13319" max="13319" width="3.28515625" style="6" customWidth="1"/>
    <col min="13320" max="13320" width="7.5703125" style="6" bestFit="1" customWidth="1"/>
    <col min="13321" max="13321" width="8.7109375" style="6" bestFit="1" customWidth="1"/>
    <col min="13322" max="13322" width="9.140625" style="6"/>
    <col min="13323" max="13323" width="10.140625" style="6" bestFit="1" customWidth="1"/>
    <col min="13324" max="13568" width="9.140625" style="6"/>
    <col min="13569" max="13569" width="30.42578125" style="6" customWidth="1"/>
    <col min="13570" max="13570" width="13.5703125" style="6" customWidth="1"/>
    <col min="13571" max="13571" width="15.140625" style="6" customWidth="1"/>
    <col min="13572" max="13572" width="13.42578125" style="6" customWidth="1"/>
    <col min="13573" max="13573" width="17.140625" style="6" customWidth="1"/>
    <col min="13574" max="13574" width="7.28515625" style="6" customWidth="1"/>
    <col min="13575" max="13575" width="3.28515625" style="6" customWidth="1"/>
    <col min="13576" max="13576" width="7.5703125" style="6" bestFit="1" customWidth="1"/>
    <col min="13577" max="13577" width="8.7109375" style="6" bestFit="1" customWidth="1"/>
    <col min="13578" max="13578" width="9.140625" style="6"/>
    <col min="13579" max="13579" width="10.140625" style="6" bestFit="1" customWidth="1"/>
    <col min="13580" max="13824" width="9.140625" style="6"/>
    <col min="13825" max="13825" width="30.42578125" style="6" customWidth="1"/>
    <col min="13826" max="13826" width="13.5703125" style="6" customWidth="1"/>
    <col min="13827" max="13827" width="15.140625" style="6" customWidth="1"/>
    <col min="13828" max="13828" width="13.42578125" style="6" customWidth="1"/>
    <col min="13829" max="13829" width="17.140625" style="6" customWidth="1"/>
    <col min="13830" max="13830" width="7.28515625" style="6" customWidth="1"/>
    <col min="13831" max="13831" width="3.28515625" style="6" customWidth="1"/>
    <col min="13832" max="13832" width="7.5703125" style="6" bestFit="1" customWidth="1"/>
    <col min="13833" max="13833" width="8.7109375" style="6" bestFit="1" customWidth="1"/>
    <col min="13834" max="13834" width="9.140625" style="6"/>
    <col min="13835" max="13835" width="10.140625" style="6" bestFit="1" customWidth="1"/>
    <col min="13836" max="14080" width="9.140625" style="6"/>
    <col min="14081" max="14081" width="30.42578125" style="6" customWidth="1"/>
    <col min="14082" max="14082" width="13.5703125" style="6" customWidth="1"/>
    <col min="14083" max="14083" width="15.140625" style="6" customWidth="1"/>
    <col min="14084" max="14084" width="13.42578125" style="6" customWidth="1"/>
    <col min="14085" max="14085" width="17.140625" style="6" customWidth="1"/>
    <col min="14086" max="14086" width="7.28515625" style="6" customWidth="1"/>
    <col min="14087" max="14087" width="3.28515625" style="6" customWidth="1"/>
    <col min="14088" max="14088" width="7.5703125" style="6" bestFit="1" customWidth="1"/>
    <col min="14089" max="14089" width="8.7109375" style="6" bestFit="1" customWidth="1"/>
    <col min="14090" max="14090" width="9.140625" style="6"/>
    <col min="14091" max="14091" width="10.140625" style="6" bestFit="1" customWidth="1"/>
    <col min="14092" max="14336" width="9.140625" style="6"/>
    <col min="14337" max="14337" width="30.42578125" style="6" customWidth="1"/>
    <col min="14338" max="14338" width="13.5703125" style="6" customWidth="1"/>
    <col min="14339" max="14339" width="15.140625" style="6" customWidth="1"/>
    <col min="14340" max="14340" width="13.42578125" style="6" customWidth="1"/>
    <col min="14341" max="14341" width="17.140625" style="6" customWidth="1"/>
    <col min="14342" max="14342" width="7.28515625" style="6" customWidth="1"/>
    <col min="14343" max="14343" width="3.28515625" style="6" customWidth="1"/>
    <col min="14344" max="14344" width="7.5703125" style="6" bestFit="1" customWidth="1"/>
    <col min="14345" max="14345" width="8.7109375" style="6" bestFit="1" customWidth="1"/>
    <col min="14346" max="14346" width="9.140625" style="6"/>
    <col min="14347" max="14347" width="10.140625" style="6" bestFit="1" customWidth="1"/>
    <col min="14348" max="14592" width="9.140625" style="6"/>
    <col min="14593" max="14593" width="30.42578125" style="6" customWidth="1"/>
    <col min="14594" max="14594" width="13.5703125" style="6" customWidth="1"/>
    <col min="14595" max="14595" width="15.140625" style="6" customWidth="1"/>
    <col min="14596" max="14596" width="13.42578125" style="6" customWidth="1"/>
    <col min="14597" max="14597" width="17.140625" style="6" customWidth="1"/>
    <col min="14598" max="14598" width="7.28515625" style="6" customWidth="1"/>
    <col min="14599" max="14599" width="3.28515625" style="6" customWidth="1"/>
    <col min="14600" max="14600" width="7.5703125" style="6" bestFit="1" customWidth="1"/>
    <col min="14601" max="14601" width="8.7109375" style="6" bestFit="1" customWidth="1"/>
    <col min="14602" max="14602" width="9.140625" style="6"/>
    <col min="14603" max="14603" width="10.140625" style="6" bestFit="1" customWidth="1"/>
    <col min="14604" max="14848" width="9.140625" style="6"/>
    <col min="14849" max="14849" width="30.42578125" style="6" customWidth="1"/>
    <col min="14850" max="14850" width="13.5703125" style="6" customWidth="1"/>
    <col min="14851" max="14851" width="15.140625" style="6" customWidth="1"/>
    <col min="14852" max="14852" width="13.42578125" style="6" customWidth="1"/>
    <col min="14853" max="14853" width="17.140625" style="6" customWidth="1"/>
    <col min="14854" max="14854" width="7.28515625" style="6" customWidth="1"/>
    <col min="14855" max="14855" width="3.28515625" style="6" customWidth="1"/>
    <col min="14856" max="14856" width="7.5703125" style="6" bestFit="1" customWidth="1"/>
    <col min="14857" max="14857" width="8.7109375" style="6" bestFit="1" customWidth="1"/>
    <col min="14858" max="14858" width="9.140625" style="6"/>
    <col min="14859" max="14859" width="10.140625" style="6" bestFit="1" customWidth="1"/>
    <col min="14860" max="15104" width="9.140625" style="6"/>
    <col min="15105" max="15105" width="30.42578125" style="6" customWidth="1"/>
    <col min="15106" max="15106" width="13.5703125" style="6" customWidth="1"/>
    <col min="15107" max="15107" width="15.140625" style="6" customWidth="1"/>
    <col min="15108" max="15108" width="13.42578125" style="6" customWidth="1"/>
    <col min="15109" max="15109" width="17.140625" style="6" customWidth="1"/>
    <col min="15110" max="15110" width="7.28515625" style="6" customWidth="1"/>
    <col min="15111" max="15111" width="3.28515625" style="6" customWidth="1"/>
    <col min="15112" max="15112" width="7.5703125" style="6" bestFit="1" customWidth="1"/>
    <col min="15113" max="15113" width="8.7109375" style="6" bestFit="1" customWidth="1"/>
    <col min="15114" max="15114" width="9.140625" style="6"/>
    <col min="15115" max="15115" width="10.140625" style="6" bestFit="1" customWidth="1"/>
    <col min="15116" max="15360" width="9.140625" style="6"/>
    <col min="15361" max="15361" width="30.42578125" style="6" customWidth="1"/>
    <col min="15362" max="15362" width="13.5703125" style="6" customWidth="1"/>
    <col min="15363" max="15363" width="15.140625" style="6" customWidth="1"/>
    <col min="15364" max="15364" width="13.42578125" style="6" customWidth="1"/>
    <col min="15365" max="15365" width="17.140625" style="6" customWidth="1"/>
    <col min="15366" max="15366" width="7.28515625" style="6" customWidth="1"/>
    <col min="15367" max="15367" width="3.28515625" style="6" customWidth="1"/>
    <col min="15368" max="15368" width="7.5703125" style="6" bestFit="1" customWidth="1"/>
    <col min="15369" max="15369" width="8.7109375" style="6" bestFit="1" customWidth="1"/>
    <col min="15370" max="15370" width="9.140625" style="6"/>
    <col min="15371" max="15371" width="10.140625" style="6" bestFit="1" customWidth="1"/>
    <col min="15372" max="15616" width="9.140625" style="6"/>
    <col min="15617" max="15617" width="30.42578125" style="6" customWidth="1"/>
    <col min="15618" max="15618" width="13.5703125" style="6" customWidth="1"/>
    <col min="15619" max="15619" width="15.140625" style="6" customWidth="1"/>
    <col min="15620" max="15620" width="13.42578125" style="6" customWidth="1"/>
    <col min="15621" max="15621" width="17.140625" style="6" customWidth="1"/>
    <col min="15622" max="15622" width="7.28515625" style="6" customWidth="1"/>
    <col min="15623" max="15623" width="3.28515625" style="6" customWidth="1"/>
    <col min="15624" max="15624" width="7.5703125" style="6" bestFit="1" customWidth="1"/>
    <col min="15625" max="15625" width="8.7109375" style="6" bestFit="1" customWidth="1"/>
    <col min="15626" max="15626" width="9.140625" style="6"/>
    <col min="15627" max="15627" width="10.140625" style="6" bestFit="1" customWidth="1"/>
    <col min="15628" max="15872" width="9.140625" style="6"/>
    <col min="15873" max="15873" width="30.42578125" style="6" customWidth="1"/>
    <col min="15874" max="15874" width="13.5703125" style="6" customWidth="1"/>
    <col min="15875" max="15875" width="15.140625" style="6" customWidth="1"/>
    <col min="15876" max="15876" width="13.42578125" style="6" customWidth="1"/>
    <col min="15877" max="15877" width="17.140625" style="6" customWidth="1"/>
    <col min="15878" max="15878" width="7.28515625" style="6" customWidth="1"/>
    <col min="15879" max="15879" width="3.28515625" style="6" customWidth="1"/>
    <col min="15880" max="15880" width="7.5703125" style="6" bestFit="1" customWidth="1"/>
    <col min="15881" max="15881" width="8.7109375" style="6" bestFit="1" customWidth="1"/>
    <col min="15882" max="15882" width="9.140625" style="6"/>
    <col min="15883" max="15883" width="10.140625" style="6" bestFit="1" customWidth="1"/>
    <col min="15884" max="16128" width="9.140625" style="6"/>
    <col min="16129" max="16129" width="30.42578125" style="6" customWidth="1"/>
    <col min="16130" max="16130" width="13.5703125" style="6" customWidth="1"/>
    <col min="16131" max="16131" width="15.140625" style="6" customWidth="1"/>
    <col min="16132" max="16132" width="13.42578125" style="6" customWidth="1"/>
    <col min="16133" max="16133" width="17.140625" style="6" customWidth="1"/>
    <col min="16134" max="16134" width="7.28515625" style="6" customWidth="1"/>
    <col min="16135" max="16135" width="3.28515625" style="6" customWidth="1"/>
    <col min="16136" max="16136" width="7.5703125" style="6" bestFit="1" customWidth="1"/>
    <col min="16137" max="16137" width="8.7109375" style="6" bestFit="1" customWidth="1"/>
    <col min="16138" max="16138" width="9.140625" style="6"/>
    <col min="16139" max="16139" width="10.140625" style="6" bestFit="1" customWidth="1"/>
    <col min="16140" max="16384" width="9.140625" style="6"/>
  </cols>
  <sheetData>
    <row r="1" spans="1:6" ht="33.75">
      <c r="A1" s="63" t="s">
        <v>185</v>
      </c>
    </row>
    <row r="2" spans="1:6" ht="15.75">
      <c r="A2" s="96" t="str">
        <f xml:space="preserve"> "Psychological Therapies Waiting Times - Referrals by Health Board, "&amp;TEXT(B4,"mmmm yyyy")</f>
        <v>Psychological Therapies Waiting Times - Referrals by Health Board, March 2020</v>
      </c>
      <c r="B2" s="97"/>
      <c r="C2" s="97"/>
      <c r="D2" s="97"/>
      <c r="E2" s="97"/>
      <c r="F2" s="97"/>
    </row>
    <row r="3" spans="1:6" ht="16.5" thickBot="1">
      <c r="A3" s="96"/>
      <c r="B3" s="97"/>
      <c r="C3" s="97"/>
      <c r="D3" s="97"/>
      <c r="E3" s="97"/>
      <c r="F3" s="97"/>
    </row>
    <row r="4" spans="1:6" ht="15.75" thickBot="1">
      <c r="A4" s="9" t="s">
        <v>297</v>
      </c>
      <c r="B4" s="430">
        <v>43891</v>
      </c>
      <c r="C4" s="431"/>
      <c r="E4" s="9"/>
      <c r="F4" s="9"/>
    </row>
    <row r="5" spans="1:6">
      <c r="A5" s="9"/>
      <c r="B5" s="37"/>
      <c r="C5" s="37"/>
      <c r="E5" s="9"/>
      <c r="F5" s="9"/>
    </row>
    <row r="6" spans="1:6">
      <c r="A6" s="97"/>
      <c r="B6" s="97"/>
      <c r="C6" s="97"/>
      <c r="D6" s="97"/>
      <c r="E6" s="97"/>
      <c r="F6" s="97"/>
    </row>
    <row r="19" spans="1:28">
      <c r="D19" s="98"/>
    </row>
    <row r="25" spans="1:28">
      <c r="A25" s="97"/>
      <c r="B25" s="97"/>
      <c r="C25" s="97"/>
      <c r="D25" s="97"/>
      <c r="E25" s="97"/>
      <c r="F25" s="97"/>
    </row>
    <row r="26" spans="1:28">
      <c r="A26" s="61" t="s">
        <v>180</v>
      </c>
      <c r="B26" s="432" t="s">
        <v>348</v>
      </c>
      <c r="C26" s="433"/>
      <c r="F26" s="97"/>
    </row>
    <row r="27" spans="1:28">
      <c r="A27" s="97"/>
      <c r="B27" s="97"/>
      <c r="C27" s="97"/>
      <c r="D27" s="97"/>
      <c r="E27" s="97"/>
      <c r="F27" s="97"/>
    </row>
    <row r="28" spans="1:28">
      <c r="A28" s="31"/>
    </row>
    <row r="29" spans="1:28">
      <c r="A29" s="9"/>
      <c r="B29" s="37"/>
      <c r="C29" s="37"/>
      <c r="E29" s="9"/>
      <c r="F29" s="9"/>
    </row>
    <row r="30" spans="1:28" ht="15.75">
      <c r="A30" s="67"/>
      <c r="B30" s="99" t="s">
        <v>183</v>
      </c>
      <c r="C30" s="100" t="s">
        <v>316</v>
      </c>
      <c r="D30" s="9"/>
      <c r="E30" s="92" t="s">
        <v>29</v>
      </c>
      <c r="F30" s="34"/>
      <c r="G30" s="101"/>
    </row>
    <row r="31" spans="1:28">
      <c r="A31" s="434" t="s">
        <v>180</v>
      </c>
      <c r="B31" s="436" t="s">
        <v>348</v>
      </c>
      <c r="C31" s="436"/>
      <c r="D31" s="437" t="s">
        <v>349</v>
      </c>
      <c r="E31" s="437"/>
      <c r="I31" s="113"/>
    </row>
    <row r="32" spans="1:28" ht="38.25">
      <c r="A32" s="435"/>
      <c r="B32" s="109" t="s">
        <v>316</v>
      </c>
      <c r="C32" s="103" t="s">
        <v>350</v>
      </c>
      <c r="D32" s="102" t="s">
        <v>316</v>
      </c>
      <c r="E32" s="102" t="s">
        <v>350</v>
      </c>
      <c r="J32" s="113"/>
      <c r="K32" s="113"/>
      <c r="L32" s="113"/>
      <c r="M32" s="113"/>
      <c r="N32" s="113"/>
      <c r="O32" s="113"/>
      <c r="P32" s="113"/>
      <c r="Q32" s="113"/>
      <c r="R32" s="113"/>
      <c r="S32" s="113"/>
      <c r="T32" s="113"/>
      <c r="U32" s="113"/>
      <c r="V32" s="113"/>
      <c r="W32" s="113"/>
      <c r="X32" s="113"/>
      <c r="Y32" s="113"/>
      <c r="Z32" s="113"/>
      <c r="AA32" s="113"/>
      <c r="AB32" s="113"/>
    </row>
    <row r="33" spans="1:28">
      <c r="A33" s="104" t="s">
        <v>28</v>
      </c>
      <c r="B33" s="110" t="e">
        <f>VLOOKUP($A33&amp;"Unadjusted seen over_65referrals received", REPORT_raw_dataseen!$A$1:$R$769, MATCH($B$4,REPORT_raw_dataseen!$A$1:$R$1,0),FALSE)</f>
        <v>#N/A</v>
      </c>
      <c r="C33" s="147" t="str">
        <f>IF(ISERROR(B33*1000/(VLOOKUP($A33,$I$33:$U$49,MATCH($B$4,$I$33:$U$33,0)))),"..",(B33*1000/(VLOOKUP($A33,$I$33:$U$49,MATCH($B$4,$I$33:$U$33,0)))))</f>
        <v>..</v>
      </c>
      <c r="D33" s="95" t="e">
        <f>VLOOKUP($A33&amp;"Unadjusted seen over_65referrals accepted", REPORT_raw_dataseen!$A$1:$R$769, MATCH($B$4,REPORT_raw_dataseen!$A$1:$R$1,0),FALSE)</f>
        <v>#N/A</v>
      </c>
      <c r="E33" s="126" t="str">
        <f>IF(ISERROR(D33*1000/(VLOOKUP($A33,$I$33:$U$49,MATCH($B$4,$I$33:$U$33,0)))),"..",(D33*1000/(VLOOKUP($A33,$I$33:$U$49,MATCH($B$4,$I$33:$U$33,0)))))</f>
        <v>..</v>
      </c>
      <c r="F33" s="113"/>
      <c r="G33" s="113"/>
      <c r="H33" s="113"/>
      <c r="I33" s="112"/>
      <c r="J33" s="118">
        <f t="shared" ref="J33:T33" si="0">DATE(YEAR(K33),MONTH(K33)-1,DAY(K33))</f>
        <v>44013</v>
      </c>
      <c r="K33" s="118">
        <f t="shared" si="0"/>
        <v>44044</v>
      </c>
      <c r="L33" s="118">
        <f t="shared" si="0"/>
        <v>44075</v>
      </c>
      <c r="M33" s="118">
        <f t="shared" si="0"/>
        <v>44105</v>
      </c>
      <c r="N33" s="118">
        <f t="shared" si="0"/>
        <v>44136</v>
      </c>
      <c r="O33" s="118">
        <f t="shared" si="0"/>
        <v>44166</v>
      </c>
      <c r="P33" s="118">
        <f t="shared" si="0"/>
        <v>44197</v>
      </c>
      <c r="Q33" s="118">
        <f t="shared" si="0"/>
        <v>44228</v>
      </c>
      <c r="R33" s="118">
        <f t="shared" si="0"/>
        <v>44256</v>
      </c>
      <c r="S33" s="118">
        <f t="shared" si="0"/>
        <v>44287</v>
      </c>
      <c r="T33" s="118">
        <f t="shared" si="0"/>
        <v>44317</v>
      </c>
      <c r="U33" s="118">
        <f>+REPORT_raw_dataseen!R1</f>
        <v>44348</v>
      </c>
      <c r="V33" s="117"/>
      <c r="W33" s="117"/>
      <c r="X33" s="117"/>
      <c r="Y33" s="119"/>
      <c r="Z33" s="119"/>
      <c r="AA33" s="119"/>
      <c r="AB33" s="113"/>
    </row>
    <row r="34" spans="1:28">
      <c r="A34" s="105" t="s">
        <v>136</v>
      </c>
      <c r="B34" s="74" t="e">
        <f>VLOOKUP($A34&amp;"Unadjusted seen over_65referrals received", REPORT_raw_dataseen!$A$1:$R$769, MATCH($B$4,REPORT_raw_dataseen!$A$1:$R$1,0),FALSE)</f>
        <v>#N/A</v>
      </c>
      <c r="C34" s="147" t="str">
        <f t="shared" ref="C34:C48" si="1">IF(ISERROR(B34*1000/(VLOOKUP($A34,$I$33:$U$49,MATCH($B$4,$I$33:$U$33,0)))),"..",(B34*1000/(VLOOKUP($A34,$I$33:$U$49,MATCH($B$4,$I$33:$U$33,0)))))</f>
        <v>..</v>
      </c>
      <c r="D34" s="95" t="e">
        <f>VLOOKUP($A34&amp;"Unadjusted seen over_65referrals accepted", REPORT_raw_dataseen!$A$1:$R$769, MATCH($B$4,REPORT_raw_dataseen!$A$1:$R$1,0),FALSE)</f>
        <v>#N/A</v>
      </c>
      <c r="E34" s="126" t="str">
        <f t="shared" ref="E34:E48" si="2">IF(ISERROR(D34*1000/(VLOOKUP($A34,$I$33:$U$49,MATCH($B$4,$I$33:$U$33,0)))),"..",(D34*1000/(VLOOKUP($A34,$I$33:$U$49,MATCH($B$4,$I$33:$U$33,0)))))</f>
        <v>..</v>
      </c>
      <c r="F34" s="113"/>
      <c r="G34" s="113"/>
      <c r="H34" s="113"/>
      <c r="I34" s="112" t="s">
        <v>136</v>
      </c>
      <c r="J34" s="117">
        <f>IF((REPORT_raw_dataseen!D48)="","",$X34)</f>
        <v>82813</v>
      </c>
      <c r="K34" s="117">
        <f>IF((REPORT_raw_dataseen!E48)="","",$X34)</f>
        <v>82813</v>
      </c>
      <c r="L34" s="117">
        <f>IF((REPORT_raw_dataseen!F48)="","",$X34)</f>
        <v>82813</v>
      </c>
      <c r="M34" s="117">
        <f>IF((REPORT_raw_dataseen!G48)="","",$X34)</f>
        <v>82813</v>
      </c>
      <c r="N34" s="117">
        <f>IF((REPORT_raw_dataseen!H48)="","",$X34)</f>
        <v>82813</v>
      </c>
      <c r="O34" s="117">
        <f>IF((REPORT_raw_dataseen!I48)="","",$X34)</f>
        <v>82813</v>
      </c>
      <c r="P34" s="117">
        <f>IF((REPORT_raw_dataseen!J48)="","",$X34)</f>
        <v>82813</v>
      </c>
      <c r="Q34" s="117">
        <f>IF((REPORT_raw_dataseen!K48)="","",$X34)</f>
        <v>82813</v>
      </c>
      <c r="R34" s="117">
        <f>IF((REPORT_raw_dataseen!L48)="","",$X34)</f>
        <v>82813</v>
      </c>
      <c r="S34" s="117">
        <f>IF((REPORT_raw_dataseen!M48)="","",$X34)</f>
        <v>82813</v>
      </c>
      <c r="T34" s="117">
        <f>IF((REPORT_raw_dataseen!N48)="","",$X34)</f>
        <v>82813</v>
      </c>
      <c r="U34" s="117">
        <f>IF((REPORT_raw_dataseen!O48)="","",$X34)</f>
        <v>82813</v>
      </c>
      <c r="V34" s="117"/>
      <c r="W34" s="117" t="s">
        <v>136</v>
      </c>
      <c r="X34" s="148">
        <v>82813</v>
      </c>
      <c r="Y34" s="117"/>
      <c r="Z34" s="119">
        <v>48</v>
      </c>
      <c r="AA34" s="119">
        <v>49</v>
      </c>
      <c r="AB34" s="113"/>
    </row>
    <row r="35" spans="1:28">
      <c r="A35" s="104" t="s">
        <v>137</v>
      </c>
      <c r="B35" s="74" t="e">
        <f>VLOOKUP($A35&amp;"Unadjusted seen over_65referrals received", REPORT_raw_dataseen!$A$1:$R$769, MATCH($B$4,REPORT_raw_dataseen!$A$1:$R$1,0),FALSE)</f>
        <v>#N/A</v>
      </c>
      <c r="C35" s="147" t="str">
        <f t="shared" si="1"/>
        <v>..</v>
      </c>
      <c r="D35" s="95" t="e">
        <f>VLOOKUP($A35&amp;"Unadjusted seen over_65referrals accepted", REPORT_raw_dataseen!$A$1:$R$769, MATCH($B$4,REPORT_raw_dataseen!$A$1:$R$1,0),FALSE)</f>
        <v>#N/A</v>
      </c>
      <c r="E35" s="126" t="str">
        <f t="shared" si="2"/>
        <v>..</v>
      </c>
      <c r="F35" s="113"/>
      <c r="G35" s="113"/>
      <c r="H35" s="113"/>
      <c r="I35" s="117" t="s">
        <v>137</v>
      </c>
      <c r="J35" s="117">
        <f>IF((REPORT_raw_dataseen!D96)="","",$X35)</f>
        <v>28103</v>
      </c>
      <c r="K35" s="117">
        <f>IF((REPORT_raw_dataseen!E96)="","",$X35)</f>
        <v>28103</v>
      </c>
      <c r="L35" s="117">
        <f>IF((REPORT_raw_dataseen!F96)="","",$X35)</f>
        <v>28103</v>
      </c>
      <c r="M35" s="117">
        <f>IF((REPORT_raw_dataseen!G96)="","",$X35)</f>
        <v>28103</v>
      </c>
      <c r="N35" s="117">
        <f>IF((REPORT_raw_dataseen!H96)="","",$X35)</f>
        <v>28103</v>
      </c>
      <c r="O35" s="117">
        <f>IF((REPORT_raw_dataseen!I96)="","",$X35)</f>
        <v>28103</v>
      </c>
      <c r="P35" s="117">
        <f>IF((REPORT_raw_dataseen!J96)="","",$X35)</f>
        <v>28103</v>
      </c>
      <c r="Q35" s="117">
        <f>IF((REPORT_raw_dataseen!K96)="","",$X35)</f>
        <v>28103</v>
      </c>
      <c r="R35" s="117">
        <f>IF((REPORT_raw_dataseen!L96)="","",$X35)</f>
        <v>28103</v>
      </c>
      <c r="S35" s="117">
        <f>IF((REPORT_raw_dataseen!M96)="","",$X35)</f>
        <v>28103</v>
      </c>
      <c r="T35" s="117">
        <f>IF((REPORT_raw_dataseen!N96)="","",$X35)</f>
        <v>28103</v>
      </c>
      <c r="U35" s="117">
        <f>IF((REPORT_raw_dataseen!O96)="","",$X35)</f>
        <v>28103</v>
      </c>
      <c r="V35" s="117"/>
      <c r="W35" s="117" t="s">
        <v>137</v>
      </c>
      <c r="X35" s="148">
        <v>28103</v>
      </c>
      <c r="Y35" s="117"/>
      <c r="Z35" s="119">
        <f>48+Z34</f>
        <v>96</v>
      </c>
      <c r="AA35" s="119">
        <f>48+AA34</f>
        <v>97</v>
      </c>
      <c r="AB35" s="113"/>
    </row>
    <row r="36" spans="1:28">
      <c r="A36" s="104" t="s">
        <v>160</v>
      </c>
      <c r="B36" s="74" t="e">
        <f>VLOOKUP($A36&amp;"Unadjusted seen over_65referrals received", REPORT_raw_dataseen!$A$1:$R$769, MATCH($B$4,REPORT_raw_dataseen!$A$1:$R$1,0),FALSE)</f>
        <v>#N/A</v>
      </c>
      <c r="C36" s="147" t="str">
        <f t="shared" si="1"/>
        <v>..</v>
      </c>
      <c r="D36" s="95" t="e">
        <f>VLOOKUP($A36&amp;"Unadjusted seen over_65referrals accepted", REPORT_raw_dataseen!$A$1:$R$769, MATCH($B$4,REPORT_raw_dataseen!$A$1:$R$1,0),FALSE)</f>
        <v>#N/A</v>
      </c>
      <c r="E36" s="126" t="str">
        <f t="shared" si="2"/>
        <v>..</v>
      </c>
      <c r="F36" s="113"/>
      <c r="G36" s="113"/>
      <c r="H36" s="113"/>
      <c r="I36" s="117" t="s">
        <v>160</v>
      </c>
      <c r="J36" s="117">
        <f>IF((REPORT_raw_dataseen!D144)="","",$X36)</f>
        <v>37879</v>
      </c>
      <c r="K36" s="117">
        <f>IF((REPORT_raw_dataseen!E144)="","",$X36)</f>
        <v>37879</v>
      </c>
      <c r="L36" s="117">
        <f>IF((REPORT_raw_dataseen!F144)="","",$X36)</f>
        <v>37879</v>
      </c>
      <c r="M36" s="117">
        <f>IF((REPORT_raw_dataseen!G144)="","",$X36)</f>
        <v>37879</v>
      </c>
      <c r="N36" s="117">
        <f>IF((REPORT_raw_dataseen!H144)="","",$X36)</f>
        <v>37879</v>
      </c>
      <c r="O36" s="117">
        <f>IF((REPORT_raw_dataseen!I144)="","",$X36)</f>
        <v>37879</v>
      </c>
      <c r="P36" s="117">
        <f>IF((REPORT_raw_dataseen!J144)="","",$X36)</f>
        <v>37879</v>
      </c>
      <c r="Q36" s="117">
        <f>IF((REPORT_raw_dataseen!K144)="","",$X36)</f>
        <v>37879</v>
      </c>
      <c r="R36" s="117">
        <f>IF((REPORT_raw_dataseen!L144)="","",$X36)</f>
        <v>37879</v>
      </c>
      <c r="S36" s="117">
        <f>IF((REPORT_raw_dataseen!M144)="","",$X36)</f>
        <v>37879</v>
      </c>
      <c r="T36" s="117">
        <f>IF((REPORT_raw_dataseen!N144)="","",$X36)</f>
        <v>37879</v>
      </c>
      <c r="U36" s="117">
        <f>IF((REPORT_raw_dataseen!O144)="","",$X36)</f>
        <v>37879</v>
      </c>
      <c r="V36" s="117"/>
      <c r="W36" s="117" t="s">
        <v>160</v>
      </c>
      <c r="X36" s="148">
        <v>37879</v>
      </c>
      <c r="Y36" s="117"/>
      <c r="Z36" s="119">
        <f>48+Z35</f>
        <v>144</v>
      </c>
      <c r="AA36" s="119">
        <f t="shared" ref="AA36:AA48" si="3">48+AA35</f>
        <v>145</v>
      </c>
      <c r="AB36" s="113"/>
    </row>
    <row r="37" spans="1:28">
      <c r="A37" s="104" t="s">
        <v>138</v>
      </c>
      <c r="B37" s="74" t="e">
        <f>VLOOKUP($A37&amp;"Unadjusted seen over_65referrals received", REPORT_raw_dataseen!$A$1:$R$769, MATCH($B$4,REPORT_raw_dataseen!$A$1:$R$1,0),FALSE)</f>
        <v>#N/A</v>
      </c>
      <c r="C37" s="147" t="str">
        <f t="shared" si="1"/>
        <v>..</v>
      </c>
      <c r="D37" s="95" t="e">
        <f>VLOOKUP($A37&amp;"Unadjusted seen over_65referrals accepted", REPORT_raw_dataseen!$A$1:$R$769, MATCH($B$4,REPORT_raw_dataseen!$A$1:$R$1,0),FALSE)</f>
        <v>#N/A</v>
      </c>
      <c r="E37" s="126" t="str">
        <f t="shared" si="2"/>
        <v>..</v>
      </c>
      <c r="F37" s="113"/>
      <c r="G37" s="113"/>
      <c r="H37" s="113"/>
      <c r="I37" s="117" t="s">
        <v>138</v>
      </c>
      <c r="J37" s="117">
        <f>IF((REPORT_raw_dataseen!D192)="","",$X37)</f>
        <v>75590</v>
      </c>
      <c r="K37" s="117">
        <f>IF((REPORT_raw_dataseen!E192)="","",$X37)</f>
        <v>75590</v>
      </c>
      <c r="L37" s="117">
        <f>IF((REPORT_raw_dataseen!F192)="","",$X37)</f>
        <v>75590</v>
      </c>
      <c r="M37" s="117">
        <f>IF((REPORT_raw_dataseen!G192)="","",$X37)</f>
        <v>75590</v>
      </c>
      <c r="N37" s="117">
        <f>IF((REPORT_raw_dataseen!H192)="","",$X37)</f>
        <v>75590</v>
      </c>
      <c r="O37" s="117">
        <f>IF((REPORT_raw_dataseen!I192)="","",$X37)</f>
        <v>75590</v>
      </c>
      <c r="P37" s="117">
        <f>IF((REPORT_raw_dataseen!J192)="","",$X37)</f>
        <v>75590</v>
      </c>
      <c r="Q37" s="117">
        <f>IF((REPORT_raw_dataseen!K192)="","",$X37)</f>
        <v>75590</v>
      </c>
      <c r="R37" s="117">
        <f>IF((REPORT_raw_dataseen!L192)="","",$X37)</f>
        <v>75590</v>
      </c>
      <c r="S37" s="117">
        <f>IF((REPORT_raw_dataseen!M192)="","",$X37)</f>
        <v>75590</v>
      </c>
      <c r="T37" s="117">
        <f>IF((REPORT_raw_dataseen!N192)="","",$X37)</f>
        <v>75590</v>
      </c>
      <c r="U37" s="117">
        <f>IF((REPORT_raw_dataseen!O192)="","",$X37)</f>
        <v>75590</v>
      </c>
      <c r="V37" s="117"/>
      <c r="W37" s="117" t="s">
        <v>138</v>
      </c>
      <c r="X37" s="148">
        <v>75590</v>
      </c>
      <c r="Y37" s="117"/>
      <c r="Z37" s="119">
        <f>48+Z36</f>
        <v>192</v>
      </c>
      <c r="AA37" s="119">
        <f t="shared" si="3"/>
        <v>193</v>
      </c>
      <c r="AB37" s="113"/>
    </row>
    <row r="38" spans="1:28">
      <c r="A38" s="104" t="s">
        <v>139</v>
      </c>
      <c r="B38" s="74" t="e">
        <f>VLOOKUP($A38&amp;"Unadjusted seen over_65referrals received", REPORT_raw_dataseen!$A$1:$R$769, MATCH($B$4,REPORT_raw_dataseen!$A$1:$R$1,0),FALSE)</f>
        <v>#N/A</v>
      </c>
      <c r="C38" s="147" t="str">
        <f t="shared" si="1"/>
        <v>..</v>
      </c>
      <c r="D38" s="95" t="e">
        <f>VLOOKUP($A38&amp;"Unadjusted seen over_65referrals accepted", REPORT_raw_dataseen!$A$1:$R$769, MATCH($B$4,REPORT_raw_dataseen!$A$1:$R$1,0),FALSE)</f>
        <v>#N/A</v>
      </c>
      <c r="E38" s="126" t="str">
        <f t="shared" si="2"/>
        <v>..</v>
      </c>
      <c r="F38" s="113"/>
      <c r="G38" s="113"/>
      <c r="H38" s="113"/>
      <c r="I38" s="117" t="s">
        <v>139</v>
      </c>
      <c r="J38" s="117">
        <f>IF((REPORT_raw_dataseen!D240)="","",$X38)</f>
        <v>58235</v>
      </c>
      <c r="K38" s="117">
        <f>IF((REPORT_raw_dataseen!E240)="","",$X38)</f>
        <v>58235</v>
      </c>
      <c r="L38" s="117">
        <f>IF((REPORT_raw_dataseen!F240)="","",$X38)</f>
        <v>58235</v>
      </c>
      <c r="M38" s="117">
        <f>IF((REPORT_raw_dataseen!G240)="","",$X38)</f>
        <v>58235</v>
      </c>
      <c r="N38" s="117">
        <f>IF((REPORT_raw_dataseen!H240)="","",$X38)</f>
        <v>58235</v>
      </c>
      <c r="O38" s="117">
        <f>IF((REPORT_raw_dataseen!I240)="","",$X38)</f>
        <v>58235</v>
      </c>
      <c r="P38" s="117">
        <f>IF((REPORT_raw_dataseen!J240)="","",$X38)</f>
        <v>58235</v>
      </c>
      <c r="Q38" s="117">
        <f>IF((REPORT_raw_dataseen!K240)="","",$X38)</f>
        <v>58235</v>
      </c>
      <c r="R38" s="117">
        <f>IF((REPORT_raw_dataseen!L240)="","",$X38)</f>
        <v>58235</v>
      </c>
      <c r="S38" s="117">
        <f>IF((REPORT_raw_dataseen!M240)="","",$X38)</f>
        <v>58235</v>
      </c>
      <c r="T38" s="117">
        <f>IF((REPORT_raw_dataseen!N240)="","",$X38)</f>
        <v>58235</v>
      </c>
      <c r="U38" s="117">
        <f>IF((REPORT_raw_dataseen!O240)="","",$X38)</f>
        <v>58235</v>
      </c>
      <c r="V38" s="117"/>
      <c r="W38" s="117" t="s">
        <v>139</v>
      </c>
      <c r="X38" s="148">
        <v>58235</v>
      </c>
      <c r="Y38" s="117"/>
      <c r="Z38" s="119">
        <f>48+Z37</f>
        <v>240</v>
      </c>
      <c r="AA38" s="119">
        <f t="shared" si="3"/>
        <v>241</v>
      </c>
      <c r="AB38" s="113"/>
    </row>
    <row r="39" spans="1:28">
      <c r="A39" s="104" t="s">
        <v>140</v>
      </c>
      <c r="B39" s="74" t="e">
        <f>VLOOKUP($A39&amp;"Unadjusted seen over_65referrals received", REPORT_raw_dataseen!$A$1:$R$769, MATCH($B$4,REPORT_raw_dataseen!$A$1:$R$1,0),FALSE)</f>
        <v>#N/A</v>
      </c>
      <c r="C39" s="147" t="str">
        <f t="shared" si="1"/>
        <v>..</v>
      </c>
      <c r="D39" s="95" t="e">
        <f>VLOOKUP($A39&amp;"Unadjusted seen over_65referrals accepted", REPORT_raw_dataseen!$A$1:$R$769, MATCH($B$4,REPORT_raw_dataseen!$A$1:$R$1,0),FALSE)</f>
        <v>#N/A</v>
      </c>
      <c r="E39" s="126" t="str">
        <f t="shared" si="2"/>
        <v>..</v>
      </c>
      <c r="F39" s="113"/>
      <c r="G39" s="113"/>
      <c r="H39" s="113"/>
      <c r="I39" s="117" t="s">
        <v>140</v>
      </c>
      <c r="J39" s="117">
        <f>IF((REPORT_raw_dataseen!D288)="","",$X39)</f>
        <v>105754</v>
      </c>
      <c r="K39" s="117">
        <f>IF((REPORT_raw_dataseen!E288)="","",$X39)</f>
        <v>105754</v>
      </c>
      <c r="L39" s="117">
        <f>IF((REPORT_raw_dataseen!F288)="","",$X39)</f>
        <v>105754</v>
      </c>
      <c r="M39" s="117">
        <f>IF((REPORT_raw_dataseen!G288)="","",$X39)</f>
        <v>105754</v>
      </c>
      <c r="N39" s="117">
        <f>IF((REPORT_raw_dataseen!H288)="","",$X39)</f>
        <v>105754</v>
      </c>
      <c r="O39" s="117">
        <f>IF((REPORT_raw_dataseen!I288)="","",$X39)</f>
        <v>105754</v>
      </c>
      <c r="P39" s="117">
        <f>IF((REPORT_raw_dataseen!J288)="","",$X39)</f>
        <v>105754</v>
      </c>
      <c r="Q39" s="117">
        <f>IF((REPORT_raw_dataseen!K288)="","",$X39)</f>
        <v>105754</v>
      </c>
      <c r="R39" s="117">
        <f>IF((REPORT_raw_dataseen!L288)="","",$X39)</f>
        <v>105754</v>
      </c>
      <c r="S39" s="117">
        <f>IF((REPORT_raw_dataseen!M288)="","",$X39)</f>
        <v>105754</v>
      </c>
      <c r="T39" s="117">
        <f>IF((REPORT_raw_dataseen!N288)="","",$X39)</f>
        <v>105754</v>
      </c>
      <c r="U39" s="117">
        <f>IF((REPORT_raw_dataseen!O288)="","",$X39)</f>
        <v>105754</v>
      </c>
      <c r="V39" s="117"/>
      <c r="W39" s="117" t="s">
        <v>140</v>
      </c>
      <c r="X39" s="148">
        <v>105754</v>
      </c>
      <c r="Y39" s="117"/>
      <c r="Z39" s="119">
        <f>48+Z38</f>
        <v>288</v>
      </c>
      <c r="AA39" s="119">
        <f t="shared" si="3"/>
        <v>289</v>
      </c>
      <c r="AB39" s="113"/>
    </row>
    <row r="40" spans="1:28">
      <c r="A40" s="104" t="s">
        <v>141</v>
      </c>
      <c r="B40" s="74" t="e">
        <f>VLOOKUP($A40&amp;"Unadjusted seen over_65referrals received", REPORT_raw_dataseen!$A$1:$R$769, MATCH($B$4,REPORT_raw_dataseen!$A$1:$R$1,0),FALSE)</f>
        <v>#N/A</v>
      </c>
      <c r="C40" s="147" t="str">
        <f t="shared" si="1"/>
        <v>..</v>
      </c>
      <c r="D40" s="95" t="e">
        <f>VLOOKUP($A40&amp;"Unadjusted seen over_65referrals accepted", REPORT_raw_dataseen!$A$1:$R$769, MATCH($B$4,REPORT_raw_dataseen!$A$1:$R$1,0),FALSE)</f>
        <v>#N/A</v>
      </c>
      <c r="E40" s="126" t="str">
        <f t="shared" si="2"/>
        <v>..</v>
      </c>
      <c r="F40" s="113"/>
      <c r="G40" s="113"/>
      <c r="H40" s="113"/>
      <c r="I40" s="117" t="s">
        <v>141</v>
      </c>
      <c r="J40" s="117">
        <f>IF((REPORT_raw_dataseen!D336)="","",$X40)</f>
        <v>193326</v>
      </c>
      <c r="K40" s="117">
        <f>IF((REPORT_raw_dataseen!E336)="","",$X40)</f>
        <v>193326</v>
      </c>
      <c r="L40" s="117">
        <f>IF((REPORT_raw_dataseen!F336)="","",$X40)</f>
        <v>193326</v>
      </c>
      <c r="M40" s="117">
        <f>IF((REPORT_raw_dataseen!G336)="","",$X40)</f>
        <v>193326</v>
      </c>
      <c r="N40" s="117">
        <f>IF((REPORT_raw_dataseen!H336)="","",$X40)</f>
        <v>193326</v>
      </c>
      <c r="O40" s="117">
        <f>IF((REPORT_raw_dataseen!I336)="","",$X40)</f>
        <v>193326</v>
      </c>
      <c r="P40" s="117">
        <f>IF((REPORT_raw_dataseen!J336)="","",$X40)</f>
        <v>193326</v>
      </c>
      <c r="Q40" s="117">
        <f>IF((REPORT_raw_dataseen!K336)="","",$X40)</f>
        <v>193326</v>
      </c>
      <c r="R40" s="117">
        <f>IF((REPORT_raw_dataseen!L336)="","",$X40)</f>
        <v>193326</v>
      </c>
      <c r="S40" s="117">
        <f>IF((REPORT_raw_dataseen!M336)="","",$X40)</f>
        <v>193326</v>
      </c>
      <c r="T40" s="117">
        <f>IF((REPORT_raw_dataseen!N336)="","",$X40)</f>
        <v>193326</v>
      </c>
      <c r="U40" s="117">
        <f>IF((REPORT_raw_dataseen!O336)="","",$X40)</f>
        <v>193326</v>
      </c>
      <c r="V40" s="117"/>
      <c r="W40" s="117" t="s">
        <v>141</v>
      </c>
      <c r="X40" s="148">
        <v>193326</v>
      </c>
      <c r="Y40" s="117"/>
      <c r="Z40" s="119">
        <f t="shared" ref="Z40:Z48" si="4">48+Z39</f>
        <v>336</v>
      </c>
      <c r="AA40" s="119">
        <f t="shared" si="3"/>
        <v>337</v>
      </c>
      <c r="AB40" s="113"/>
    </row>
    <row r="41" spans="1:28">
      <c r="A41" s="104" t="s">
        <v>142</v>
      </c>
      <c r="B41" s="74" t="e">
        <f>VLOOKUP($A41&amp;"Unadjusted seen over_65referrals received", REPORT_raw_dataseen!$A$1:$R$769, MATCH($B$4,REPORT_raw_dataseen!$A$1:$R$1,0),FALSE)</f>
        <v>#N/A</v>
      </c>
      <c r="C41" s="147" t="str">
        <f t="shared" si="1"/>
        <v>..</v>
      </c>
      <c r="D41" s="95" t="e">
        <f>VLOOKUP($A41&amp;"Unadjusted seen over_65referrals accepted", REPORT_raw_dataseen!$A$1:$R$769, MATCH($B$4,REPORT_raw_dataseen!$A$1:$R$1,0),FALSE)</f>
        <v>#N/A</v>
      </c>
      <c r="E41" s="126" t="str">
        <f t="shared" si="2"/>
        <v>..</v>
      </c>
      <c r="F41" s="113"/>
      <c r="G41" s="113"/>
      <c r="H41" s="113"/>
      <c r="I41" s="117" t="s">
        <v>142</v>
      </c>
      <c r="J41" s="117">
        <f>IF((REPORT_raw_dataseen!D384)="","",$X41)</f>
        <v>73956</v>
      </c>
      <c r="K41" s="117">
        <f>IF((REPORT_raw_dataseen!E384)="","",$X41)</f>
        <v>73956</v>
      </c>
      <c r="L41" s="117">
        <f>IF((REPORT_raw_dataseen!F384)="","",$X41)</f>
        <v>73956</v>
      </c>
      <c r="M41" s="117">
        <f>IF((REPORT_raw_dataseen!G384)="","",$X41)</f>
        <v>73956</v>
      </c>
      <c r="N41" s="117">
        <f>IF((REPORT_raw_dataseen!H384)="","",$X41)</f>
        <v>73956</v>
      </c>
      <c r="O41" s="117">
        <f>IF((REPORT_raw_dataseen!I384)="","",$X41)</f>
        <v>73956</v>
      </c>
      <c r="P41" s="117">
        <f>IF((REPORT_raw_dataseen!J384)="","",$X41)</f>
        <v>73956</v>
      </c>
      <c r="Q41" s="117">
        <f>IF((REPORT_raw_dataseen!K384)="","",$X41)</f>
        <v>73956</v>
      </c>
      <c r="R41" s="117">
        <f>IF((REPORT_raw_dataseen!L384)="","",$X41)</f>
        <v>73956</v>
      </c>
      <c r="S41" s="117">
        <f>IF((REPORT_raw_dataseen!M384)="","",$X41)</f>
        <v>73956</v>
      </c>
      <c r="T41" s="117">
        <f>IF((REPORT_raw_dataseen!N384)="","",$X41)</f>
        <v>73956</v>
      </c>
      <c r="U41" s="117">
        <f>IF((REPORT_raw_dataseen!O384)="","",$X41)</f>
        <v>73956</v>
      </c>
      <c r="V41" s="117"/>
      <c r="W41" s="117" t="s">
        <v>142</v>
      </c>
      <c r="X41" s="148">
        <v>73956</v>
      </c>
      <c r="Y41" s="117"/>
      <c r="Z41" s="119">
        <f t="shared" si="4"/>
        <v>384</v>
      </c>
      <c r="AA41" s="119">
        <f t="shared" si="3"/>
        <v>385</v>
      </c>
      <c r="AB41" s="113"/>
    </row>
    <row r="42" spans="1:28">
      <c r="A42" s="104" t="s">
        <v>192</v>
      </c>
      <c r="B42" s="74" t="e">
        <f>VLOOKUP($A42&amp;"Unadjusted seen over_65referrals received", REPORT_raw_dataseen!$A$1:$R$769, MATCH($B$4,REPORT_raw_dataseen!$A$1:$R$1,0),FALSE)</f>
        <v>#N/A</v>
      </c>
      <c r="C42" s="147" t="str">
        <f t="shared" si="1"/>
        <v>..</v>
      </c>
      <c r="D42" s="95" t="e">
        <f>VLOOKUP($A42&amp;"Unadjusted seen over_65referrals accepted", REPORT_raw_dataseen!$A$1:$R$769, MATCH($B$4,REPORT_raw_dataseen!$A$1:$R$1,0),FALSE)</f>
        <v>#N/A</v>
      </c>
      <c r="E42" s="126" t="str">
        <f t="shared" si="2"/>
        <v>..</v>
      </c>
      <c r="F42" s="113"/>
      <c r="G42" s="113"/>
      <c r="H42" s="113"/>
      <c r="I42" s="117" t="s">
        <v>192</v>
      </c>
      <c r="J42" s="117">
        <f>IF((REPORT_raw_dataseen!D432)="","",$X42)</f>
        <v>119301</v>
      </c>
      <c r="K42" s="117">
        <f>IF((REPORT_raw_dataseen!E432)="","",$X42)</f>
        <v>119301</v>
      </c>
      <c r="L42" s="117">
        <f>IF((REPORT_raw_dataseen!F432)="","",$X42)</f>
        <v>119301</v>
      </c>
      <c r="M42" s="117">
        <f>IF((REPORT_raw_dataseen!G432)="","",$X42)</f>
        <v>119301</v>
      </c>
      <c r="N42" s="117">
        <f>IF((REPORT_raw_dataseen!H432)="","",$X42)</f>
        <v>119301</v>
      </c>
      <c r="O42" s="117">
        <f>IF((REPORT_raw_dataseen!I432)="","",$X42)</f>
        <v>119301</v>
      </c>
      <c r="P42" s="117">
        <f>IF((REPORT_raw_dataseen!J432)="","",$X42)</f>
        <v>119301</v>
      </c>
      <c r="Q42" s="117">
        <f>IF((REPORT_raw_dataseen!K432)="","",$X42)</f>
        <v>119301</v>
      </c>
      <c r="R42" s="117">
        <f>IF((REPORT_raw_dataseen!L432)="","",$X42)</f>
        <v>119301</v>
      </c>
      <c r="S42" s="117">
        <f>IF((REPORT_raw_dataseen!M432)="","",$X42)</f>
        <v>119301</v>
      </c>
      <c r="T42" s="117">
        <f>IF((REPORT_raw_dataseen!N432)="","",$X42)</f>
        <v>119301</v>
      </c>
      <c r="U42" s="117">
        <f>IF((REPORT_raw_dataseen!O432)="","",$X42)</f>
        <v>119301</v>
      </c>
      <c r="V42" s="117"/>
      <c r="W42" s="117" t="s">
        <v>192</v>
      </c>
      <c r="X42" s="148">
        <v>119301</v>
      </c>
      <c r="Y42" s="117"/>
      <c r="Z42" s="119">
        <f t="shared" si="4"/>
        <v>432</v>
      </c>
      <c r="AA42" s="119">
        <f t="shared" si="3"/>
        <v>433</v>
      </c>
      <c r="AB42" s="113"/>
    </row>
    <row r="43" spans="1:28">
      <c r="A43" s="104" t="s">
        <v>143</v>
      </c>
      <c r="B43" s="74" t="e">
        <f>VLOOKUP($A43&amp;"Unadjusted seen over_65referrals received", REPORT_raw_dataseen!$A$1:$R$769, MATCH($B$4,REPORT_raw_dataseen!$A$1:$R$1,0),FALSE)</f>
        <v>#N/A</v>
      </c>
      <c r="C43" s="147" t="str">
        <f t="shared" si="1"/>
        <v>..</v>
      </c>
      <c r="D43" s="95" t="e">
        <f>VLOOKUP($A43&amp;"Unadjusted seen over_65referrals accepted", REPORT_raw_dataseen!$A$1:$R$769, MATCH($B$4,REPORT_raw_dataseen!$A$1:$R$1,0),FALSE)</f>
        <v>#N/A</v>
      </c>
      <c r="E43" s="126" t="str">
        <f t="shared" si="2"/>
        <v>..</v>
      </c>
      <c r="F43" s="113"/>
      <c r="G43" s="113"/>
      <c r="H43" s="113"/>
      <c r="I43" s="117" t="s">
        <v>143</v>
      </c>
      <c r="J43" s="117">
        <f>IF((REPORT_raw_dataseen!D480)="","",$X43)</f>
        <v>146069</v>
      </c>
      <c r="K43" s="117">
        <f>IF((REPORT_raw_dataseen!E480)="","",$X43)</f>
        <v>146069</v>
      </c>
      <c r="L43" s="117">
        <f>IF((REPORT_raw_dataseen!F480)="","",$X43)</f>
        <v>146069</v>
      </c>
      <c r="M43" s="117">
        <f>IF((REPORT_raw_dataseen!G480)="","",$X43)</f>
        <v>146069</v>
      </c>
      <c r="N43" s="117">
        <f>IF((REPORT_raw_dataseen!H480)="","",$X43)</f>
        <v>146069</v>
      </c>
      <c r="O43" s="117">
        <f>IF((REPORT_raw_dataseen!I480)="","",$X43)</f>
        <v>146069</v>
      </c>
      <c r="P43" s="117">
        <f>IF((REPORT_raw_dataseen!J480)="","",$X43)</f>
        <v>146069</v>
      </c>
      <c r="Q43" s="117">
        <f>IF((REPORT_raw_dataseen!K480)="","",$X43)</f>
        <v>146069</v>
      </c>
      <c r="R43" s="117">
        <f>IF((REPORT_raw_dataseen!L480)="","",$X43)</f>
        <v>146069</v>
      </c>
      <c r="S43" s="117">
        <f>IF((REPORT_raw_dataseen!M480)="","",$X43)</f>
        <v>146069</v>
      </c>
      <c r="T43" s="117">
        <f>IF((REPORT_raw_dataseen!N480)="","",$X43)</f>
        <v>146069</v>
      </c>
      <c r="U43" s="117">
        <f>IF((REPORT_raw_dataseen!O480)="","",$X43)</f>
        <v>146069</v>
      </c>
      <c r="V43" s="117"/>
      <c r="W43" s="117" t="s">
        <v>143</v>
      </c>
      <c r="X43" s="148">
        <v>146069</v>
      </c>
      <c r="Y43" s="117"/>
      <c r="Z43" s="119">
        <f t="shared" si="4"/>
        <v>480</v>
      </c>
      <c r="AA43" s="119">
        <f t="shared" si="3"/>
        <v>481</v>
      </c>
      <c r="AB43" s="113"/>
    </row>
    <row r="44" spans="1:28">
      <c r="A44" s="104" t="s">
        <v>144</v>
      </c>
      <c r="B44" s="74" t="e">
        <f>VLOOKUP($A44&amp;"Unadjusted seen over_65referrals received", REPORT_raw_dataseen!$A$1:$R$769, MATCH($B$4,REPORT_raw_dataseen!$A$1:$R$1,0),FALSE)</f>
        <v>#N/A</v>
      </c>
      <c r="C44" s="147" t="str">
        <f t="shared" si="1"/>
        <v>..</v>
      </c>
      <c r="D44" s="95" t="e">
        <f>VLOOKUP($A44&amp;"Unadjusted seen over_65referrals accepted", REPORT_raw_dataseen!$A$1:$R$769, MATCH($B$4,REPORT_raw_dataseen!$A$1:$R$1,0),FALSE)</f>
        <v>#N/A</v>
      </c>
      <c r="E44" s="126" t="str">
        <f t="shared" si="2"/>
        <v>..</v>
      </c>
      <c r="F44" s="113"/>
      <c r="G44" s="113"/>
      <c r="H44" s="113"/>
      <c r="I44" s="121" t="s">
        <v>144</v>
      </c>
      <c r="J44" s="117">
        <f>IF((REPORT_raw_dataseen!D528)="","",$X44)</f>
        <v>5234</v>
      </c>
      <c r="K44" s="117">
        <f>IF((REPORT_raw_dataseen!E528)="","",$X44)</f>
        <v>5234</v>
      </c>
      <c r="L44" s="117">
        <f>IF((REPORT_raw_dataseen!F528)="","",$X44)</f>
        <v>5234</v>
      </c>
      <c r="M44" s="117">
        <f>IF((REPORT_raw_dataseen!G528)="","",$X44)</f>
        <v>5234</v>
      </c>
      <c r="N44" s="117">
        <f>IF((REPORT_raw_dataseen!H528)="","",$X44)</f>
        <v>5234</v>
      </c>
      <c r="O44" s="117">
        <f>IF((REPORT_raw_dataseen!I528)="","",$X44)</f>
        <v>5234</v>
      </c>
      <c r="P44" s="117">
        <f>IF((REPORT_raw_dataseen!J528)="","",$X44)</f>
        <v>5234</v>
      </c>
      <c r="Q44" s="117">
        <f>IF((REPORT_raw_dataseen!K528)="","",$X44)</f>
        <v>5234</v>
      </c>
      <c r="R44" s="117">
        <f>IF((REPORT_raw_dataseen!L528)="","",$X44)</f>
        <v>5234</v>
      </c>
      <c r="S44" s="117">
        <f>IF((REPORT_raw_dataseen!M528)="","",$X44)</f>
        <v>5234</v>
      </c>
      <c r="T44" s="117">
        <f>IF((REPORT_raw_dataseen!N528)="","",$X44)</f>
        <v>5234</v>
      </c>
      <c r="U44" s="117">
        <f>IF((REPORT_raw_dataseen!O528)="","",$X44)</f>
        <v>5234</v>
      </c>
      <c r="V44" s="117"/>
      <c r="W44" s="117" t="s">
        <v>144</v>
      </c>
      <c r="X44" s="148">
        <v>5234</v>
      </c>
      <c r="Y44" s="117"/>
      <c r="Z44" s="119">
        <f t="shared" si="4"/>
        <v>528</v>
      </c>
      <c r="AA44" s="119">
        <f t="shared" si="3"/>
        <v>529</v>
      </c>
      <c r="AB44" s="113"/>
    </row>
    <row r="45" spans="1:28">
      <c r="A45" s="104" t="s">
        <v>145</v>
      </c>
      <c r="B45" s="74" t="e">
        <f>VLOOKUP($A45&amp;"Unadjusted seen over_65referrals received", REPORT_raw_dataseen!$A$1:$R$769, MATCH($B$4,REPORT_raw_dataseen!$A$1:$R$1,0),FALSE)</f>
        <v>#N/A</v>
      </c>
      <c r="C45" s="147" t="str">
        <f t="shared" si="1"/>
        <v>..</v>
      </c>
      <c r="D45" s="95" t="e">
        <f>VLOOKUP($A45&amp;"Unadjusted seen over_65referrals accepted", REPORT_raw_dataseen!$A$1:$R$769, MATCH($B$4,REPORT_raw_dataseen!$A$1:$R$1,0),FALSE)</f>
        <v>#N/A</v>
      </c>
      <c r="E45" s="126" t="str">
        <f t="shared" si="2"/>
        <v>..</v>
      </c>
      <c r="F45" s="113"/>
      <c r="G45" s="113"/>
      <c r="H45" s="113"/>
      <c r="I45" s="117" t="s">
        <v>145</v>
      </c>
      <c r="J45" s="117">
        <f>IF((REPORT_raw_dataseen!D576)="","",$X45)</f>
        <v>4555</v>
      </c>
      <c r="K45" s="117">
        <f>IF((REPORT_raw_dataseen!E576)="","",$X45)</f>
        <v>4555</v>
      </c>
      <c r="L45" s="117">
        <f>IF((REPORT_raw_dataseen!F576)="","",$X45)</f>
        <v>4555</v>
      </c>
      <c r="M45" s="117">
        <f>IF((REPORT_raw_dataseen!G576)="","",$X45)</f>
        <v>4555</v>
      </c>
      <c r="N45" s="117">
        <f>IF((REPORT_raw_dataseen!H576)="","",$X45)</f>
        <v>4555</v>
      </c>
      <c r="O45" s="117">
        <f>IF((REPORT_raw_dataseen!I576)="","",$X45)</f>
        <v>4555</v>
      </c>
      <c r="P45" s="117">
        <f>IF((REPORT_raw_dataseen!J576)="","",$X45)</f>
        <v>4555</v>
      </c>
      <c r="Q45" s="117">
        <f>IF((REPORT_raw_dataseen!K576)="","",$X45)</f>
        <v>4555</v>
      </c>
      <c r="R45" s="117">
        <f>IF((REPORT_raw_dataseen!L576)="","",$X45)</f>
        <v>4555</v>
      </c>
      <c r="S45" s="117">
        <f>IF((REPORT_raw_dataseen!M576)="","",$X45)</f>
        <v>4555</v>
      </c>
      <c r="T45" s="117">
        <f>IF((REPORT_raw_dataseen!N576)="","",$X45)</f>
        <v>4555</v>
      </c>
      <c r="U45" s="117">
        <f>IF((REPORT_raw_dataseen!O576)="","",$X45)</f>
        <v>4555</v>
      </c>
      <c r="V45" s="117"/>
      <c r="W45" s="117" t="s">
        <v>145</v>
      </c>
      <c r="X45" s="148">
        <v>4555</v>
      </c>
      <c r="Y45" s="117"/>
      <c r="Z45" s="119">
        <f t="shared" si="4"/>
        <v>576</v>
      </c>
      <c r="AA45" s="119">
        <f t="shared" si="3"/>
        <v>577</v>
      </c>
      <c r="AB45" s="113"/>
    </row>
    <row r="46" spans="1:28">
      <c r="A46" s="104" t="s">
        <v>146</v>
      </c>
      <c r="B46" s="74" t="e">
        <f>VLOOKUP($A46&amp;"Unadjusted seen over_65referrals received", REPORT_raw_dataseen!$A$1:$R$769, MATCH($B$4,REPORT_raw_dataseen!$A$1:$R$1,0),FALSE)</f>
        <v>#N/A</v>
      </c>
      <c r="C46" s="147" t="str">
        <f t="shared" si="1"/>
        <v>..</v>
      </c>
      <c r="D46" s="95" t="e">
        <f>VLOOKUP($A46&amp;"Unadjusted seen over_65referrals accepted", REPORT_raw_dataseen!$A$1:$R$769, MATCH($B$4,REPORT_raw_dataseen!$A$1:$R$1,0),FALSE)</f>
        <v>#N/A</v>
      </c>
      <c r="E46" s="126" t="str">
        <f t="shared" si="2"/>
        <v>..</v>
      </c>
      <c r="F46" s="113"/>
      <c r="G46" s="113"/>
      <c r="H46" s="113"/>
      <c r="I46" s="117" t="s">
        <v>146</v>
      </c>
      <c r="J46" s="117">
        <f>IF((REPORT_raw_dataseen!D624)="","",$X46)</f>
        <v>88474</v>
      </c>
      <c r="K46" s="117">
        <f>IF((REPORT_raw_dataseen!E624)="","",$X46)</f>
        <v>88474</v>
      </c>
      <c r="L46" s="117">
        <f>IF((REPORT_raw_dataseen!F624)="","",$X46)</f>
        <v>88474</v>
      </c>
      <c r="M46" s="117">
        <f>IF((REPORT_raw_dataseen!G624)="","",$X46)</f>
        <v>88474</v>
      </c>
      <c r="N46" s="117">
        <f>IF((REPORT_raw_dataseen!H624)="","",$X46)</f>
        <v>88474</v>
      </c>
      <c r="O46" s="117">
        <f>IF((REPORT_raw_dataseen!I624)="","",$X46)</f>
        <v>88474</v>
      </c>
      <c r="P46" s="117">
        <f>IF((REPORT_raw_dataseen!J624)="","",$X46)</f>
        <v>88474</v>
      </c>
      <c r="Q46" s="117">
        <f>IF((REPORT_raw_dataseen!K624)="","",$X46)</f>
        <v>88474</v>
      </c>
      <c r="R46" s="117">
        <f>IF((REPORT_raw_dataseen!L624)="","",$X46)</f>
        <v>88474</v>
      </c>
      <c r="S46" s="117">
        <f>IF((REPORT_raw_dataseen!M624)="","",$X46)</f>
        <v>88474</v>
      </c>
      <c r="T46" s="117">
        <f>IF((REPORT_raw_dataseen!N624)="","",$X46)</f>
        <v>88474</v>
      </c>
      <c r="U46" s="117">
        <f>IF((REPORT_raw_dataseen!O624)="","",$X46)</f>
        <v>88474</v>
      </c>
      <c r="V46" s="117"/>
      <c r="W46" s="117" t="s">
        <v>146</v>
      </c>
      <c r="X46" s="148">
        <v>88474</v>
      </c>
      <c r="Y46" s="117"/>
      <c r="Z46" s="119">
        <f t="shared" si="4"/>
        <v>624</v>
      </c>
      <c r="AA46" s="119">
        <f t="shared" si="3"/>
        <v>625</v>
      </c>
      <c r="AB46" s="113"/>
    </row>
    <row r="47" spans="1:28">
      <c r="A47" s="104" t="s">
        <v>147</v>
      </c>
      <c r="B47" s="74" t="e">
        <f>VLOOKUP($A47&amp;"Unadjusted seen over_65referrals received", REPORT_raw_dataseen!$A$1:$R$769, MATCH($B$4,REPORT_raw_dataseen!$A$1:$R$1,0),FALSE)</f>
        <v>#N/A</v>
      </c>
      <c r="C47" s="147" t="str">
        <f t="shared" si="1"/>
        <v>..</v>
      </c>
      <c r="D47" s="95" t="e">
        <f>VLOOKUP($A47&amp;"Unadjusted seen over_65referrals accepted", REPORT_raw_dataseen!$A$1:$R$769, MATCH($B$4,REPORT_raw_dataseen!$A$1:$R$1,0),FALSE)</f>
        <v>#N/A</v>
      </c>
      <c r="E47" s="126" t="str">
        <f t="shared" si="2"/>
        <v>..</v>
      </c>
      <c r="F47" s="113"/>
      <c r="G47" s="113"/>
      <c r="H47" s="113"/>
      <c r="I47" s="117" t="s">
        <v>147</v>
      </c>
      <c r="J47" s="117">
        <f>IF((REPORT_raw_dataseen!D672)="","",$X47)</f>
        <v>6825</v>
      </c>
      <c r="K47" s="117">
        <f>IF((REPORT_raw_dataseen!E672)="","",$X47)</f>
        <v>6825</v>
      </c>
      <c r="L47" s="117">
        <f>IF((REPORT_raw_dataseen!F672)="","",$X47)</f>
        <v>6825</v>
      </c>
      <c r="M47" s="117">
        <f>IF((REPORT_raw_dataseen!G672)="","",$X47)</f>
        <v>6825</v>
      </c>
      <c r="N47" s="117">
        <f>IF((REPORT_raw_dataseen!H672)="","",$X47)</f>
        <v>6825</v>
      </c>
      <c r="O47" s="117">
        <f>IF((REPORT_raw_dataseen!I672)="","",$X47)</f>
        <v>6825</v>
      </c>
      <c r="P47" s="117">
        <f>IF((REPORT_raw_dataseen!J672)="","",$X47)</f>
        <v>6825</v>
      </c>
      <c r="Q47" s="117">
        <f>IF((REPORT_raw_dataseen!K672)="","",$X47)</f>
        <v>6825</v>
      </c>
      <c r="R47" s="117">
        <f>IF((REPORT_raw_dataseen!L672)="","",$X47)</f>
        <v>6825</v>
      </c>
      <c r="S47" s="117">
        <f>IF((REPORT_raw_dataseen!M672)="","",$X47)</f>
        <v>6825</v>
      </c>
      <c r="T47" s="117">
        <f>IF((REPORT_raw_dataseen!N672)="","",$X47)</f>
        <v>6825</v>
      </c>
      <c r="U47" s="117">
        <f>IF((REPORT_raw_dataseen!O672)="","",$X47)</f>
        <v>6825</v>
      </c>
      <c r="V47" s="117"/>
      <c r="W47" s="117" t="s">
        <v>147</v>
      </c>
      <c r="X47" s="148">
        <v>6825</v>
      </c>
      <c r="Y47" s="117"/>
      <c r="Z47" s="119">
        <f t="shared" si="4"/>
        <v>672</v>
      </c>
      <c r="AA47" s="119">
        <f t="shared" si="3"/>
        <v>673</v>
      </c>
      <c r="AB47" s="113"/>
    </row>
    <row r="48" spans="1:28">
      <c r="A48" s="106" t="s">
        <v>328</v>
      </c>
      <c r="B48" s="74" t="e">
        <f>VLOOKUP($A48&amp;"Unadjusted seen over_65referrals received", REPORT_raw_dataseen!$A$1:$R$769, MATCH($B$4,REPORT_raw_dataseen!$A$1:$R$1,0),FALSE)</f>
        <v>#N/A</v>
      </c>
      <c r="C48" s="147" t="str">
        <f t="shared" si="1"/>
        <v>..</v>
      </c>
      <c r="D48" s="95" t="e">
        <f>VLOOKUP($A48&amp;"Unadjusted seen over_65referrals accepted", REPORT_raw_dataseen!$A$1:$R$769, MATCH($B$4,REPORT_raw_dataseen!$A$1:$R$1,0),FALSE)</f>
        <v>#N/A</v>
      </c>
      <c r="E48" s="126" t="str">
        <f t="shared" si="2"/>
        <v>..</v>
      </c>
      <c r="F48" s="113"/>
      <c r="G48" s="113"/>
      <c r="H48" s="113"/>
      <c r="I48" s="122" t="s">
        <v>28</v>
      </c>
      <c r="J48" s="117">
        <f>+SUM(J34:J47)</f>
        <v>1026114</v>
      </c>
      <c r="K48" s="117">
        <f t="shared" ref="K48:U48" si="5">+SUM(K34:K47)</f>
        <v>1026114</v>
      </c>
      <c r="L48" s="117">
        <f t="shared" si="5"/>
        <v>1026114</v>
      </c>
      <c r="M48" s="117">
        <f t="shared" si="5"/>
        <v>1026114</v>
      </c>
      <c r="N48" s="117">
        <f t="shared" si="5"/>
        <v>1026114</v>
      </c>
      <c r="O48" s="117">
        <f t="shared" si="5"/>
        <v>1026114</v>
      </c>
      <c r="P48" s="117">
        <f t="shared" si="5"/>
        <v>1026114</v>
      </c>
      <c r="Q48" s="117">
        <f t="shared" si="5"/>
        <v>1026114</v>
      </c>
      <c r="R48" s="117">
        <f t="shared" si="5"/>
        <v>1026114</v>
      </c>
      <c r="S48" s="117">
        <f t="shared" si="5"/>
        <v>1026114</v>
      </c>
      <c r="T48" s="117">
        <f t="shared" si="5"/>
        <v>1026114</v>
      </c>
      <c r="U48" s="117">
        <f t="shared" si="5"/>
        <v>1026114</v>
      </c>
      <c r="V48" s="117"/>
      <c r="W48" s="117" t="s">
        <v>28</v>
      </c>
      <c r="X48" s="127">
        <v>1026114</v>
      </c>
      <c r="Y48" s="117"/>
      <c r="Z48" s="119">
        <f t="shared" si="4"/>
        <v>720</v>
      </c>
      <c r="AA48" s="119">
        <f t="shared" si="3"/>
        <v>721</v>
      </c>
      <c r="AB48" s="113"/>
    </row>
    <row r="49" spans="1:28">
      <c r="B49" s="111"/>
      <c r="C49" s="7"/>
      <c r="D49" s="7"/>
      <c r="E49" s="7"/>
      <c r="F49" s="17"/>
      <c r="G49" s="113"/>
      <c r="H49" s="113"/>
      <c r="I49" s="124" t="s">
        <v>328</v>
      </c>
      <c r="J49" s="125">
        <f>+$J$48</f>
        <v>1026114</v>
      </c>
      <c r="K49" s="125">
        <f t="shared" ref="K49:U49" si="6">+$J$48</f>
        <v>1026114</v>
      </c>
      <c r="L49" s="125">
        <f t="shared" si="6"/>
        <v>1026114</v>
      </c>
      <c r="M49" s="125">
        <f t="shared" si="6"/>
        <v>1026114</v>
      </c>
      <c r="N49" s="125">
        <f t="shared" si="6"/>
        <v>1026114</v>
      </c>
      <c r="O49" s="125">
        <f t="shared" si="6"/>
        <v>1026114</v>
      </c>
      <c r="P49" s="125">
        <f t="shared" si="6"/>
        <v>1026114</v>
      </c>
      <c r="Q49" s="125">
        <f t="shared" si="6"/>
        <v>1026114</v>
      </c>
      <c r="R49" s="125">
        <f t="shared" si="6"/>
        <v>1026114</v>
      </c>
      <c r="S49" s="125">
        <f t="shared" si="6"/>
        <v>1026114</v>
      </c>
      <c r="T49" s="125">
        <f t="shared" si="6"/>
        <v>1026114</v>
      </c>
      <c r="U49" s="125">
        <f t="shared" si="6"/>
        <v>1026114</v>
      </c>
      <c r="V49" s="117"/>
      <c r="W49" s="117"/>
      <c r="X49" s="128" t="e">
        <f>+VLOOKUP(W49,W34:X48,2)</f>
        <v>#N/A</v>
      </c>
      <c r="Y49" s="117"/>
      <c r="Z49" s="119"/>
      <c r="AA49" s="119"/>
      <c r="AB49" s="113"/>
    </row>
    <row r="50" spans="1:28" ht="20.25">
      <c r="A50" s="76" t="s">
        <v>333</v>
      </c>
      <c r="B50" s="16"/>
      <c r="C50" s="16"/>
      <c r="D50" s="16"/>
      <c r="E50" s="16"/>
      <c r="F50" s="8"/>
      <c r="G50" s="17"/>
      <c r="H50" s="17"/>
      <c r="I50" s="17"/>
      <c r="J50" s="17"/>
      <c r="K50" s="113"/>
      <c r="L50" s="113"/>
      <c r="M50" s="113"/>
      <c r="N50" s="113"/>
      <c r="O50" s="113"/>
      <c r="P50" s="113"/>
      <c r="Q50" s="113"/>
      <c r="R50" s="113"/>
      <c r="S50" s="113"/>
      <c r="T50" s="113"/>
      <c r="U50" s="113"/>
      <c r="V50" s="113"/>
      <c r="W50" s="113"/>
      <c r="X50" s="113"/>
      <c r="Y50" s="113"/>
      <c r="Z50" s="113"/>
      <c r="AA50" s="113"/>
      <c r="AB50" s="113"/>
    </row>
    <row r="51" spans="1:28">
      <c r="A51" s="8" t="s">
        <v>334</v>
      </c>
      <c r="B51" s="16"/>
      <c r="C51" s="16"/>
      <c r="D51" s="16"/>
      <c r="E51" s="16"/>
      <c r="F51" s="16"/>
      <c r="G51" s="17"/>
      <c r="H51" s="17"/>
      <c r="I51" s="17"/>
      <c r="J51" s="17"/>
    </row>
    <row r="52" spans="1:28" ht="18">
      <c r="A52" s="32" t="s">
        <v>335</v>
      </c>
      <c r="B52" s="16"/>
      <c r="C52" s="16"/>
      <c r="D52" s="16"/>
      <c r="E52" s="16"/>
      <c r="F52" s="16"/>
      <c r="G52" s="17"/>
      <c r="H52" s="17"/>
      <c r="I52" s="17"/>
      <c r="J52" s="17"/>
      <c r="K52" s="107"/>
      <c r="L52"/>
    </row>
    <row r="53" spans="1:28">
      <c r="B53" s="16"/>
      <c r="C53" s="16"/>
      <c r="D53" s="16"/>
      <c r="E53" s="16"/>
      <c r="F53" s="16"/>
      <c r="G53" s="17"/>
      <c r="H53" s="17"/>
      <c r="I53" s="17"/>
      <c r="J53" s="17"/>
    </row>
    <row r="54" spans="1:28" ht="20.25">
      <c r="A54" s="76" t="s">
        <v>336</v>
      </c>
      <c r="B54" s="16"/>
      <c r="C54" s="16"/>
      <c r="D54" s="16"/>
      <c r="E54" s="16"/>
      <c r="F54" s="16"/>
      <c r="G54" s="17"/>
      <c r="H54" s="17"/>
      <c r="I54" s="17"/>
      <c r="J54" s="17"/>
    </row>
    <row r="55" spans="1:28">
      <c r="A55" s="438" t="s">
        <v>186</v>
      </c>
      <c r="B55" s="438"/>
      <c r="C55" s="438"/>
      <c r="D55" s="438"/>
      <c r="E55" s="438"/>
      <c r="F55" s="438"/>
      <c r="G55" s="438"/>
      <c r="H55" s="438"/>
      <c r="I55" s="438"/>
      <c r="J55" s="438"/>
      <c r="K55" s="438"/>
      <c r="L55" s="438"/>
    </row>
    <row r="56" spans="1:28">
      <c r="A56" s="428"/>
      <c r="B56" s="429"/>
      <c r="C56" s="429"/>
      <c r="D56" s="429"/>
      <c r="E56" s="429"/>
      <c r="F56" s="429"/>
    </row>
    <row r="57" spans="1:28">
      <c r="A57" s="19"/>
      <c r="B57" s="62"/>
      <c r="C57" s="62"/>
      <c r="D57" s="62"/>
      <c r="E57" s="62"/>
      <c r="F57" s="62"/>
    </row>
    <row r="58" spans="1:28">
      <c r="A58" s="19"/>
      <c r="B58" s="62"/>
      <c r="C58" s="62"/>
      <c r="D58" s="62"/>
      <c r="E58" s="62"/>
      <c r="F58" s="62"/>
    </row>
    <row r="59" spans="1:28">
      <c r="A59" s="39"/>
      <c r="B59" s="62"/>
      <c r="C59" s="62"/>
      <c r="D59" s="62"/>
      <c r="E59" s="62"/>
      <c r="F59" s="62"/>
    </row>
    <row r="60" spans="1:28">
      <c r="A60" s="8" t="s">
        <v>190</v>
      </c>
      <c r="B60" s="7"/>
      <c r="C60" s="7"/>
      <c r="D60" s="7"/>
      <c r="E60" s="7"/>
      <c r="F60" s="15"/>
    </row>
    <row r="61" spans="1:28">
      <c r="A61" s="8" t="s">
        <v>191</v>
      </c>
      <c r="B61" s="7"/>
      <c r="C61" s="7"/>
      <c r="D61" s="7"/>
      <c r="E61" s="7"/>
      <c r="F61" s="15"/>
    </row>
    <row r="62" spans="1:28">
      <c r="B62" s="7"/>
      <c r="C62" s="7"/>
      <c r="D62" s="7"/>
      <c r="E62" s="7"/>
      <c r="F62" s="15"/>
      <c r="G62" s="16"/>
    </row>
    <row r="63" spans="1:28">
      <c r="B63" s="7"/>
      <c r="C63" s="7"/>
      <c r="D63" s="7"/>
      <c r="E63" s="7"/>
      <c r="F63" s="15"/>
    </row>
    <row r="64" spans="1:28">
      <c r="B64" s="16"/>
      <c r="C64" s="16"/>
      <c r="D64" s="16"/>
      <c r="E64" s="16"/>
      <c r="F64" s="17"/>
    </row>
    <row r="65" spans="2:6">
      <c r="B65" s="12"/>
      <c r="C65" s="12"/>
      <c r="D65" s="12"/>
      <c r="E65" s="12"/>
      <c r="F65" s="13"/>
    </row>
    <row r="66" spans="2:6">
      <c r="B66" s="7"/>
      <c r="C66" s="7"/>
      <c r="D66" s="7"/>
      <c r="E66" s="7"/>
      <c r="F66" s="14"/>
    </row>
    <row r="67" spans="2:6">
      <c r="B67" s="7"/>
      <c r="C67" s="7"/>
      <c r="D67" s="7"/>
      <c r="E67" s="7"/>
      <c r="F67" s="15"/>
    </row>
    <row r="68" spans="2:6">
      <c r="B68" s="7"/>
      <c r="C68" s="7"/>
      <c r="D68" s="7"/>
      <c r="E68" s="7"/>
      <c r="F68" s="15"/>
    </row>
    <row r="69" spans="2:6">
      <c r="B69" s="16"/>
      <c r="C69" s="16"/>
      <c r="D69" s="16"/>
      <c r="E69" s="16"/>
      <c r="F69" s="18"/>
    </row>
    <row r="70" spans="2:6">
      <c r="B70" s="12"/>
      <c r="C70" s="12"/>
      <c r="D70" s="12"/>
      <c r="E70" s="12"/>
      <c r="F70" s="13"/>
    </row>
    <row r="71" spans="2:6">
      <c r="B71" s="7"/>
      <c r="C71" s="7"/>
      <c r="D71" s="7"/>
      <c r="E71" s="7"/>
      <c r="F71" s="14"/>
    </row>
    <row r="72" spans="2:6">
      <c r="B72" s="7"/>
      <c r="C72" s="7"/>
      <c r="D72" s="7"/>
      <c r="E72" s="7"/>
      <c r="F72" s="15"/>
    </row>
    <row r="73" spans="2:6">
      <c r="B73" s="7"/>
      <c r="C73" s="7"/>
      <c r="D73" s="7"/>
      <c r="E73" s="7"/>
      <c r="F73" s="15"/>
    </row>
    <row r="74" spans="2:6">
      <c r="B74" s="16"/>
      <c r="C74" s="16"/>
      <c r="D74" s="16"/>
      <c r="E74" s="16"/>
      <c r="F74" s="18"/>
    </row>
    <row r="75" spans="2:6">
      <c r="B75" s="12"/>
      <c r="C75" s="12"/>
      <c r="D75" s="12"/>
      <c r="E75" s="12"/>
      <c r="F75" s="13"/>
    </row>
    <row r="76" spans="2:6">
      <c r="B76" s="16"/>
      <c r="C76" s="16"/>
      <c r="D76" s="16"/>
      <c r="E76" s="16"/>
      <c r="F76" s="14"/>
    </row>
    <row r="77" spans="2:6">
      <c r="B77" s="16"/>
      <c r="C77" s="16"/>
      <c r="D77" s="16"/>
      <c r="E77" s="16"/>
      <c r="F77" s="15"/>
    </row>
    <row r="78" spans="2:6">
      <c r="B78" s="16"/>
      <c r="C78" s="16"/>
      <c r="D78" s="16"/>
      <c r="E78" s="16"/>
      <c r="F78" s="15"/>
    </row>
    <row r="79" spans="2:6">
      <c r="B79" s="16"/>
      <c r="C79" s="16"/>
      <c r="D79" s="16"/>
      <c r="E79" s="16"/>
      <c r="F79" s="18"/>
    </row>
    <row r="80" spans="2:6">
      <c r="B80" s="12"/>
      <c r="C80" s="12"/>
      <c r="D80" s="12"/>
      <c r="E80" s="12"/>
      <c r="F80" s="13"/>
    </row>
    <row r="81" spans="1:6">
      <c r="B81" s="7"/>
      <c r="C81" s="7"/>
      <c r="D81" s="7"/>
      <c r="E81" s="7"/>
      <c r="F81" s="14"/>
    </row>
    <row r="82" spans="1:6">
      <c r="B82" s="7"/>
      <c r="C82" s="7"/>
      <c r="D82" s="7"/>
      <c r="E82" s="7"/>
      <c r="F82" s="14"/>
    </row>
    <row r="83" spans="1:6">
      <c r="B83" s="7"/>
      <c r="C83" s="7"/>
      <c r="D83" s="7"/>
      <c r="E83" s="7"/>
      <c r="F83" s="14"/>
    </row>
    <row r="84" spans="1:6">
      <c r="B84" s="7"/>
      <c r="C84" s="7"/>
      <c r="D84" s="7"/>
      <c r="E84" s="7"/>
      <c r="F84" s="15"/>
    </row>
    <row r="85" spans="1:6">
      <c r="B85" s="7"/>
      <c r="C85" s="7"/>
      <c r="D85" s="7"/>
      <c r="E85" s="7"/>
      <c r="F85" s="15"/>
    </row>
    <row r="86" spans="1:6">
      <c r="B86" s="7"/>
      <c r="C86" s="7"/>
      <c r="D86" s="7"/>
      <c r="E86" s="7"/>
      <c r="F86" s="15"/>
    </row>
    <row r="87" spans="1:6">
      <c r="B87" s="7"/>
      <c r="C87" s="7"/>
      <c r="D87" s="7"/>
      <c r="E87" s="7"/>
      <c r="F87" s="15"/>
    </row>
    <row r="88" spans="1:6">
      <c r="B88" s="16"/>
      <c r="C88" s="16"/>
      <c r="D88" s="16"/>
      <c r="E88" s="12"/>
      <c r="F88" s="13"/>
    </row>
    <row r="89" spans="1:6">
      <c r="B89" s="12"/>
      <c r="C89" s="12"/>
      <c r="D89" s="12"/>
      <c r="E89" s="12"/>
      <c r="F89" s="13"/>
    </row>
    <row r="90" spans="1:6">
      <c r="B90" s="12"/>
      <c r="C90" s="12"/>
      <c r="D90" s="12"/>
      <c r="E90" s="12"/>
      <c r="F90" s="13"/>
    </row>
    <row r="91" spans="1:6">
      <c r="B91" s="12"/>
      <c r="C91" s="12"/>
      <c r="D91" s="12"/>
      <c r="E91" s="16"/>
      <c r="F91" s="18"/>
    </row>
    <row r="92" spans="1:6">
      <c r="B92" s="16"/>
      <c r="C92" s="16"/>
      <c r="D92" s="16"/>
      <c r="E92" s="7"/>
      <c r="F92" s="15"/>
    </row>
    <row r="93" spans="1:6">
      <c r="A93" s="6" t="s">
        <v>2133</v>
      </c>
      <c r="B93" s="7"/>
      <c r="C93" s="7"/>
      <c r="D93" s="7"/>
      <c r="E93" s="16"/>
      <c r="F93" s="13"/>
    </row>
    <row r="94" spans="1:6">
      <c r="A94" s="6" t="e">
        <v>#REF!</v>
      </c>
      <c r="B94" s="7"/>
      <c r="C94" s="7"/>
      <c r="D94" s="7"/>
      <c r="E94" s="16"/>
      <c r="F94" s="13"/>
    </row>
    <row r="95" spans="1:6">
      <c r="A95" s="6" t="s">
        <v>2134</v>
      </c>
      <c r="B95" s="7"/>
      <c r="C95" s="7"/>
      <c r="D95" s="7"/>
      <c r="E95" s="16"/>
      <c r="F95" s="13"/>
    </row>
    <row r="96" spans="1:6">
      <c r="A96" s="6" t="e">
        <v>#REF!</v>
      </c>
      <c r="B96" s="7"/>
      <c r="C96" s="7"/>
      <c r="D96" s="7"/>
      <c r="E96" s="16"/>
      <c r="F96" s="13"/>
    </row>
    <row r="97" spans="1:24">
      <c r="A97" s="16"/>
      <c r="B97" s="7"/>
      <c r="C97" s="7"/>
      <c r="D97" s="7"/>
      <c r="E97" s="7"/>
      <c r="F97" s="15"/>
    </row>
    <row r="98" spans="1:24">
      <c r="A98" s="29" t="str">
        <f>"Patients seen - adjusted waits for "&amp;TEXT(B4,"mmm-yy")</f>
        <v>Patients seen - adjusted waits for Mar-20</v>
      </c>
      <c r="B98" s="62"/>
      <c r="C98" s="62"/>
      <c r="D98" s="62"/>
      <c r="E98" s="62"/>
      <c r="F98" s="62"/>
    </row>
    <row r="99" spans="1:24">
      <c r="A99" s="29" t="str">
        <f>"Percentage of patients seen within 18 weeks for adjusted waits for "&amp;TEXT(B4,"mmm-yy")</f>
        <v>Percentage of patients seen within 18 weeks for adjusted waits for Mar-20</v>
      </c>
      <c r="B99" s="62"/>
      <c r="C99" s="62"/>
      <c r="D99" s="62"/>
      <c r="E99" s="62"/>
      <c r="F99" s="62"/>
    </row>
    <row r="100" spans="1:24">
      <c r="A100" s="429"/>
      <c r="B100" s="429"/>
      <c r="C100" s="429"/>
      <c r="D100" s="429"/>
      <c r="E100" s="429"/>
      <c r="F100" s="429"/>
    </row>
    <row r="101" spans="1:24">
      <c r="A101" s="429"/>
      <c r="B101" s="429"/>
      <c r="C101" s="429"/>
      <c r="D101" s="429"/>
      <c r="E101" s="429"/>
      <c r="F101" s="429"/>
    </row>
    <row r="102" spans="1:24">
      <c r="A102" s="429"/>
      <c r="B102" s="429"/>
      <c r="C102" s="429"/>
      <c r="D102" s="429"/>
      <c r="E102" s="429"/>
      <c r="F102" s="429"/>
    </row>
    <row r="103" spans="1:24">
      <c r="A103" s="108"/>
      <c r="B103" s="62"/>
      <c r="C103" s="62"/>
      <c r="D103" s="62"/>
      <c r="E103" s="62"/>
      <c r="F103" s="62"/>
    </row>
    <row r="104" spans="1:24">
      <c r="B104" s="7"/>
      <c r="C104" s="7"/>
      <c r="D104" s="7"/>
      <c r="E104" s="7"/>
      <c r="F104" s="15"/>
    </row>
    <row r="105" spans="1:24">
      <c r="B105" s="7"/>
      <c r="C105" s="7"/>
      <c r="D105" s="7"/>
      <c r="E105" s="7"/>
      <c r="F105" s="15"/>
    </row>
    <row r="106" spans="1:24">
      <c r="B106" s="16"/>
      <c r="C106" s="16"/>
      <c r="D106" s="16"/>
      <c r="E106" s="16"/>
      <c r="F106" s="17"/>
    </row>
    <row r="107" spans="1:24">
      <c r="B107" s="12"/>
      <c r="C107" s="12"/>
      <c r="D107" s="12"/>
      <c r="E107" s="12"/>
      <c r="F107" s="13"/>
    </row>
    <row r="108" spans="1:24" s="20" customFormat="1">
      <c r="B108" s="21"/>
      <c r="C108" s="21"/>
      <c r="D108" s="21"/>
      <c r="E108" s="21"/>
      <c r="F108" s="22"/>
      <c r="W108" s="6"/>
      <c r="X108" s="6"/>
    </row>
    <row r="109" spans="1:24">
      <c r="B109" s="8"/>
      <c r="C109" s="8"/>
      <c r="D109" s="8"/>
      <c r="E109" s="8"/>
      <c r="F109" s="23"/>
      <c r="W109" s="20"/>
      <c r="X109" s="20"/>
    </row>
    <row r="110" spans="1:24">
      <c r="B110" s="8"/>
      <c r="C110" s="8"/>
      <c r="D110" s="8"/>
      <c r="E110" s="8"/>
      <c r="F110" s="25"/>
    </row>
    <row r="111" spans="1:24">
      <c r="B111" s="8"/>
      <c r="C111" s="8"/>
      <c r="D111" s="8"/>
      <c r="E111" s="8"/>
      <c r="F111" s="23"/>
    </row>
    <row r="112" spans="1:24">
      <c r="A112" s="16"/>
      <c r="B112" s="16"/>
      <c r="C112" s="16"/>
      <c r="D112" s="16"/>
      <c r="E112" s="16"/>
      <c r="F112" s="16"/>
    </row>
    <row r="113" spans="2:6">
      <c r="B113" s="7"/>
      <c r="C113" s="7"/>
      <c r="D113" s="7"/>
      <c r="E113" s="7"/>
      <c r="F113" s="14"/>
    </row>
    <row r="114" spans="2:6">
      <c r="B114" s="7"/>
      <c r="C114" s="7"/>
      <c r="D114" s="7"/>
      <c r="E114" s="7"/>
      <c r="F114" s="14"/>
    </row>
    <row r="115" spans="2:6">
      <c r="B115" s="7"/>
      <c r="C115" s="7"/>
      <c r="D115" s="7"/>
      <c r="E115" s="7"/>
      <c r="F115" s="14"/>
    </row>
    <row r="116" spans="2:6">
      <c r="B116" s="7"/>
      <c r="C116" s="7"/>
      <c r="D116" s="7"/>
      <c r="E116" s="7"/>
      <c r="F116" s="14"/>
    </row>
    <row r="117" spans="2:6">
      <c r="B117" s="7"/>
      <c r="C117" s="7"/>
      <c r="D117" s="7"/>
      <c r="E117" s="7"/>
      <c r="F117" s="14"/>
    </row>
    <row r="118" spans="2:6">
      <c r="B118" s="7"/>
      <c r="C118" s="7"/>
      <c r="D118" s="7"/>
      <c r="E118" s="7"/>
      <c r="F118" s="14"/>
    </row>
    <row r="119" spans="2:6">
      <c r="B119" s="28"/>
      <c r="C119" s="28"/>
      <c r="D119" s="28"/>
      <c r="E119" s="28"/>
      <c r="F119" s="14"/>
    </row>
    <row r="120" spans="2:6">
      <c r="B120" s="28"/>
      <c r="C120" s="28"/>
      <c r="D120" s="28"/>
      <c r="E120" s="28"/>
      <c r="F120" s="14"/>
    </row>
    <row r="121" spans="2:6">
      <c r="B121" s="28"/>
      <c r="C121" s="28"/>
      <c r="D121" s="28"/>
      <c r="E121" s="28"/>
      <c r="F121" s="14"/>
    </row>
    <row r="122" spans="2:6">
      <c r="B122" s="28"/>
      <c r="C122" s="28"/>
      <c r="D122" s="28"/>
      <c r="E122" s="28"/>
      <c r="F122" s="14"/>
    </row>
    <row r="123" spans="2:6">
      <c r="B123" s="28"/>
      <c r="C123" s="28"/>
      <c r="D123" s="28"/>
      <c r="E123" s="28"/>
      <c r="F123" s="28"/>
    </row>
    <row r="124" spans="2:6">
      <c r="B124" s="28"/>
      <c r="C124" s="28"/>
      <c r="D124" s="28"/>
      <c r="E124" s="28"/>
      <c r="F124" s="28"/>
    </row>
    <row r="125" spans="2:6">
      <c r="B125" s="28"/>
      <c r="C125" s="28"/>
      <c r="D125" s="28"/>
      <c r="E125" s="28"/>
      <c r="F125" s="28"/>
    </row>
    <row r="126" spans="2:6">
      <c r="B126" s="28"/>
      <c r="C126" s="28"/>
      <c r="D126" s="28"/>
      <c r="E126" s="28"/>
      <c r="F126" s="28"/>
    </row>
    <row r="127" spans="2:6">
      <c r="B127" s="28"/>
      <c r="C127" s="28"/>
      <c r="D127" s="28"/>
      <c r="E127" s="28"/>
      <c r="F127" s="28"/>
    </row>
    <row r="128" spans="2:6">
      <c r="B128" s="28"/>
      <c r="C128" s="28"/>
      <c r="D128" s="28"/>
      <c r="E128" s="28"/>
      <c r="F128" s="28"/>
    </row>
    <row r="129" spans="2:6">
      <c r="B129" s="28"/>
      <c r="C129" s="28"/>
      <c r="D129" s="28"/>
      <c r="E129" s="28"/>
      <c r="F129" s="28"/>
    </row>
    <row r="130" spans="2:6">
      <c r="B130" s="28"/>
      <c r="C130" s="28"/>
      <c r="D130" s="28"/>
      <c r="E130" s="28"/>
      <c r="F130" s="28"/>
    </row>
    <row r="131" spans="2:6">
      <c r="B131" s="28"/>
      <c r="C131" s="28"/>
      <c r="D131" s="28"/>
      <c r="E131" s="28"/>
      <c r="F131" s="28"/>
    </row>
    <row r="132" spans="2:6">
      <c r="B132" s="28"/>
      <c r="C132" s="28"/>
      <c r="D132" s="28"/>
      <c r="E132" s="28"/>
      <c r="F132" s="28"/>
    </row>
    <row r="133" spans="2:6">
      <c r="B133" s="28"/>
      <c r="C133" s="28"/>
      <c r="D133" s="28"/>
      <c r="E133" s="28"/>
      <c r="F133" s="28"/>
    </row>
    <row r="134" spans="2:6">
      <c r="B134" s="28"/>
      <c r="C134" s="28"/>
      <c r="D134" s="28"/>
      <c r="E134" s="28"/>
      <c r="F134" s="28"/>
    </row>
    <row r="135" spans="2:6">
      <c r="B135" s="28"/>
      <c r="C135" s="28"/>
      <c r="D135" s="28"/>
      <c r="E135" s="28"/>
      <c r="F135" s="28"/>
    </row>
    <row r="136" spans="2:6">
      <c r="B136" s="28"/>
      <c r="C136" s="28"/>
      <c r="D136" s="28"/>
      <c r="E136" s="28"/>
      <c r="F136" s="28"/>
    </row>
    <row r="137" spans="2:6">
      <c r="B137" s="28"/>
      <c r="C137" s="28"/>
      <c r="D137" s="28"/>
      <c r="E137" s="28"/>
      <c r="F137" s="28"/>
    </row>
    <row r="138" spans="2:6">
      <c r="B138" s="28"/>
      <c r="C138" s="28"/>
      <c r="D138" s="28"/>
      <c r="E138" s="28"/>
      <c r="F138" s="28"/>
    </row>
    <row r="139" spans="2:6">
      <c r="B139" s="28"/>
      <c r="C139" s="28"/>
      <c r="D139" s="28"/>
      <c r="E139" s="28"/>
      <c r="F139" s="28"/>
    </row>
    <row r="140" spans="2:6">
      <c r="B140" s="28"/>
      <c r="C140" s="28"/>
      <c r="D140" s="28"/>
      <c r="E140" s="28"/>
      <c r="F140" s="28"/>
    </row>
    <row r="141" spans="2:6">
      <c r="B141" s="28"/>
      <c r="C141" s="28"/>
      <c r="D141" s="28"/>
      <c r="E141" s="28"/>
      <c r="F141" s="28"/>
    </row>
    <row r="142" spans="2:6">
      <c r="B142" s="28"/>
      <c r="C142" s="28"/>
      <c r="D142" s="28"/>
      <c r="E142" s="28"/>
      <c r="F142" s="28"/>
    </row>
    <row r="143" spans="2:6">
      <c r="B143" s="28"/>
      <c r="C143" s="28"/>
      <c r="D143" s="28"/>
      <c r="E143" s="28"/>
      <c r="F143" s="28"/>
    </row>
    <row r="144" spans="2:6">
      <c r="B144" s="28"/>
      <c r="C144" s="28"/>
      <c r="D144" s="28"/>
      <c r="E144" s="28"/>
      <c r="F144" s="28"/>
    </row>
    <row r="145" spans="2:6">
      <c r="B145" s="28"/>
      <c r="C145" s="28"/>
      <c r="D145" s="28"/>
      <c r="E145" s="28"/>
      <c r="F145" s="28"/>
    </row>
    <row r="146" spans="2:6">
      <c r="B146" s="28"/>
      <c r="C146" s="28"/>
      <c r="D146" s="28"/>
      <c r="E146" s="28"/>
      <c r="F146" s="28"/>
    </row>
    <row r="147" spans="2:6">
      <c r="C147" s="28"/>
      <c r="D147" s="28"/>
      <c r="E147" s="28"/>
      <c r="F147" s="28"/>
    </row>
    <row r="148" spans="2:6">
      <c r="B148" s="28"/>
      <c r="C148" s="28"/>
      <c r="D148" s="28"/>
      <c r="E148" s="28"/>
      <c r="F148" s="28"/>
    </row>
    <row r="149" spans="2:6">
      <c r="B149" s="28"/>
      <c r="C149" s="28"/>
      <c r="D149" s="28"/>
      <c r="E149" s="28"/>
      <c r="F149" s="28"/>
    </row>
    <row r="150" spans="2:6">
      <c r="B150" s="28"/>
      <c r="C150" s="28"/>
      <c r="D150" s="28"/>
      <c r="E150" s="28"/>
      <c r="F150" s="28"/>
    </row>
    <row r="151" spans="2:6">
      <c r="B151" s="28"/>
      <c r="C151" s="28"/>
      <c r="D151" s="28"/>
      <c r="E151" s="28"/>
      <c r="F151" s="28"/>
    </row>
    <row r="152" spans="2:6">
      <c r="B152" s="28"/>
      <c r="C152" s="28"/>
      <c r="D152" s="28"/>
      <c r="E152" s="28"/>
      <c r="F152" s="28"/>
    </row>
    <row r="153" spans="2:6">
      <c r="B153" s="28"/>
      <c r="C153" s="28"/>
      <c r="D153" s="28"/>
      <c r="E153" s="28"/>
      <c r="F153" s="28"/>
    </row>
    <row r="154" spans="2:6">
      <c r="B154" s="28"/>
      <c r="C154" s="28"/>
      <c r="D154" s="28"/>
      <c r="E154" s="28"/>
      <c r="F154" s="28"/>
    </row>
    <row r="155" spans="2:6">
      <c r="B155" s="28"/>
      <c r="C155" s="28"/>
      <c r="D155" s="28"/>
      <c r="E155" s="28"/>
      <c r="F155" s="28"/>
    </row>
    <row r="156" spans="2:6">
      <c r="B156" s="28"/>
      <c r="C156" s="28"/>
      <c r="D156" s="28"/>
      <c r="E156" s="28"/>
      <c r="F156" s="28"/>
    </row>
    <row r="157" spans="2:6">
      <c r="B157" s="28"/>
      <c r="C157" s="28"/>
      <c r="D157" s="28"/>
      <c r="E157" s="28"/>
      <c r="F157" s="28"/>
    </row>
    <row r="158" spans="2:6">
      <c r="B158" s="28"/>
      <c r="C158" s="28"/>
      <c r="D158" s="28"/>
      <c r="E158" s="28"/>
      <c r="F158" s="28"/>
    </row>
    <row r="159" spans="2:6">
      <c r="B159" s="28"/>
      <c r="C159" s="28"/>
      <c r="D159" s="28"/>
      <c r="E159" s="28"/>
      <c r="F159" s="28"/>
    </row>
    <row r="160" spans="2:6">
      <c r="B160" s="28"/>
      <c r="C160" s="28"/>
      <c r="D160" s="28"/>
      <c r="E160" s="28"/>
      <c r="F160" s="28"/>
    </row>
  </sheetData>
  <mergeCells count="10">
    <mergeCell ref="A56:F56"/>
    <mergeCell ref="A100:F100"/>
    <mergeCell ref="A101:F101"/>
    <mergeCell ref="A102:F102"/>
    <mergeCell ref="B4:C4"/>
    <mergeCell ref="B26:C26"/>
    <mergeCell ref="A31:A32"/>
    <mergeCell ref="B31:C31"/>
    <mergeCell ref="D31:E31"/>
    <mergeCell ref="A55:L55"/>
  </mergeCells>
  <dataValidations count="2">
    <dataValidation type="list" allowBlank="1" showInputMessage="1" showErrorMessage="1" sqref="B4:C4">
      <formula1>bymonth</formula1>
    </dataValidation>
    <dataValidation type="list" allowBlank="1" showInputMessage="1" showErrorMessage="1" sqref="B29 IX29 ST29 ACP29 AML29 AWH29 BGD29 BPZ29 BZV29 CJR29 CTN29 DDJ29 DNF29 DXB29 EGX29 EQT29 FAP29 FKL29 FUH29 GED29 GNZ29 GXV29 HHR29 HRN29 IBJ29 ILF29 IVB29 JEX29 JOT29 JYP29 KIL29 KSH29 LCD29 LLZ29 LVV29 MFR29 MPN29 MZJ29 NJF29 NTB29 OCX29 OMT29 OWP29 PGL29 PQH29 QAD29 QJZ29 QTV29 RDR29 RNN29 RXJ29 SHF29 SRB29 TAX29 TKT29 TUP29 UEL29 UOH29 UYD29 VHZ29 VRV29 WBR29 WLN29 WVJ29 B65565 IX65565 ST65565 ACP65565 AML65565 AWH65565 BGD65565 BPZ65565 BZV65565 CJR65565 CTN65565 DDJ65565 DNF65565 DXB65565 EGX65565 EQT65565 FAP65565 FKL65565 FUH65565 GED65565 GNZ65565 GXV65565 HHR65565 HRN65565 IBJ65565 ILF65565 IVB65565 JEX65565 JOT65565 JYP65565 KIL65565 KSH65565 LCD65565 LLZ65565 LVV65565 MFR65565 MPN65565 MZJ65565 NJF65565 NTB65565 OCX65565 OMT65565 OWP65565 PGL65565 PQH65565 QAD65565 QJZ65565 QTV65565 RDR65565 RNN65565 RXJ65565 SHF65565 SRB65565 TAX65565 TKT65565 TUP65565 UEL65565 UOH65565 UYD65565 VHZ65565 VRV65565 WBR65565 WLN65565 WVJ65565 B131101 IX131101 ST131101 ACP131101 AML131101 AWH131101 BGD131101 BPZ131101 BZV131101 CJR131101 CTN131101 DDJ131101 DNF131101 DXB131101 EGX131101 EQT131101 FAP131101 FKL131101 FUH131101 GED131101 GNZ131101 GXV131101 HHR131101 HRN131101 IBJ131101 ILF131101 IVB131101 JEX131101 JOT131101 JYP131101 KIL131101 KSH131101 LCD131101 LLZ131101 LVV131101 MFR131101 MPN131101 MZJ131101 NJF131101 NTB131101 OCX131101 OMT131101 OWP131101 PGL131101 PQH131101 QAD131101 QJZ131101 QTV131101 RDR131101 RNN131101 RXJ131101 SHF131101 SRB131101 TAX131101 TKT131101 TUP131101 UEL131101 UOH131101 UYD131101 VHZ131101 VRV131101 WBR131101 WLN131101 WVJ131101 B196637 IX196637 ST196637 ACP196637 AML196637 AWH196637 BGD196637 BPZ196637 BZV196637 CJR196637 CTN196637 DDJ196637 DNF196637 DXB196637 EGX196637 EQT196637 FAP196637 FKL196637 FUH196637 GED196637 GNZ196637 GXV196637 HHR196637 HRN196637 IBJ196637 ILF196637 IVB196637 JEX196637 JOT196637 JYP196637 KIL196637 KSH196637 LCD196637 LLZ196637 LVV196637 MFR196637 MPN196637 MZJ196637 NJF196637 NTB196637 OCX196637 OMT196637 OWP196637 PGL196637 PQH196637 QAD196637 QJZ196637 QTV196637 RDR196637 RNN196637 RXJ196637 SHF196637 SRB196637 TAX196637 TKT196637 TUP196637 UEL196637 UOH196637 UYD196637 VHZ196637 VRV196637 WBR196637 WLN196637 WVJ196637 B262173 IX262173 ST262173 ACP262173 AML262173 AWH262173 BGD262173 BPZ262173 BZV262173 CJR262173 CTN262173 DDJ262173 DNF262173 DXB262173 EGX262173 EQT262173 FAP262173 FKL262173 FUH262173 GED262173 GNZ262173 GXV262173 HHR262173 HRN262173 IBJ262173 ILF262173 IVB262173 JEX262173 JOT262173 JYP262173 KIL262173 KSH262173 LCD262173 LLZ262173 LVV262173 MFR262173 MPN262173 MZJ262173 NJF262173 NTB262173 OCX262173 OMT262173 OWP262173 PGL262173 PQH262173 QAD262173 QJZ262173 QTV262173 RDR262173 RNN262173 RXJ262173 SHF262173 SRB262173 TAX262173 TKT262173 TUP262173 UEL262173 UOH262173 UYD262173 VHZ262173 VRV262173 WBR262173 WLN262173 WVJ262173 B327709 IX327709 ST327709 ACP327709 AML327709 AWH327709 BGD327709 BPZ327709 BZV327709 CJR327709 CTN327709 DDJ327709 DNF327709 DXB327709 EGX327709 EQT327709 FAP327709 FKL327709 FUH327709 GED327709 GNZ327709 GXV327709 HHR327709 HRN327709 IBJ327709 ILF327709 IVB327709 JEX327709 JOT327709 JYP327709 KIL327709 KSH327709 LCD327709 LLZ327709 LVV327709 MFR327709 MPN327709 MZJ327709 NJF327709 NTB327709 OCX327709 OMT327709 OWP327709 PGL327709 PQH327709 QAD327709 QJZ327709 QTV327709 RDR327709 RNN327709 RXJ327709 SHF327709 SRB327709 TAX327709 TKT327709 TUP327709 UEL327709 UOH327709 UYD327709 VHZ327709 VRV327709 WBR327709 WLN327709 WVJ327709 B393245 IX393245 ST393245 ACP393245 AML393245 AWH393245 BGD393245 BPZ393245 BZV393245 CJR393245 CTN393245 DDJ393245 DNF393245 DXB393245 EGX393245 EQT393245 FAP393245 FKL393245 FUH393245 GED393245 GNZ393245 GXV393245 HHR393245 HRN393245 IBJ393245 ILF393245 IVB393245 JEX393245 JOT393245 JYP393245 KIL393245 KSH393245 LCD393245 LLZ393245 LVV393245 MFR393245 MPN393245 MZJ393245 NJF393245 NTB393245 OCX393245 OMT393245 OWP393245 PGL393245 PQH393245 QAD393245 QJZ393245 QTV393245 RDR393245 RNN393245 RXJ393245 SHF393245 SRB393245 TAX393245 TKT393245 TUP393245 UEL393245 UOH393245 UYD393245 VHZ393245 VRV393245 WBR393245 WLN393245 WVJ393245 B458781 IX458781 ST458781 ACP458781 AML458781 AWH458781 BGD458781 BPZ458781 BZV458781 CJR458781 CTN458781 DDJ458781 DNF458781 DXB458781 EGX458781 EQT458781 FAP458781 FKL458781 FUH458781 GED458781 GNZ458781 GXV458781 HHR458781 HRN458781 IBJ458781 ILF458781 IVB458781 JEX458781 JOT458781 JYP458781 KIL458781 KSH458781 LCD458781 LLZ458781 LVV458781 MFR458781 MPN458781 MZJ458781 NJF458781 NTB458781 OCX458781 OMT458781 OWP458781 PGL458781 PQH458781 QAD458781 QJZ458781 QTV458781 RDR458781 RNN458781 RXJ458781 SHF458781 SRB458781 TAX458781 TKT458781 TUP458781 UEL458781 UOH458781 UYD458781 VHZ458781 VRV458781 WBR458781 WLN458781 WVJ458781 B524317 IX524317 ST524317 ACP524317 AML524317 AWH524317 BGD524317 BPZ524317 BZV524317 CJR524317 CTN524317 DDJ524317 DNF524317 DXB524317 EGX524317 EQT524317 FAP524317 FKL524317 FUH524317 GED524317 GNZ524317 GXV524317 HHR524317 HRN524317 IBJ524317 ILF524317 IVB524317 JEX524317 JOT524317 JYP524317 KIL524317 KSH524317 LCD524317 LLZ524317 LVV524317 MFR524317 MPN524317 MZJ524317 NJF524317 NTB524317 OCX524317 OMT524317 OWP524317 PGL524317 PQH524317 QAD524317 QJZ524317 QTV524317 RDR524317 RNN524317 RXJ524317 SHF524317 SRB524317 TAX524317 TKT524317 TUP524317 UEL524317 UOH524317 UYD524317 VHZ524317 VRV524317 WBR524317 WLN524317 WVJ524317 B589853 IX589853 ST589853 ACP589853 AML589853 AWH589853 BGD589853 BPZ589853 BZV589853 CJR589853 CTN589853 DDJ589853 DNF589853 DXB589853 EGX589853 EQT589853 FAP589853 FKL589853 FUH589853 GED589853 GNZ589853 GXV589853 HHR589853 HRN589853 IBJ589853 ILF589853 IVB589853 JEX589853 JOT589853 JYP589853 KIL589853 KSH589853 LCD589853 LLZ589853 LVV589853 MFR589853 MPN589853 MZJ589853 NJF589853 NTB589853 OCX589853 OMT589853 OWP589853 PGL589853 PQH589853 QAD589853 QJZ589853 QTV589853 RDR589853 RNN589853 RXJ589853 SHF589853 SRB589853 TAX589853 TKT589853 TUP589853 UEL589853 UOH589853 UYD589853 VHZ589853 VRV589853 WBR589853 WLN589853 WVJ589853 B655389 IX655389 ST655389 ACP655389 AML655389 AWH655389 BGD655389 BPZ655389 BZV655389 CJR655389 CTN655389 DDJ655389 DNF655389 DXB655389 EGX655389 EQT655389 FAP655389 FKL655389 FUH655389 GED655389 GNZ655389 GXV655389 HHR655389 HRN655389 IBJ655389 ILF655389 IVB655389 JEX655389 JOT655389 JYP655389 KIL655389 KSH655389 LCD655389 LLZ655389 LVV655389 MFR655389 MPN655389 MZJ655389 NJF655389 NTB655389 OCX655389 OMT655389 OWP655389 PGL655389 PQH655389 QAD655389 QJZ655389 QTV655389 RDR655389 RNN655389 RXJ655389 SHF655389 SRB655389 TAX655389 TKT655389 TUP655389 UEL655389 UOH655389 UYD655389 VHZ655389 VRV655389 WBR655389 WLN655389 WVJ655389 B720925 IX720925 ST720925 ACP720925 AML720925 AWH720925 BGD720925 BPZ720925 BZV720925 CJR720925 CTN720925 DDJ720925 DNF720925 DXB720925 EGX720925 EQT720925 FAP720925 FKL720925 FUH720925 GED720925 GNZ720925 GXV720925 HHR720925 HRN720925 IBJ720925 ILF720925 IVB720925 JEX720925 JOT720925 JYP720925 KIL720925 KSH720925 LCD720925 LLZ720925 LVV720925 MFR720925 MPN720925 MZJ720925 NJF720925 NTB720925 OCX720925 OMT720925 OWP720925 PGL720925 PQH720925 QAD720925 QJZ720925 QTV720925 RDR720925 RNN720925 RXJ720925 SHF720925 SRB720925 TAX720925 TKT720925 TUP720925 UEL720925 UOH720925 UYD720925 VHZ720925 VRV720925 WBR720925 WLN720925 WVJ720925 B786461 IX786461 ST786461 ACP786461 AML786461 AWH786461 BGD786461 BPZ786461 BZV786461 CJR786461 CTN786461 DDJ786461 DNF786461 DXB786461 EGX786461 EQT786461 FAP786461 FKL786461 FUH786461 GED786461 GNZ786461 GXV786461 HHR786461 HRN786461 IBJ786461 ILF786461 IVB786461 JEX786461 JOT786461 JYP786461 KIL786461 KSH786461 LCD786461 LLZ786461 LVV786461 MFR786461 MPN786461 MZJ786461 NJF786461 NTB786461 OCX786461 OMT786461 OWP786461 PGL786461 PQH786461 QAD786461 QJZ786461 QTV786461 RDR786461 RNN786461 RXJ786461 SHF786461 SRB786461 TAX786461 TKT786461 TUP786461 UEL786461 UOH786461 UYD786461 VHZ786461 VRV786461 WBR786461 WLN786461 WVJ786461 B851997 IX851997 ST851997 ACP851997 AML851997 AWH851997 BGD851997 BPZ851997 BZV851997 CJR851997 CTN851997 DDJ851997 DNF851997 DXB851997 EGX851997 EQT851997 FAP851997 FKL851997 FUH851997 GED851997 GNZ851997 GXV851997 HHR851997 HRN851997 IBJ851997 ILF851997 IVB851997 JEX851997 JOT851997 JYP851997 KIL851997 KSH851997 LCD851997 LLZ851997 LVV851997 MFR851997 MPN851997 MZJ851997 NJF851997 NTB851997 OCX851997 OMT851997 OWP851997 PGL851997 PQH851997 QAD851997 QJZ851997 QTV851997 RDR851997 RNN851997 RXJ851997 SHF851997 SRB851997 TAX851997 TKT851997 TUP851997 UEL851997 UOH851997 UYD851997 VHZ851997 VRV851997 WBR851997 WLN851997 WVJ851997 B917533 IX917533 ST917533 ACP917533 AML917533 AWH917533 BGD917533 BPZ917533 BZV917533 CJR917533 CTN917533 DDJ917533 DNF917533 DXB917533 EGX917533 EQT917533 FAP917533 FKL917533 FUH917533 GED917533 GNZ917533 GXV917533 HHR917533 HRN917533 IBJ917533 ILF917533 IVB917533 JEX917533 JOT917533 JYP917533 KIL917533 KSH917533 LCD917533 LLZ917533 LVV917533 MFR917533 MPN917533 MZJ917533 NJF917533 NTB917533 OCX917533 OMT917533 OWP917533 PGL917533 PQH917533 QAD917533 QJZ917533 QTV917533 RDR917533 RNN917533 RXJ917533 SHF917533 SRB917533 TAX917533 TKT917533 TUP917533 UEL917533 UOH917533 UYD917533 VHZ917533 VRV917533 WBR917533 WLN917533 WVJ917533 B983069 IX983069 ST983069 ACP983069 AML983069 AWH983069 BGD983069 BPZ983069 BZV983069 CJR983069 CTN983069 DDJ983069 DNF983069 DXB983069 EGX983069 EQT983069 FAP983069 FKL983069 FUH983069 GED983069 GNZ983069 GXV983069 HHR983069 HRN983069 IBJ983069 ILF983069 IVB983069 JEX983069 JOT983069 JYP983069 KIL983069 KSH983069 LCD983069 LLZ983069 LVV983069 MFR983069 MPN983069 MZJ983069 NJF983069 NTB983069 OCX983069 OMT983069 OWP983069 PGL983069 PQH983069 QAD983069 QJZ983069 QTV983069 RDR983069 RNN983069 RXJ983069 SHF983069 SRB983069 TAX983069 TKT983069 TUP983069 UEL983069 UOH983069 UYD983069 VHZ983069 VRV983069 WBR983069 WLN983069 WVJ983069 WVJ983044:WVJ983045 IX4:IX5 ST4:ST5 ACP4:ACP5 AML4:AML5 AWH4:AWH5 BGD4:BGD5 BPZ4:BPZ5 BZV4:BZV5 CJR4:CJR5 CTN4:CTN5 DDJ4:DDJ5 DNF4:DNF5 DXB4:DXB5 EGX4:EGX5 EQT4:EQT5 FAP4:FAP5 FKL4:FKL5 FUH4:FUH5 GED4:GED5 GNZ4:GNZ5 GXV4:GXV5 HHR4:HHR5 HRN4:HRN5 IBJ4:IBJ5 ILF4:ILF5 IVB4:IVB5 JEX4:JEX5 JOT4:JOT5 JYP4:JYP5 KIL4:KIL5 KSH4:KSH5 LCD4:LCD5 LLZ4:LLZ5 LVV4:LVV5 MFR4:MFR5 MPN4:MPN5 MZJ4:MZJ5 NJF4:NJF5 NTB4:NTB5 OCX4:OCX5 OMT4:OMT5 OWP4:OWP5 PGL4:PGL5 PQH4:PQH5 QAD4:QAD5 QJZ4:QJZ5 QTV4:QTV5 RDR4:RDR5 RNN4:RNN5 RXJ4:RXJ5 SHF4:SHF5 SRB4:SRB5 TAX4:TAX5 TKT4:TKT5 TUP4:TUP5 UEL4:UEL5 UOH4:UOH5 UYD4:UYD5 VHZ4:VHZ5 VRV4:VRV5 WBR4:WBR5 WLN4:WLN5 WVJ4:WVJ5 B65540:B65541 IX65540:IX65541 ST65540:ST65541 ACP65540:ACP65541 AML65540:AML65541 AWH65540:AWH65541 BGD65540:BGD65541 BPZ65540:BPZ65541 BZV65540:BZV65541 CJR65540:CJR65541 CTN65540:CTN65541 DDJ65540:DDJ65541 DNF65540:DNF65541 DXB65540:DXB65541 EGX65540:EGX65541 EQT65540:EQT65541 FAP65540:FAP65541 FKL65540:FKL65541 FUH65540:FUH65541 GED65540:GED65541 GNZ65540:GNZ65541 GXV65540:GXV65541 HHR65540:HHR65541 HRN65540:HRN65541 IBJ65540:IBJ65541 ILF65540:ILF65541 IVB65540:IVB65541 JEX65540:JEX65541 JOT65540:JOT65541 JYP65540:JYP65541 KIL65540:KIL65541 KSH65540:KSH65541 LCD65540:LCD65541 LLZ65540:LLZ65541 LVV65540:LVV65541 MFR65540:MFR65541 MPN65540:MPN65541 MZJ65540:MZJ65541 NJF65540:NJF65541 NTB65540:NTB65541 OCX65540:OCX65541 OMT65540:OMT65541 OWP65540:OWP65541 PGL65540:PGL65541 PQH65540:PQH65541 QAD65540:QAD65541 QJZ65540:QJZ65541 QTV65540:QTV65541 RDR65540:RDR65541 RNN65540:RNN65541 RXJ65540:RXJ65541 SHF65540:SHF65541 SRB65540:SRB65541 TAX65540:TAX65541 TKT65540:TKT65541 TUP65540:TUP65541 UEL65540:UEL65541 UOH65540:UOH65541 UYD65540:UYD65541 VHZ65540:VHZ65541 VRV65540:VRV65541 WBR65540:WBR65541 WLN65540:WLN65541 WVJ65540:WVJ65541 B131076:B131077 IX131076:IX131077 ST131076:ST131077 ACP131076:ACP131077 AML131076:AML131077 AWH131076:AWH131077 BGD131076:BGD131077 BPZ131076:BPZ131077 BZV131076:BZV131077 CJR131076:CJR131077 CTN131076:CTN131077 DDJ131076:DDJ131077 DNF131076:DNF131077 DXB131076:DXB131077 EGX131076:EGX131077 EQT131076:EQT131077 FAP131076:FAP131077 FKL131076:FKL131077 FUH131076:FUH131077 GED131076:GED131077 GNZ131076:GNZ131077 GXV131076:GXV131077 HHR131076:HHR131077 HRN131076:HRN131077 IBJ131076:IBJ131077 ILF131076:ILF131077 IVB131076:IVB131077 JEX131076:JEX131077 JOT131076:JOT131077 JYP131076:JYP131077 KIL131076:KIL131077 KSH131076:KSH131077 LCD131076:LCD131077 LLZ131076:LLZ131077 LVV131076:LVV131077 MFR131076:MFR131077 MPN131076:MPN131077 MZJ131076:MZJ131077 NJF131076:NJF131077 NTB131076:NTB131077 OCX131076:OCX131077 OMT131076:OMT131077 OWP131076:OWP131077 PGL131076:PGL131077 PQH131076:PQH131077 QAD131076:QAD131077 QJZ131076:QJZ131077 QTV131076:QTV131077 RDR131076:RDR131077 RNN131076:RNN131077 RXJ131076:RXJ131077 SHF131076:SHF131077 SRB131076:SRB131077 TAX131076:TAX131077 TKT131076:TKT131077 TUP131076:TUP131077 UEL131076:UEL131077 UOH131076:UOH131077 UYD131076:UYD131077 VHZ131076:VHZ131077 VRV131076:VRV131077 WBR131076:WBR131077 WLN131076:WLN131077 WVJ131076:WVJ131077 B196612:B196613 IX196612:IX196613 ST196612:ST196613 ACP196612:ACP196613 AML196612:AML196613 AWH196612:AWH196613 BGD196612:BGD196613 BPZ196612:BPZ196613 BZV196612:BZV196613 CJR196612:CJR196613 CTN196612:CTN196613 DDJ196612:DDJ196613 DNF196612:DNF196613 DXB196612:DXB196613 EGX196612:EGX196613 EQT196612:EQT196613 FAP196612:FAP196613 FKL196612:FKL196613 FUH196612:FUH196613 GED196612:GED196613 GNZ196612:GNZ196613 GXV196612:GXV196613 HHR196612:HHR196613 HRN196612:HRN196613 IBJ196612:IBJ196613 ILF196612:ILF196613 IVB196612:IVB196613 JEX196612:JEX196613 JOT196612:JOT196613 JYP196612:JYP196613 KIL196612:KIL196613 KSH196612:KSH196613 LCD196612:LCD196613 LLZ196612:LLZ196613 LVV196612:LVV196613 MFR196612:MFR196613 MPN196612:MPN196613 MZJ196612:MZJ196613 NJF196612:NJF196613 NTB196612:NTB196613 OCX196612:OCX196613 OMT196612:OMT196613 OWP196612:OWP196613 PGL196612:PGL196613 PQH196612:PQH196613 QAD196612:QAD196613 QJZ196612:QJZ196613 QTV196612:QTV196613 RDR196612:RDR196613 RNN196612:RNN196613 RXJ196612:RXJ196613 SHF196612:SHF196613 SRB196612:SRB196613 TAX196612:TAX196613 TKT196612:TKT196613 TUP196612:TUP196613 UEL196612:UEL196613 UOH196612:UOH196613 UYD196612:UYD196613 VHZ196612:VHZ196613 VRV196612:VRV196613 WBR196612:WBR196613 WLN196612:WLN196613 WVJ196612:WVJ196613 B262148:B262149 IX262148:IX262149 ST262148:ST262149 ACP262148:ACP262149 AML262148:AML262149 AWH262148:AWH262149 BGD262148:BGD262149 BPZ262148:BPZ262149 BZV262148:BZV262149 CJR262148:CJR262149 CTN262148:CTN262149 DDJ262148:DDJ262149 DNF262148:DNF262149 DXB262148:DXB262149 EGX262148:EGX262149 EQT262148:EQT262149 FAP262148:FAP262149 FKL262148:FKL262149 FUH262148:FUH262149 GED262148:GED262149 GNZ262148:GNZ262149 GXV262148:GXV262149 HHR262148:HHR262149 HRN262148:HRN262149 IBJ262148:IBJ262149 ILF262148:ILF262149 IVB262148:IVB262149 JEX262148:JEX262149 JOT262148:JOT262149 JYP262148:JYP262149 KIL262148:KIL262149 KSH262148:KSH262149 LCD262148:LCD262149 LLZ262148:LLZ262149 LVV262148:LVV262149 MFR262148:MFR262149 MPN262148:MPN262149 MZJ262148:MZJ262149 NJF262148:NJF262149 NTB262148:NTB262149 OCX262148:OCX262149 OMT262148:OMT262149 OWP262148:OWP262149 PGL262148:PGL262149 PQH262148:PQH262149 QAD262148:QAD262149 QJZ262148:QJZ262149 QTV262148:QTV262149 RDR262148:RDR262149 RNN262148:RNN262149 RXJ262148:RXJ262149 SHF262148:SHF262149 SRB262148:SRB262149 TAX262148:TAX262149 TKT262148:TKT262149 TUP262148:TUP262149 UEL262148:UEL262149 UOH262148:UOH262149 UYD262148:UYD262149 VHZ262148:VHZ262149 VRV262148:VRV262149 WBR262148:WBR262149 WLN262148:WLN262149 WVJ262148:WVJ262149 B327684:B327685 IX327684:IX327685 ST327684:ST327685 ACP327684:ACP327685 AML327684:AML327685 AWH327684:AWH327685 BGD327684:BGD327685 BPZ327684:BPZ327685 BZV327684:BZV327685 CJR327684:CJR327685 CTN327684:CTN327685 DDJ327684:DDJ327685 DNF327684:DNF327685 DXB327684:DXB327685 EGX327684:EGX327685 EQT327684:EQT327685 FAP327684:FAP327685 FKL327684:FKL327685 FUH327684:FUH327685 GED327684:GED327685 GNZ327684:GNZ327685 GXV327684:GXV327685 HHR327684:HHR327685 HRN327684:HRN327685 IBJ327684:IBJ327685 ILF327684:ILF327685 IVB327684:IVB327685 JEX327684:JEX327685 JOT327684:JOT327685 JYP327684:JYP327685 KIL327684:KIL327685 KSH327684:KSH327685 LCD327684:LCD327685 LLZ327684:LLZ327685 LVV327684:LVV327685 MFR327684:MFR327685 MPN327684:MPN327685 MZJ327684:MZJ327685 NJF327684:NJF327685 NTB327684:NTB327685 OCX327684:OCX327685 OMT327684:OMT327685 OWP327684:OWP327685 PGL327684:PGL327685 PQH327684:PQH327685 QAD327684:QAD327685 QJZ327684:QJZ327685 QTV327684:QTV327685 RDR327684:RDR327685 RNN327684:RNN327685 RXJ327684:RXJ327685 SHF327684:SHF327685 SRB327684:SRB327685 TAX327684:TAX327685 TKT327684:TKT327685 TUP327684:TUP327685 UEL327684:UEL327685 UOH327684:UOH327685 UYD327684:UYD327685 VHZ327684:VHZ327685 VRV327684:VRV327685 WBR327684:WBR327685 WLN327684:WLN327685 WVJ327684:WVJ327685 B393220:B393221 IX393220:IX393221 ST393220:ST393221 ACP393220:ACP393221 AML393220:AML393221 AWH393220:AWH393221 BGD393220:BGD393221 BPZ393220:BPZ393221 BZV393220:BZV393221 CJR393220:CJR393221 CTN393220:CTN393221 DDJ393220:DDJ393221 DNF393220:DNF393221 DXB393220:DXB393221 EGX393220:EGX393221 EQT393220:EQT393221 FAP393220:FAP393221 FKL393220:FKL393221 FUH393220:FUH393221 GED393220:GED393221 GNZ393220:GNZ393221 GXV393220:GXV393221 HHR393220:HHR393221 HRN393220:HRN393221 IBJ393220:IBJ393221 ILF393220:ILF393221 IVB393220:IVB393221 JEX393220:JEX393221 JOT393220:JOT393221 JYP393220:JYP393221 KIL393220:KIL393221 KSH393220:KSH393221 LCD393220:LCD393221 LLZ393220:LLZ393221 LVV393220:LVV393221 MFR393220:MFR393221 MPN393220:MPN393221 MZJ393220:MZJ393221 NJF393220:NJF393221 NTB393220:NTB393221 OCX393220:OCX393221 OMT393220:OMT393221 OWP393220:OWP393221 PGL393220:PGL393221 PQH393220:PQH393221 QAD393220:QAD393221 QJZ393220:QJZ393221 QTV393220:QTV393221 RDR393220:RDR393221 RNN393220:RNN393221 RXJ393220:RXJ393221 SHF393220:SHF393221 SRB393220:SRB393221 TAX393220:TAX393221 TKT393220:TKT393221 TUP393220:TUP393221 UEL393220:UEL393221 UOH393220:UOH393221 UYD393220:UYD393221 VHZ393220:VHZ393221 VRV393220:VRV393221 WBR393220:WBR393221 WLN393220:WLN393221 WVJ393220:WVJ393221 B458756:B458757 IX458756:IX458757 ST458756:ST458757 ACP458756:ACP458757 AML458756:AML458757 AWH458756:AWH458757 BGD458756:BGD458757 BPZ458756:BPZ458757 BZV458756:BZV458757 CJR458756:CJR458757 CTN458756:CTN458757 DDJ458756:DDJ458757 DNF458756:DNF458757 DXB458756:DXB458757 EGX458756:EGX458757 EQT458756:EQT458757 FAP458756:FAP458757 FKL458756:FKL458757 FUH458756:FUH458757 GED458756:GED458757 GNZ458756:GNZ458757 GXV458756:GXV458757 HHR458756:HHR458757 HRN458756:HRN458757 IBJ458756:IBJ458757 ILF458756:ILF458757 IVB458756:IVB458757 JEX458756:JEX458757 JOT458756:JOT458757 JYP458756:JYP458757 KIL458756:KIL458757 KSH458756:KSH458757 LCD458756:LCD458757 LLZ458756:LLZ458757 LVV458756:LVV458757 MFR458756:MFR458757 MPN458756:MPN458757 MZJ458756:MZJ458757 NJF458756:NJF458757 NTB458756:NTB458757 OCX458756:OCX458757 OMT458756:OMT458757 OWP458756:OWP458757 PGL458756:PGL458757 PQH458756:PQH458757 QAD458756:QAD458757 QJZ458756:QJZ458757 QTV458756:QTV458757 RDR458756:RDR458757 RNN458756:RNN458757 RXJ458756:RXJ458757 SHF458756:SHF458757 SRB458756:SRB458757 TAX458756:TAX458757 TKT458756:TKT458757 TUP458756:TUP458757 UEL458756:UEL458757 UOH458756:UOH458757 UYD458756:UYD458757 VHZ458756:VHZ458757 VRV458756:VRV458757 WBR458756:WBR458757 WLN458756:WLN458757 WVJ458756:WVJ458757 B524292:B524293 IX524292:IX524293 ST524292:ST524293 ACP524292:ACP524293 AML524292:AML524293 AWH524292:AWH524293 BGD524292:BGD524293 BPZ524292:BPZ524293 BZV524292:BZV524293 CJR524292:CJR524293 CTN524292:CTN524293 DDJ524292:DDJ524293 DNF524292:DNF524293 DXB524292:DXB524293 EGX524292:EGX524293 EQT524292:EQT524293 FAP524292:FAP524293 FKL524292:FKL524293 FUH524292:FUH524293 GED524292:GED524293 GNZ524292:GNZ524293 GXV524292:GXV524293 HHR524292:HHR524293 HRN524292:HRN524293 IBJ524292:IBJ524293 ILF524292:ILF524293 IVB524292:IVB524293 JEX524292:JEX524293 JOT524292:JOT524293 JYP524292:JYP524293 KIL524292:KIL524293 KSH524292:KSH524293 LCD524292:LCD524293 LLZ524292:LLZ524293 LVV524292:LVV524293 MFR524292:MFR524293 MPN524292:MPN524293 MZJ524292:MZJ524293 NJF524292:NJF524293 NTB524292:NTB524293 OCX524292:OCX524293 OMT524292:OMT524293 OWP524292:OWP524293 PGL524292:PGL524293 PQH524292:PQH524293 QAD524292:QAD524293 QJZ524292:QJZ524293 QTV524292:QTV524293 RDR524292:RDR524293 RNN524292:RNN524293 RXJ524292:RXJ524293 SHF524292:SHF524293 SRB524292:SRB524293 TAX524292:TAX524293 TKT524292:TKT524293 TUP524292:TUP524293 UEL524292:UEL524293 UOH524292:UOH524293 UYD524292:UYD524293 VHZ524292:VHZ524293 VRV524292:VRV524293 WBR524292:WBR524293 WLN524292:WLN524293 WVJ524292:WVJ524293 B589828:B589829 IX589828:IX589829 ST589828:ST589829 ACP589828:ACP589829 AML589828:AML589829 AWH589828:AWH589829 BGD589828:BGD589829 BPZ589828:BPZ589829 BZV589828:BZV589829 CJR589828:CJR589829 CTN589828:CTN589829 DDJ589828:DDJ589829 DNF589828:DNF589829 DXB589828:DXB589829 EGX589828:EGX589829 EQT589828:EQT589829 FAP589828:FAP589829 FKL589828:FKL589829 FUH589828:FUH589829 GED589828:GED589829 GNZ589828:GNZ589829 GXV589828:GXV589829 HHR589828:HHR589829 HRN589828:HRN589829 IBJ589828:IBJ589829 ILF589828:ILF589829 IVB589828:IVB589829 JEX589828:JEX589829 JOT589828:JOT589829 JYP589828:JYP589829 KIL589828:KIL589829 KSH589828:KSH589829 LCD589828:LCD589829 LLZ589828:LLZ589829 LVV589828:LVV589829 MFR589828:MFR589829 MPN589828:MPN589829 MZJ589828:MZJ589829 NJF589828:NJF589829 NTB589828:NTB589829 OCX589828:OCX589829 OMT589828:OMT589829 OWP589828:OWP589829 PGL589828:PGL589829 PQH589828:PQH589829 QAD589828:QAD589829 QJZ589828:QJZ589829 QTV589828:QTV589829 RDR589828:RDR589829 RNN589828:RNN589829 RXJ589828:RXJ589829 SHF589828:SHF589829 SRB589828:SRB589829 TAX589828:TAX589829 TKT589828:TKT589829 TUP589828:TUP589829 UEL589828:UEL589829 UOH589828:UOH589829 UYD589828:UYD589829 VHZ589828:VHZ589829 VRV589828:VRV589829 WBR589828:WBR589829 WLN589828:WLN589829 WVJ589828:WVJ589829 B655364:B655365 IX655364:IX655365 ST655364:ST655365 ACP655364:ACP655365 AML655364:AML655365 AWH655364:AWH655365 BGD655364:BGD655365 BPZ655364:BPZ655365 BZV655364:BZV655365 CJR655364:CJR655365 CTN655364:CTN655365 DDJ655364:DDJ655365 DNF655364:DNF655365 DXB655364:DXB655365 EGX655364:EGX655365 EQT655364:EQT655365 FAP655364:FAP655365 FKL655364:FKL655365 FUH655364:FUH655365 GED655364:GED655365 GNZ655364:GNZ655365 GXV655364:GXV655365 HHR655364:HHR655365 HRN655364:HRN655365 IBJ655364:IBJ655365 ILF655364:ILF655365 IVB655364:IVB655365 JEX655364:JEX655365 JOT655364:JOT655365 JYP655364:JYP655365 KIL655364:KIL655365 KSH655364:KSH655365 LCD655364:LCD655365 LLZ655364:LLZ655365 LVV655364:LVV655365 MFR655364:MFR655365 MPN655364:MPN655365 MZJ655364:MZJ655365 NJF655364:NJF655365 NTB655364:NTB655365 OCX655364:OCX655365 OMT655364:OMT655365 OWP655364:OWP655365 PGL655364:PGL655365 PQH655364:PQH655365 QAD655364:QAD655365 QJZ655364:QJZ655365 QTV655364:QTV655365 RDR655364:RDR655365 RNN655364:RNN655365 RXJ655364:RXJ655365 SHF655364:SHF655365 SRB655364:SRB655365 TAX655364:TAX655365 TKT655364:TKT655365 TUP655364:TUP655365 UEL655364:UEL655365 UOH655364:UOH655365 UYD655364:UYD655365 VHZ655364:VHZ655365 VRV655364:VRV655365 WBR655364:WBR655365 WLN655364:WLN655365 WVJ655364:WVJ655365 B720900:B720901 IX720900:IX720901 ST720900:ST720901 ACP720900:ACP720901 AML720900:AML720901 AWH720900:AWH720901 BGD720900:BGD720901 BPZ720900:BPZ720901 BZV720900:BZV720901 CJR720900:CJR720901 CTN720900:CTN720901 DDJ720900:DDJ720901 DNF720900:DNF720901 DXB720900:DXB720901 EGX720900:EGX720901 EQT720900:EQT720901 FAP720900:FAP720901 FKL720900:FKL720901 FUH720900:FUH720901 GED720900:GED720901 GNZ720900:GNZ720901 GXV720900:GXV720901 HHR720900:HHR720901 HRN720900:HRN720901 IBJ720900:IBJ720901 ILF720900:ILF720901 IVB720900:IVB720901 JEX720900:JEX720901 JOT720900:JOT720901 JYP720900:JYP720901 KIL720900:KIL720901 KSH720900:KSH720901 LCD720900:LCD720901 LLZ720900:LLZ720901 LVV720900:LVV720901 MFR720900:MFR720901 MPN720900:MPN720901 MZJ720900:MZJ720901 NJF720900:NJF720901 NTB720900:NTB720901 OCX720900:OCX720901 OMT720900:OMT720901 OWP720900:OWP720901 PGL720900:PGL720901 PQH720900:PQH720901 QAD720900:QAD720901 QJZ720900:QJZ720901 QTV720900:QTV720901 RDR720900:RDR720901 RNN720900:RNN720901 RXJ720900:RXJ720901 SHF720900:SHF720901 SRB720900:SRB720901 TAX720900:TAX720901 TKT720900:TKT720901 TUP720900:TUP720901 UEL720900:UEL720901 UOH720900:UOH720901 UYD720900:UYD720901 VHZ720900:VHZ720901 VRV720900:VRV720901 WBR720900:WBR720901 WLN720900:WLN720901 WVJ720900:WVJ720901 B786436:B786437 IX786436:IX786437 ST786436:ST786437 ACP786436:ACP786437 AML786436:AML786437 AWH786436:AWH786437 BGD786436:BGD786437 BPZ786436:BPZ786437 BZV786436:BZV786437 CJR786436:CJR786437 CTN786436:CTN786437 DDJ786436:DDJ786437 DNF786436:DNF786437 DXB786436:DXB786437 EGX786436:EGX786437 EQT786436:EQT786437 FAP786436:FAP786437 FKL786436:FKL786437 FUH786436:FUH786437 GED786436:GED786437 GNZ786436:GNZ786437 GXV786436:GXV786437 HHR786436:HHR786437 HRN786436:HRN786437 IBJ786436:IBJ786437 ILF786436:ILF786437 IVB786436:IVB786437 JEX786436:JEX786437 JOT786436:JOT786437 JYP786436:JYP786437 KIL786436:KIL786437 KSH786436:KSH786437 LCD786436:LCD786437 LLZ786436:LLZ786437 LVV786436:LVV786437 MFR786436:MFR786437 MPN786436:MPN786437 MZJ786436:MZJ786437 NJF786436:NJF786437 NTB786436:NTB786437 OCX786436:OCX786437 OMT786436:OMT786437 OWP786436:OWP786437 PGL786436:PGL786437 PQH786436:PQH786437 QAD786436:QAD786437 QJZ786436:QJZ786437 QTV786436:QTV786437 RDR786436:RDR786437 RNN786436:RNN786437 RXJ786436:RXJ786437 SHF786436:SHF786437 SRB786436:SRB786437 TAX786436:TAX786437 TKT786436:TKT786437 TUP786436:TUP786437 UEL786436:UEL786437 UOH786436:UOH786437 UYD786436:UYD786437 VHZ786436:VHZ786437 VRV786436:VRV786437 WBR786436:WBR786437 WLN786436:WLN786437 WVJ786436:WVJ786437 B851972:B851973 IX851972:IX851973 ST851972:ST851973 ACP851972:ACP851973 AML851972:AML851973 AWH851972:AWH851973 BGD851972:BGD851973 BPZ851972:BPZ851973 BZV851972:BZV851973 CJR851972:CJR851973 CTN851972:CTN851973 DDJ851972:DDJ851973 DNF851972:DNF851973 DXB851972:DXB851973 EGX851972:EGX851973 EQT851972:EQT851973 FAP851972:FAP851973 FKL851972:FKL851973 FUH851972:FUH851973 GED851972:GED851973 GNZ851972:GNZ851973 GXV851972:GXV851973 HHR851972:HHR851973 HRN851972:HRN851973 IBJ851972:IBJ851973 ILF851972:ILF851973 IVB851972:IVB851973 JEX851972:JEX851973 JOT851972:JOT851973 JYP851972:JYP851973 KIL851972:KIL851973 KSH851972:KSH851973 LCD851972:LCD851973 LLZ851972:LLZ851973 LVV851972:LVV851973 MFR851972:MFR851973 MPN851972:MPN851973 MZJ851972:MZJ851973 NJF851972:NJF851973 NTB851972:NTB851973 OCX851972:OCX851973 OMT851972:OMT851973 OWP851972:OWP851973 PGL851972:PGL851973 PQH851972:PQH851973 QAD851972:QAD851973 QJZ851972:QJZ851973 QTV851972:QTV851973 RDR851972:RDR851973 RNN851972:RNN851973 RXJ851972:RXJ851973 SHF851972:SHF851973 SRB851972:SRB851973 TAX851972:TAX851973 TKT851972:TKT851973 TUP851972:TUP851973 UEL851972:UEL851973 UOH851972:UOH851973 UYD851972:UYD851973 VHZ851972:VHZ851973 VRV851972:VRV851973 WBR851972:WBR851973 WLN851972:WLN851973 WVJ851972:WVJ851973 B917508:B917509 IX917508:IX917509 ST917508:ST917509 ACP917508:ACP917509 AML917508:AML917509 AWH917508:AWH917509 BGD917508:BGD917509 BPZ917508:BPZ917509 BZV917508:BZV917509 CJR917508:CJR917509 CTN917508:CTN917509 DDJ917508:DDJ917509 DNF917508:DNF917509 DXB917508:DXB917509 EGX917508:EGX917509 EQT917508:EQT917509 FAP917508:FAP917509 FKL917508:FKL917509 FUH917508:FUH917509 GED917508:GED917509 GNZ917508:GNZ917509 GXV917508:GXV917509 HHR917508:HHR917509 HRN917508:HRN917509 IBJ917508:IBJ917509 ILF917508:ILF917509 IVB917508:IVB917509 JEX917508:JEX917509 JOT917508:JOT917509 JYP917508:JYP917509 KIL917508:KIL917509 KSH917508:KSH917509 LCD917508:LCD917509 LLZ917508:LLZ917509 LVV917508:LVV917509 MFR917508:MFR917509 MPN917508:MPN917509 MZJ917508:MZJ917509 NJF917508:NJF917509 NTB917508:NTB917509 OCX917508:OCX917509 OMT917508:OMT917509 OWP917508:OWP917509 PGL917508:PGL917509 PQH917508:PQH917509 QAD917508:QAD917509 QJZ917508:QJZ917509 QTV917508:QTV917509 RDR917508:RDR917509 RNN917508:RNN917509 RXJ917508:RXJ917509 SHF917508:SHF917509 SRB917508:SRB917509 TAX917508:TAX917509 TKT917508:TKT917509 TUP917508:TUP917509 UEL917508:UEL917509 UOH917508:UOH917509 UYD917508:UYD917509 VHZ917508:VHZ917509 VRV917508:VRV917509 WBR917508:WBR917509 WLN917508:WLN917509 WVJ917508:WVJ917509 B983044:B983045 IX983044:IX983045 ST983044:ST983045 ACP983044:ACP983045 AML983044:AML983045 AWH983044:AWH983045 BGD983044:BGD983045 BPZ983044:BPZ983045 BZV983044:BZV983045 CJR983044:CJR983045 CTN983044:CTN983045 DDJ983044:DDJ983045 DNF983044:DNF983045 DXB983044:DXB983045 EGX983044:EGX983045 EQT983044:EQT983045 FAP983044:FAP983045 FKL983044:FKL983045 FUH983044:FUH983045 GED983044:GED983045 GNZ983044:GNZ983045 GXV983044:GXV983045 HHR983044:HHR983045 HRN983044:HRN983045 IBJ983044:IBJ983045 ILF983044:ILF983045 IVB983044:IVB983045 JEX983044:JEX983045 JOT983044:JOT983045 JYP983044:JYP983045 KIL983044:KIL983045 KSH983044:KSH983045 LCD983044:LCD983045 LLZ983044:LLZ983045 LVV983044:LVV983045 MFR983044:MFR983045 MPN983044:MPN983045 MZJ983044:MZJ983045 NJF983044:NJF983045 NTB983044:NTB983045 OCX983044:OCX983045 OMT983044:OMT983045 OWP983044:OWP983045 PGL983044:PGL983045 PQH983044:PQH983045 QAD983044:QAD983045 QJZ983044:QJZ983045 QTV983044:QTV983045 RDR983044:RDR983045 RNN983044:RNN983045 RXJ983044:RXJ983045 SHF983044:SHF983045 SRB983044:SRB983045 TAX983044:TAX983045 TKT983044:TKT983045 TUP983044:TUP983045 UEL983044:UEL983045 UOH983044:UOH983045 UYD983044:UYD983045 VHZ983044:VHZ983045 VRV983044:VRV983045 WBR983044:WBR983045 WLN983044:WLN983045 B5">
      <formula1>MONTH</formula1>
    </dataValidation>
  </dataValidations>
  <hyperlinks>
    <hyperlink ref="A52"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
  <sheetViews>
    <sheetView workbookViewId="0"/>
  </sheetViews>
  <sheetFormatPr defaultRowHeight="15"/>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K126"/>
  <sheetViews>
    <sheetView workbookViewId="0">
      <selection activeCell="C7" sqref="C7:D7"/>
    </sheetView>
  </sheetViews>
  <sheetFormatPr defaultRowHeight="15"/>
  <cols>
    <col min="1" max="1" width="22.42578125" style="6" customWidth="1"/>
    <col min="2" max="2" width="13.5703125" style="6" customWidth="1"/>
    <col min="3" max="3" width="15.140625" style="6" customWidth="1"/>
    <col min="4" max="4" width="12.85546875" style="6" customWidth="1"/>
    <col min="5" max="5" width="12.28515625" style="6" customWidth="1"/>
    <col min="6" max="6" width="12.42578125" style="6" customWidth="1"/>
    <col min="7" max="7" width="11.7109375" style="6" customWidth="1"/>
    <col min="8" max="10" width="14.5703125" style="6" customWidth="1"/>
    <col min="11" max="11" width="13.42578125" style="6" customWidth="1"/>
    <col min="12" max="253" width="9.140625" style="6"/>
    <col min="254" max="254" width="18.28515625" style="6" customWidth="1"/>
    <col min="255" max="255" width="13.5703125" style="6" customWidth="1"/>
    <col min="256" max="256" width="15.140625" style="6" customWidth="1"/>
    <col min="257" max="257" width="12.85546875" style="6" customWidth="1"/>
    <col min="258" max="258" width="12.28515625" style="6" customWidth="1"/>
    <col min="259" max="259" width="12.42578125" style="6" customWidth="1"/>
    <col min="260" max="260" width="11.7109375" style="6" customWidth="1"/>
    <col min="261" max="263" width="14.5703125" style="6" customWidth="1"/>
    <col min="264" max="264" width="13.42578125" style="6" customWidth="1"/>
    <col min="265" max="509" width="9.140625" style="6"/>
    <col min="510" max="510" width="18.28515625" style="6" customWidth="1"/>
    <col min="511" max="511" width="13.5703125" style="6" customWidth="1"/>
    <col min="512" max="512" width="15.140625" style="6" customWidth="1"/>
    <col min="513" max="513" width="12.85546875" style="6" customWidth="1"/>
    <col min="514" max="514" width="12.28515625" style="6" customWidth="1"/>
    <col min="515" max="515" width="12.42578125" style="6" customWidth="1"/>
    <col min="516" max="516" width="11.7109375" style="6" customWidth="1"/>
    <col min="517" max="519" width="14.5703125" style="6" customWidth="1"/>
    <col min="520" max="520" width="13.42578125" style="6" customWidth="1"/>
    <col min="521" max="765" width="9.140625" style="6"/>
    <col min="766" max="766" width="18.28515625" style="6" customWidth="1"/>
    <col min="767" max="767" width="13.5703125" style="6" customWidth="1"/>
    <col min="768" max="768" width="15.140625" style="6" customWidth="1"/>
    <col min="769" max="769" width="12.85546875" style="6" customWidth="1"/>
    <col min="770" max="770" width="12.28515625" style="6" customWidth="1"/>
    <col min="771" max="771" width="12.42578125" style="6" customWidth="1"/>
    <col min="772" max="772" width="11.7109375" style="6" customWidth="1"/>
    <col min="773" max="775" width="14.5703125" style="6" customWidth="1"/>
    <col min="776" max="776" width="13.42578125" style="6" customWidth="1"/>
    <col min="777" max="1021" width="9.140625" style="6"/>
    <col min="1022" max="1022" width="18.28515625" style="6" customWidth="1"/>
    <col min="1023" max="1023" width="13.5703125" style="6" customWidth="1"/>
    <col min="1024" max="1024" width="15.140625" style="6" customWidth="1"/>
    <col min="1025" max="1025" width="12.85546875" style="6" customWidth="1"/>
    <col min="1026" max="1026" width="12.28515625" style="6" customWidth="1"/>
    <col min="1027" max="1027" width="12.42578125" style="6" customWidth="1"/>
    <col min="1028" max="1028" width="11.7109375" style="6" customWidth="1"/>
    <col min="1029" max="1031" width="14.5703125" style="6" customWidth="1"/>
    <col min="1032" max="1032" width="13.42578125" style="6" customWidth="1"/>
    <col min="1033" max="1277" width="9.140625" style="6"/>
    <col min="1278" max="1278" width="18.28515625" style="6" customWidth="1"/>
    <col min="1279" max="1279" width="13.5703125" style="6" customWidth="1"/>
    <col min="1280" max="1280" width="15.140625" style="6" customWidth="1"/>
    <col min="1281" max="1281" width="12.85546875" style="6" customWidth="1"/>
    <col min="1282" max="1282" width="12.28515625" style="6" customWidth="1"/>
    <col min="1283" max="1283" width="12.42578125" style="6" customWidth="1"/>
    <col min="1284" max="1284" width="11.7109375" style="6" customWidth="1"/>
    <col min="1285" max="1287" width="14.5703125" style="6" customWidth="1"/>
    <col min="1288" max="1288" width="13.42578125" style="6" customWidth="1"/>
    <col min="1289" max="1533" width="9.140625" style="6"/>
    <col min="1534" max="1534" width="18.28515625" style="6" customWidth="1"/>
    <col min="1535" max="1535" width="13.5703125" style="6" customWidth="1"/>
    <col min="1536" max="1536" width="15.140625" style="6" customWidth="1"/>
    <col min="1537" max="1537" width="12.85546875" style="6" customWidth="1"/>
    <col min="1538" max="1538" width="12.28515625" style="6" customWidth="1"/>
    <col min="1539" max="1539" width="12.42578125" style="6" customWidth="1"/>
    <col min="1540" max="1540" width="11.7109375" style="6" customWidth="1"/>
    <col min="1541" max="1543" width="14.5703125" style="6" customWidth="1"/>
    <col min="1544" max="1544" width="13.42578125" style="6" customWidth="1"/>
    <col min="1545" max="1789" width="9.140625" style="6"/>
    <col min="1790" max="1790" width="18.28515625" style="6" customWidth="1"/>
    <col min="1791" max="1791" width="13.5703125" style="6" customWidth="1"/>
    <col min="1792" max="1792" width="15.140625" style="6" customWidth="1"/>
    <col min="1793" max="1793" width="12.85546875" style="6" customWidth="1"/>
    <col min="1794" max="1794" width="12.28515625" style="6" customWidth="1"/>
    <col min="1795" max="1795" width="12.42578125" style="6" customWidth="1"/>
    <col min="1796" max="1796" width="11.7109375" style="6" customWidth="1"/>
    <col min="1797" max="1799" width="14.5703125" style="6" customWidth="1"/>
    <col min="1800" max="1800" width="13.42578125" style="6" customWidth="1"/>
    <col min="1801" max="2045" width="9.140625" style="6"/>
    <col min="2046" max="2046" width="18.28515625" style="6" customWidth="1"/>
    <col min="2047" max="2047" width="13.5703125" style="6" customWidth="1"/>
    <col min="2048" max="2048" width="15.140625" style="6" customWidth="1"/>
    <col min="2049" max="2049" width="12.85546875" style="6" customWidth="1"/>
    <col min="2050" max="2050" width="12.28515625" style="6" customWidth="1"/>
    <col min="2051" max="2051" width="12.42578125" style="6" customWidth="1"/>
    <col min="2052" max="2052" width="11.7109375" style="6" customWidth="1"/>
    <col min="2053" max="2055" width="14.5703125" style="6" customWidth="1"/>
    <col min="2056" max="2056" width="13.42578125" style="6" customWidth="1"/>
    <col min="2057" max="2301" width="9.140625" style="6"/>
    <col min="2302" max="2302" width="18.28515625" style="6" customWidth="1"/>
    <col min="2303" max="2303" width="13.5703125" style="6" customWidth="1"/>
    <col min="2304" max="2304" width="15.140625" style="6" customWidth="1"/>
    <col min="2305" max="2305" width="12.85546875" style="6" customWidth="1"/>
    <col min="2306" max="2306" width="12.28515625" style="6" customWidth="1"/>
    <col min="2307" max="2307" width="12.42578125" style="6" customWidth="1"/>
    <col min="2308" max="2308" width="11.7109375" style="6" customWidth="1"/>
    <col min="2309" max="2311" width="14.5703125" style="6" customWidth="1"/>
    <col min="2312" max="2312" width="13.42578125" style="6" customWidth="1"/>
    <col min="2313" max="2557" width="9.140625" style="6"/>
    <col min="2558" max="2558" width="18.28515625" style="6" customWidth="1"/>
    <col min="2559" max="2559" width="13.5703125" style="6" customWidth="1"/>
    <col min="2560" max="2560" width="15.140625" style="6" customWidth="1"/>
    <col min="2561" max="2561" width="12.85546875" style="6" customWidth="1"/>
    <col min="2562" max="2562" width="12.28515625" style="6" customWidth="1"/>
    <col min="2563" max="2563" width="12.42578125" style="6" customWidth="1"/>
    <col min="2564" max="2564" width="11.7109375" style="6" customWidth="1"/>
    <col min="2565" max="2567" width="14.5703125" style="6" customWidth="1"/>
    <col min="2568" max="2568" width="13.42578125" style="6" customWidth="1"/>
    <col min="2569" max="2813" width="9.140625" style="6"/>
    <col min="2814" max="2814" width="18.28515625" style="6" customWidth="1"/>
    <col min="2815" max="2815" width="13.5703125" style="6" customWidth="1"/>
    <col min="2816" max="2816" width="15.140625" style="6" customWidth="1"/>
    <col min="2817" max="2817" width="12.85546875" style="6" customWidth="1"/>
    <col min="2818" max="2818" width="12.28515625" style="6" customWidth="1"/>
    <col min="2819" max="2819" width="12.42578125" style="6" customWidth="1"/>
    <col min="2820" max="2820" width="11.7109375" style="6" customWidth="1"/>
    <col min="2821" max="2823" width="14.5703125" style="6" customWidth="1"/>
    <col min="2824" max="2824" width="13.42578125" style="6" customWidth="1"/>
    <col min="2825" max="3069" width="9.140625" style="6"/>
    <col min="3070" max="3070" width="18.28515625" style="6" customWidth="1"/>
    <col min="3071" max="3071" width="13.5703125" style="6" customWidth="1"/>
    <col min="3072" max="3072" width="15.140625" style="6" customWidth="1"/>
    <col min="3073" max="3073" width="12.85546875" style="6" customWidth="1"/>
    <col min="3074" max="3074" width="12.28515625" style="6" customWidth="1"/>
    <col min="3075" max="3075" width="12.42578125" style="6" customWidth="1"/>
    <col min="3076" max="3076" width="11.7109375" style="6" customWidth="1"/>
    <col min="3077" max="3079" width="14.5703125" style="6" customWidth="1"/>
    <col min="3080" max="3080" width="13.42578125" style="6" customWidth="1"/>
    <col min="3081" max="3325" width="9.140625" style="6"/>
    <col min="3326" max="3326" width="18.28515625" style="6" customWidth="1"/>
    <col min="3327" max="3327" width="13.5703125" style="6" customWidth="1"/>
    <col min="3328" max="3328" width="15.140625" style="6" customWidth="1"/>
    <col min="3329" max="3329" width="12.85546875" style="6" customWidth="1"/>
    <col min="3330" max="3330" width="12.28515625" style="6" customWidth="1"/>
    <col min="3331" max="3331" width="12.42578125" style="6" customWidth="1"/>
    <col min="3332" max="3332" width="11.7109375" style="6" customWidth="1"/>
    <col min="3333" max="3335" width="14.5703125" style="6" customWidth="1"/>
    <col min="3336" max="3336" width="13.42578125" style="6" customWidth="1"/>
    <col min="3337" max="3581" width="9.140625" style="6"/>
    <col min="3582" max="3582" width="18.28515625" style="6" customWidth="1"/>
    <col min="3583" max="3583" width="13.5703125" style="6" customWidth="1"/>
    <col min="3584" max="3584" width="15.140625" style="6" customWidth="1"/>
    <col min="3585" max="3585" width="12.85546875" style="6" customWidth="1"/>
    <col min="3586" max="3586" width="12.28515625" style="6" customWidth="1"/>
    <col min="3587" max="3587" width="12.42578125" style="6" customWidth="1"/>
    <col min="3588" max="3588" width="11.7109375" style="6" customWidth="1"/>
    <col min="3589" max="3591" width="14.5703125" style="6" customWidth="1"/>
    <col min="3592" max="3592" width="13.42578125" style="6" customWidth="1"/>
    <col min="3593" max="3837" width="9.140625" style="6"/>
    <col min="3838" max="3838" width="18.28515625" style="6" customWidth="1"/>
    <col min="3839" max="3839" width="13.5703125" style="6" customWidth="1"/>
    <col min="3840" max="3840" width="15.140625" style="6" customWidth="1"/>
    <col min="3841" max="3841" width="12.85546875" style="6" customWidth="1"/>
    <col min="3842" max="3842" width="12.28515625" style="6" customWidth="1"/>
    <col min="3843" max="3843" width="12.42578125" style="6" customWidth="1"/>
    <col min="3844" max="3844" width="11.7109375" style="6" customWidth="1"/>
    <col min="3845" max="3847" width="14.5703125" style="6" customWidth="1"/>
    <col min="3848" max="3848" width="13.42578125" style="6" customWidth="1"/>
    <col min="3849" max="4093" width="9.140625" style="6"/>
    <col min="4094" max="4094" width="18.28515625" style="6" customWidth="1"/>
    <col min="4095" max="4095" width="13.5703125" style="6" customWidth="1"/>
    <col min="4096" max="4096" width="15.140625" style="6" customWidth="1"/>
    <col min="4097" max="4097" width="12.85546875" style="6" customWidth="1"/>
    <col min="4098" max="4098" width="12.28515625" style="6" customWidth="1"/>
    <col min="4099" max="4099" width="12.42578125" style="6" customWidth="1"/>
    <col min="4100" max="4100" width="11.7109375" style="6" customWidth="1"/>
    <col min="4101" max="4103" width="14.5703125" style="6" customWidth="1"/>
    <col min="4104" max="4104" width="13.42578125" style="6" customWidth="1"/>
    <col min="4105" max="4349" width="9.140625" style="6"/>
    <col min="4350" max="4350" width="18.28515625" style="6" customWidth="1"/>
    <col min="4351" max="4351" width="13.5703125" style="6" customWidth="1"/>
    <col min="4352" max="4352" width="15.140625" style="6" customWidth="1"/>
    <col min="4353" max="4353" width="12.85546875" style="6" customWidth="1"/>
    <col min="4354" max="4354" width="12.28515625" style="6" customWidth="1"/>
    <col min="4355" max="4355" width="12.42578125" style="6" customWidth="1"/>
    <col min="4356" max="4356" width="11.7109375" style="6" customWidth="1"/>
    <col min="4357" max="4359" width="14.5703125" style="6" customWidth="1"/>
    <col min="4360" max="4360" width="13.42578125" style="6" customWidth="1"/>
    <col min="4361" max="4605" width="9.140625" style="6"/>
    <col min="4606" max="4606" width="18.28515625" style="6" customWidth="1"/>
    <col min="4607" max="4607" width="13.5703125" style="6" customWidth="1"/>
    <col min="4608" max="4608" width="15.140625" style="6" customWidth="1"/>
    <col min="4609" max="4609" width="12.85546875" style="6" customWidth="1"/>
    <col min="4610" max="4610" width="12.28515625" style="6" customWidth="1"/>
    <col min="4611" max="4611" width="12.42578125" style="6" customWidth="1"/>
    <col min="4612" max="4612" width="11.7109375" style="6" customWidth="1"/>
    <col min="4613" max="4615" width="14.5703125" style="6" customWidth="1"/>
    <col min="4616" max="4616" width="13.42578125" style="6" customWidth="1"/>
    <col min="4617" max="4861" width="9.140625" style="6"/>
    <col min="4862" max="4862" width="18.28515625" style="6" customWidth="1"/>
    <col min="4863" max="4863" width="13.5703125" style="6" customWidth="1"/>
    <col min="4864" max="4864" width="15.140625" style="6" customWidth="1"/>
    <col min="4865" max="4865" width="12.85546875" style="6" customWidth="1"/>
    <col min="4866" max="4866" width="12.28515625" style="6" customWidth="1"/>
    <col min="4867" max="4867" width="12.42578125" style="6" customWidth="1"/>
    <col min="4868" max="4868" width="11.7109375" style="6" customWidth="1"/>
    <col min="4869" max="4871" width="14.5703125" style="6" customWidth="1"/>
    <col min="4872" max="4872" width="13.42578125" style="6" customWidth="1"/>
    <col min="4873" max="5117" width="9.140625" style="6"/>
    <col min="5118" max="5118" width="18.28515625" style="6" customWidth="1"/>
    <col min="5119" max="5119" width="13.5703125" style="6" customWidth="1"/>
    <col min="5120" max="5120" width="15.140625" style="6" customWidth="1"/>
    <col min="5121" max="5121" width="12.85546875" style="6" customWidth="1"/>
    <col min="5122" max="5122" width="12.28515625" style="6" customWidth="1"/>
    <col min="5123" max="5123" width="12.42578125" style="6" customWidth="1"/>
    <col min="5124" max="5124" width="11.7109375" style="6" customWidth="1"/>
    <col min="5125" max="5127" width="14.5703125" style="6" customWidth="1"/>
    <col min="5128" max="5128" width="13.42578125" style="6" customWidth="1"/>
    <col min="5129" max="5373" width="9.140625" style="6"/>
    <col min="5374" max="5374" width="18.28515625" style="6" customWidth="1"/>
    <col min="5375" max="5375" width="13.5703125" style="6" customWidth="1"/>
    <col min="5376" max="5376" width="15.140625" style="6" customWidth="1"/>
    <col min="5377" max="5377" width="12.85546875" style="6" customWidth="1"/>
    <col min="5378" max="5378" width="12.28515625" style="6" customWidth="1"/>
    <col min="5379" max="5379" width="12.42578125" style="6" customWidth="1"/>
    <col min="5380" max="5380" width="11.7109375" style="6" customWidth="1"/>
    <col min="5381" max="5383" width="14.5703125" style="6" customWidth="1"/>
    <col min="5384" max="5384" width="13.42578125" style="6" customWidth="1"/>
    <col min="5385" max="5629" width="9.140625" style="6"/>
    <col min="5630" max="5630" width="18.28515625" style="6" customWidth="1"/>
    <col min="5631" max="5631" width="13.5703125" style="6" customWidth="1"/>
    <col min="5632" max="5632" width="15.140625" style="6" customWidth="1"/>
    <col min="5633" max="5633" width="12.85546875" style="6" customWidth="1"/>
    <col min="5634" max="5634" width="12.28515625" style="6" customWidth="1"/>
    <col min="5635" max="5635" width="12.42578125" style="6" customWidth="1"/>
    <col min="5636" max="5636" width="11.7109375" style="6" customWidth="1"/>
    <col min="5637" max="5639" width="14.5703125" style="6" customWidth="1"/>
    <col min="5640" max="5640" width="13.42578125" style="6" customWidth="1"/>
    <col min="5641" max="5885" width="9.140625" style="6"/>
    <col min="5886" max="5886" width="18.28515625" style="6" customWidth="1"/>
    <col min="5887" max="5887" width="13.5703125" style="6" customWidth="1"/>
    <col min="5888" max="5888" width="15.140625" style="6" customWidth="1"/>
    <col min="5889" max="5889" width="12.85546875" style="6" customWidth="1"/>
    <col min="5890" max="5890" width="12.28515625" style="6" customWidth="1"/>
    <col min="5891" max="5891" width="12.42578125" style="6" customWidth="1"/>
    <col min="5892" max="5892" width="11.7109375" style="6" customWidth="1"/>
    <col min="5893" max="5895" width="14.5703125" style="6" customWidth="1"/>
    <col min="5896" max="5896" width="13.42578125" style="6" customWidth="1"/>
    <col min="5897" max="6141" width="9.140625" style="6"/>
    <col min="6142" max="6142" width="18.28515625" style="6" customWidth="1"/>
    <col min="6143" max="6143" width="13.5703125" style="6" customWidth="1"/>
    <col min="6144" max="6144" width="15.140625" style="6" customWidth="1"/>
    <col min="6145" max="6145" width="12.85546875" style="6" customWidth="1"/>
    <col min="6146" max="6146" width="12.28515625" style="6" customWidth="1"/>
    <col min="6147" max="6147" width="12.42578125" style="6" customWidth="1"/>
    <col min="6148" max="6148" width="11.7109375" style="6" customWidth="1"/>
    <col min="6149" max="6151" width="14.5703125" style="6" customWidth="1"/>
    <col min="6152" max="6152" width="13.42578125" style="6" customWidth="1"/>
    <col min="6153" max="6397" width="9.140625" style="6"/>
    <col min="6398" max="6398" width="18.28515625" style="6" customWidth="1"/>
    <col min="6399" max="6399" width="13.5703125" style="6" customWidth="1"/>
    <col min="6400" max="6400" width="15.140625" style="6" customWidth="1"/>
    <col min="6401" max="6401" width="12.85546875" style="6" customWidth="1"/>
    <col min="6402" max="6402" width="12.28515625" style="6" customWidth="1"/>
    <col min="6403" max="6403" width="12.42578125" style="6" customWidth="1"/>
    <col min="6404" max="6404" width="11.7109375" style="6" customWidth="1"/>
    <col min="6405" max="6407" width="14.5703125" style="6" customWidth="1"/>
    <col min="6408" max="6408" width="13.42578125" style="6" customWidth="1"/>
    <col min="6409" max="6653" width="9.140625" style="6"/>
    <col min="6654" max="6654" width="18.28515625" style="6" customWidth="1"/>
    <col min="6655" max="6655" width="13.5703125" style="6" customWidth="1"/>
    <col min="6656" max="6656" width="15.140625" style="6" customWidth="1"/>
    <col min="6657" max="6657" width="12.85546875" style="6" customWidth="1"/>
    <col min="6658" max="6658" width="12.28515625" style="6" customWidth="1"/>
    <col min="6659" max="6659" width="12.42578125" style="6" customWidth="1"/>
    <col min="6660" max="6660" width="11.7109375" style="6" customWidth="1"/>
    <col min="6661" max="6663" width="14.5703125" style="6" customWidth="1"/>
    <col min="6664" max="6664" width="13.42578125" style="6" customWidth="1"/>
    <col min="6665" max="6909" width="9.140625" style="6"/>
    <col min="6910" max="6910" width="18.28515625" style="6" customWidth="1"/>
    <col min="6911" max="6911" width="13.5703125" style="6" customWidth="1"/>
    <col min="6912" max="6912" width="15.140625" style="6" customWidth="1"/>
    <col min="6913" max="6913" width="12.85546875" style="6" customWidth="1"/>
    <col min="6914" max="6914" width="12.28515625" style="6" customWidth="1"/>
    <col min="6915" max="6915" width="12.42578125" style="6" customWidth="1"/>
    <col min="6916" max="6916" width="11.7109375" style="6" customWidth="1"/>
    <col min="6917" max="6919" width="14.5703125" style="6" customWidth="1"/>
    <col min="6920" max="6920" width="13.42578125" style="6" customWidth="1"/>
    <col min="6921" max="7165" width="9.140625" style="6"/>
    <col min="7166" max="7166" width="18.28515625" style="6" customWidth="1"/>
    <col min="7167" max="7167" width="13.5703125" style="6" customWidth="1"/>
    <col min="7168" max="7168" width="15.140625" style="6" customWidth="1"/>
    <col min="7169" max="7169" width="12.85546875" style="6" customWidth="1"/>
    <col min="7170" max="7170" width="12.28515625" style="6" customWidth="1"/>
    <col min="7171" max="7171" width="12.42578125" style="6" customWidth="1"/>
    <col min="7172" max="7172" width="11.7109375" style="6" customWidth="1"/>
    <col min="7173" max="7175" width="14.5703125" style="6" customWidth="1"/>
    <col min="7176" max="7176" width="13.42578125" style="6" customWidth="1"/>
    <col min="7177" max="7421" width="9.140625" style="6"/>
    <col min="7422" max="7422" width="18.28515625" style="6" customWidth="1"/>
    <col min="7423" max="7423" width="13.5703125" style="6" customWidth="1"/>
    <col min="7424" max="7424" width="15.140625" style="6" customWidth="1"/>
    <col min="7425" max="7425" width="12.85546875" style="6" customWidth="1"/>
    <col min="7426" max="7426" width="12.28515625" style="6" customWidth="1"/>
    <col min="7427" max="7427" width="12.42578125" style="6" customWidth="1"/>
    <col min="7428" max="7428" width="11.7109375" style="6" customWidth="1"/>
    <col min="7429" max="7431" width="14.5703125" style="6" customWidth="1"/>
    <col min="7432" max="7432" width="13.42578125" style="6" customWidth="1"/>
    <col min="7433" max="7677" width="9.140625" style="6"/>
    <col min="7678" max="7678" width="18.28515625" style="6" customWidth="1"/>
    <col min="7679" max="7679" width="13.5703125" style="6" customWidth="1"/>
    <col min="7680" max="7680" width="15.140625" style="6" customWidth="1"/>
    <col min="7681" max="7681" width="12.85546875" style="6" customWidth="1"/>
    <col min="7682" max="7682" width="12.28515625" style="6" customWidth="1"/>
    <col min="7683" max="7683" width="12.42578125" style="6" customWidth="1"/>
    <col min="7684" max="7684" width="11.7109375" style="6" customWidth="1"/>
    <col min="7685" max="7687" width="14.5703125" style="6" customWidth="1"/>
    <col min="7688" max="7688" width="13.42578125" style="6" customWidth="1"/>
    <col min="7689" max="7933" width="9.140625" style="6"/>
    <col min="7934" max="7934" width="18.28515625" style="6" customWidth="1"/>
    <col min="7935" max="7935" width="13.5703125" style="6" customWidth="1"/>
    <col min="7936" max="7936" width="15.140625" style="6" customWidth="1"/>
    <col min="7937" max="7937" width="12.85546875" style="6" customWidth="1"/>
    <col min="7938" max="7938" width="12.28515625" style="6" customWidth="1"/>
    <col min="7939" max="7939" width="12.42578125" style="6" customWidth="1"/>
    <col min="7940" max="7940" width="11.7109375" style="6" customWidth="1"/>
    <col min="7941" max="7943" width="14.5703125" style="6" customWidth="1"/>
    <col min="7944" max="7944" width="13.42578125" style="6" customWidth="1"/>
    <col min="7945" max="8189" width="9.140625" style="6"/>
    <col min="8190" max="8190" width="18.28515625" style="6" customWidth="1"/>
    <col min="8191" max="8191" width="13.5703125" style="6" customWidth="1"/>
    <col min="8192" max="8192" width="15.140625" style="6" customWidth="1"/>
    <col min="8193" max="8193" width="12.85546875" style="6" customWidth="1"/>
    <col min="8194" max="8194" width="12.28515625" style="6" customWidth="1"/>
    <col min="8195" max="8195" width="12.42578125" style="6" customWidth="1"/>
    <col min="8196" max="8196" width="11.7109375" style="6" customWidth="1"/>
    <col min="8197" max="8199" width="14.5703125" style="6" customWidth="1"/>
    <col min="8200" max="8200" width="13.42578125" style="6" customWidth="1"/>
    <col min="8201" max="8445" width="9.140625" style="6"/>
    <col min="8446" max="8446" width="18.28515625" style="6" customWidth="1"/>
    <col min="8447" max="8447" width="13.5703125" style="6" customWidth="1"/>
    <col min="8448" max="8448" width="15.140625" style="6" customWidth="1"/>
    <col min="8449" max="8449" width="12.85546875" style="6" customWidth="1"/>
    <col min="8450" max="8450" width="12.28515625" style="6" customWidth="1"/>
    <col min="8451" max="8451" width="12.42578125" style="6" customWidth="1"/>
    <col min="8452" max="8452" width="11.7109375" style="6" customWidth="1"/>
    <col min="8453" max="8455" width="14.5703125" style="6" customWidth="1"/>
    <col min="8456" max="8456" width="13.42578125" style="6" customWidth="1"/>
    <col min="8457" max="8701" width="9.140625" style="6"/>
    <col min="8702" max="8702" width="18.28515625" style="6" customWidth="1"/>
    <col min="8703" max="8703" width="13.5703125" style="6" customWidth="1"/>
    <col min="8704" max="8704" width="15.140625" style="6" customWidth="1"/>
    <col min="8705" max="8705" width="12.85546875" style="6" customWidth="1"/>
    <col min="8706" max="8706" width="12.28515625" style="6" customWidth="1"/>
    <col min="8707" max="8707" width="12.42578125" style="6" customWidth="1"/>
    <col min="8708" max="8708" width="11.7109375" style="6" customWidth="1"/>
    <col min="8709" max="8711" width="14.5703125" style="6" customWidth="1"/>
    <col min="8712" max="8712" width="13.42578125" style="6" customWidth="1"/>
    <col min="8713" max="8957" width="9.140625" style="6"/>
    <col min="8958" max="8958" width="18.28515625" style="6" customWidth="1"/>
    <col min="8959" max="8959" width="13.5703125" style="6" customWidth="1"/>
    <col min="8960" max="8960" width="15.140625" style="6" customWidth="1"/>
    <col min="8961" max="8961" width="12.85546875" style="6" customWidth="1"/>
    <col min="8962" max="8962" width="12.28515625" style="6" customWidth="1"/>
    <col min="8963" max="8963" width="12.42578125" style="6" customWidth="1"/>
    <col min="8964" max="8964" width="11.7109375" style="6" customWidth="1"/>
    <col min="8965" max="8967" width="14.5703125" style="6" customWidth="1"/>
    <col min="8968" max="8968" width="13.42578125" style="6" customWidth="1"/>
    <col min="8969" max="9213" width="9.140625" style="6"/>
    <col min="9214" max="9214" width="18.28515625" style="6" customWidth="1"/>
    <col min="9215" max="9215" width="13.5703125" style="6" customWidth="1"/>
    <col min="9216" max="9216" width="15.140625" style="6" customWidth="1"/>
    <col min="9217" max="9217" width="12.85546875" style="6" customWidth="1"/>
    <col min="9218" max="9218" width="12.28515625" style="6" customWidth="1"/>
    <col min="9219" max="9219" width="12.42578125" style="6" customWidth="1"/>
    <col min="9220" max="9220" width="11.7109375" style="6" customWidth="1"/>
    <col min="9221" max="9223" width="14.5703125" style="6" customWidth="1"/>
    <col min="9224" max="9224" width="13.42578125" style="6" customWidth="1"/>
    <col min="9225" max="9469" width="9.140625" style="6"/>
    <col min="9470" max="9470" width="18.28515625" style="6" customWidth="1"/>
    <col min="9471" max="9471" width="13.5703125" style="6" customWidth="1"/>
    <col min="9472" max="9472" width="15.140625" style="6" customWidth="1"/>
    <col min="9473" max="9473" width="12.85546875" style="6" customWidth="1"/>
    <col min="9474" max="9474" width="12.28515625" style="6" customWidth="1"/>
    <col min="9475" max="9475" width="12.42578125" style="6" customWidth="1"/>
    <col min="9476" max="9476" width="11.7109375" style="6" customWidth="1"/>
    <col min="9477" max="9479" width="14.5703125" style="6" customWidth="1"/>
    <col min="9480" max="9480" width="13.42578125" style="6" customWidth="1"/>
    <col min="9481" max="9725" width="9.140625" style="6"/>
    <col min="9726" max="9726" width="18.28515625" style="6" customWidth="1"/>
    <col min="9727" max="9727" width="13.5703125" style="6" customWidth="1"/>
    <col min="9728" max="9728" width="15.140625" style="6" customWidth="1"/>
    <col min="9729" max="9729" width="12.85546875" style="6" customWidth="1"/>
    <col min="9730" max="9730" width="12.28515625" style="6" customWidth="1"/>
    <col min="9731" max="9731" width="12.42578125" style="6" customWidth="1"/>
    <col min="9732" max="9732" width="11.7109375" style="6" customWidth="1"/>
    <col min="9733" max="9735" width="14.5703125" style="6" customWidth="1"/>
    <col min="9736" max="9736" width="13.42578125" style="6" customWidth="1"/>
    <col min="9737" max="9981" width="9.140625" style="6"/>
    <col min="9982" max="9982" width="18.28515625" style="6" customWidth="1"/>
    <col min="9983" max="9983" width="13.5703125" style="6" customWidth="1"/>
    <col min="9984" max="9984" width="15.140625" style="6" customWidth="1"/>
    <col min="9985" max="9985" width="12.85546875" style="6" customWidth="1"/>
    <col min="9986" max="9986" width="12.28515625" style="6" customWidth="1"/>
    <col min="9987" max="9987" width="12.42578125" style="6" customWidth="1"/>
    <col min="9988" max="9988" width="11.7109375" style="6" customWidth="1"/>
    <col min="9989" max="9991" width="14.5703125" style="6" customWidth="1"/>
    <col min="9992" max="9992" width="13.42578125" style="6" customWidth="1"/>
    <col min="9993" max="10237" width="9.140625" style="6"/>
    <col min="10238" max="10238" width="18.28515625" style="6" customWidth="1"/>
    <col min="10239" max="10239" width="13.5703125" style="6" customWidth="1"/>
    <col min="10240" max="10240" width="15.140625" style="6" customWidth="1"/>
    <col min="10241" max="10241" width="12.85546875" style="6" customWidth="1"/>
    <col min="10242" max="10242" width="12.28515625" style="6" customWidth="1"/>
    <col min="10243" max="10243" width="12.42578125" style="6" customWidth="1"/>
    <col min="10244" max="10244" width="11.7109375" style="6" customWidth="1"/>
    <col min="10245" max="10247" width="14.5703125" style="6" customWidth="1"/>
    <col min="10248" max="10248" width="13.42578125" style="6" customWidth="1"/>
    <col min="10249" max="10493" width="9.140625" style="6"/>
    <col min="10494" max="10494" width="18.28515625" style="6" customWidth="1"/>
    <col min="10495" max="10495" width="13.5703125" style="6" customWidth="1"/>
    <col min="10496" max="10496" width="15.140625" style="6" customWidth="1"/>
    <col min="10497" max="10497" width="12.85546875" style="6" customWidth="1"/>
    <col min="10498" max="10498" width="12.28515625" style="6" customWidth="1"/>
    <col min="10499" max="10499" width="12.42578125" style="6" customWidth="1"/>
    <col min="10500" max="10500" width="11.7109375" style="6" customWidth="1"/>
    <col min="10501" max="10503" width="14.5703125" style="6" customWidth="1"/>
    <col min="10504" max="10504" width="13.42578125" style="6" customWidth="1"/>
    <col min="10505" max="10749" width="9.140625" style="6"/>
    <col min="10750" max="10750" width="18.28515625" style="6" customWidth="1"/>
    <col min="10751" max="10751" width="13.5703125" style="6" customWidth="1"/>
    <col min="10752" max="10752" width="15.140625" style="6" customWidth="1"/>
    <col min="10753" max="10753" width="12.85546875" style="6" customWidth="1"/>
    <col min="10754" max="10754" width="12.28515625" style="6" customWidth="1"/>
    <col min="10755" max="10755" width="12.42578125" style="6" customWidth="1"/>
    <col min="10756" max="10756" width="11.7109375" style="6" customWidth="1"/>
    <col min="10757" max="10759" width="14.5703125" style="6" customWidth="1"/>
    <col min="10760" max="10760" width="13.42578125" style="6" customWidth="1"/>
    <col min="10761" max="11005" width="9.140625" style="6"/>
    <col min="11006" max="11006" width="18.28515625" style="6" customWidth="1"/>
    <col min="11007" max="11007" width="13.5703125" style="6" customWidth="1"/>
    <col min="11008" max="11008" width="15.140625" style="6" customWidth="1"/>
    <col min="11009" max="11009" width="12.85546875" style="6" customWidth="1"/>
    <col min="11010" max="11010" width="12.28515625" style="6" customWidth="1"/>
    <col min="11011" max="11011" width="12.42578125" style="6" customWidth="1"/>
    <col min="11012" max="11012" width="11.7109375" style="6" customWidth="1"/>
    <col min="11013" max="11015" width="14.5703125" style="6" customWidth="1"/>
    <col min="11016" max="11016" width="13.42578125" style="6" customWidth="1"/>
    <col min="11017" max="11261" width="9.140625" style="6"/>
    <col min="11262" max="11262" width="18.28515625" style="6" customWidth="1"/>
    <col min="11263" max="11263" width="13.5703125" style="6" customWidth="1"/>
    <col min="11264" max="11264" width="15.140625" style="6" customWidth="1"/>
    <col min="11265" max="11265" width="12.85546875" style="6" customWidth="1"/>
    <col min="11266" max="11266" width="12.28515625" style="6" customWidth="1"/>
    <col min="11267" max="11267" width="12.42578125" style="6" customWidth="1"/>
    <col min="11268" max="11268" width="11.7109375" style="6" customWidth="1"/>
    <col min="11269" max="11271" width="14.5703125" style="6" customWidth="1"/>
    <col min="11272" max="11272" width="13.42578125" style="6" customWidth="1"/>
    <col min="11273" max="11517" width="9.140625" style="6"/>
    <col min="11518" max="11518" width="18.28515625" style="6" customWidth="1"/>
    <col min="11519" max="11519" width="13.5703125" style="6" customWidth="1"/>
    <col min="11520" max="11520" width="15.140625" style="6" customWidth="1"/>
    <col min="11521" max="11521" width="12.85546875" style="6" customWidth="1"/>
    <col min="11522" max="11522" width="12.28515625" style="6" customWidth="1"/>
    <col min="11523" max="11523" width="12.42578125" style="6" customWidth="1"/>
    <col min="11524" max="11524" width="11.7109375" style="6" customWidth="1"/>
    <col min="11525" max="11527" width="14.5703125" style="6" customWidth="1"/>
    <col min="11528" max="11528" width="13.42578125" style="6" customWidth="1"/>
    <col min="11529" max="11773" width="9.140625" style="6"/>
    <col min="11774" max="11774" width="18.28515625" style="6" customWidth="1"/>
    <col min="11775" max="11775" width="13.5703125" style="6" customWidth="1"/>
    <col min="11776" max="11776" width="15.140625" style="6" customWidth="1"/>
    <col min="11777" max="11777" width="12.85546875" style="6" customWidth="1"/>
    <col min="11778" max="11778" width="12.28515625" style="6" customWidth="1"/>
    <col min="11779" max="11779" width="12.42578125" style="6" customWidth="1"/>
    <col min="11780" max="11780" width="11.7109375" style="6" customWidth="1"/>
    <col min="11781" max="11783" width="14.5703125" style="6" customWidth="1"/>
    <col min="11784" max="11784" width="13.42578125" style="6" customWidth="1"/>
    <col min="11785" max="12029" width="9.140625" style="6"/>
    <col min="12030" max="12030" width="18.28515625" style="6" customWidth="1"/>
    <col min="12031" max="12031" width="13.5703125" style="6" customWidth="1"/>
    <col min="12032" max="12032" width="15.140625" style="6" customWidth="1"/>
    <col min="12033" max="12033" width="12.85546875" style="6" customWidth="1"/>
    <col min="12034" max="12034" width="12.28515625" style="6" customWidth="1"/>
    <col min="12035" max="12035" width="12.42578125" style="6" customWidth="1"/>
    <col min="12036" max="12036" width="11.7109375" style="6" customWidth="1"/>
    <col min="12037" max="12039" width="14.5703125" style="6" customWidth="1"/>
    <col min="12040" max="12040" width="13.42578125" style="6" customWidth="1"/>
    <col min="12041" max="12285" width="9.140625" style="6"/>
    <col min="12286" max="12286" width="18.28515625" style="6" customWidth="1"/>
    <col min="12287" max="12287" width="13.5703125" style="6" customWidth="1"/>
    <col min="12288" max="12288" width="15.140625" style="6" customWidth="1"/>
    <col min="12289" max="12289" width="12.85546875" style="6" customWidth="1"/>
    <col min="12290" max="12290" width="12.28515625" style="6" customWidth="1"/>
    <col min="12291" max="12291" width="12.42578125" style="6" customWidth="1"/>
    <col min="12292" max="12292" width="11.7109375" style="6" customWidth="1"/>
    <col min="12293" max="12295" width="14.5703125" style="6" customWidth="1"/>
    <col min="12296" max="12296" width="13.42578125" style="6" customWidth="1"/>
    <col min="12297" max="12541" width="9.140625" style="6"/>
    <col min="12542" max="12542" width="18.28515625" style="6" customWidth="1"/>
    <col min="12543" max="12543" width="13.5703125" style="6" customWidth="1"/>
    <col min="12544" max="12544" width="15.140625" style="6" customWidth="1"/>
    <col min="12545" max="12545" width="12.85546875" style="6" customWidth="1"/>
    <col min="12546" max="12546" width="12.28515625" style="6" customWidth="1"/>
    <col min="12547" max="12547" width="12.42578125" style="6" customWidth="1"/>
    <col min="12548" max="12548" width="11.7109375" style="6" customWidth="1"/>
    <col min="12549" max="12551" width="14.5703125" style="6" customWidth="1"/>
    <col min="12552" max="12552" width="13.42578125" style="6" customWidth="1"/>
    <col min="12553" max="12797" width="9.140625" style="6"/>
    <col min="12798" max="12798" width="18.28515625" style="6" customWidth="1"/>
    <col min="12799" max="12799" width="13.5703125" style="6" customWidth="1"/>
    <col min="12800" max="12800" width="15.140625" style="6" customWidth="1"/>
    <col min="12801" max="12801" width="12.85546875" style="6" customWidth="1"/>
    <col min="12802" max="12802" width="12.28515625" style="6" customWidth="1"/>
    <col min="12803" max="12803" width="12.42578125" style="6" customWidth="1"/>
    <col min="12804" max="12804" width="11.7109375" style="6" customWidth="1"/>
    <col min="12805" max="12807" width="14.5703125" style="6" customWidth="1"/>
    <col min="12808" max="12808" width="13.42578125" style="6" customWidth="1"/>
    <col min="12809" max="13053" width="9.140625" style="6"/>
    <col min="13054" max="13054" width="18.28515625" style="6" customWidth="1"/>
    <col min="13055" max="13055" width="13.5703125" style="6" customWidth="1"/>
    <col min="13056" max="13056" width="15.140625" style="6" customWidth="1"/>
    <col min="13057" max="13057" width="12.85546875" style="6" customWidth="1"/>
    <col min="13058" max="13058" width="12.28515625" style="6" customWidth="1"/>
    <col min="13059" max="13059" width="12.42578125" style="6" customWidth="1"/>
    <col min="13060" max="13060" width="11.7109375" style="6" customWidth="1"/>
    <col min="13061" max="13063" width="14.5703125" style="6" customWidth="1"/>
    <col min="13064" max="13064" width="13.42578125" style="6" customWidth="1"/>
    <col min="13065" max="13309" width="9.140625" style="6"/>
    <col min="13310" max="13310" width="18.28515625" style="6" customWidth="1"/>
    <col min="13311" max="13311" width="13.5703125" style="6" customWidth="1"/>
    <col min="13312" max="13312" width="15.140625" style="6" customWidth="1"/>
    <col min="13313" max="13313" width="12.85546875" style="6" customWidth="1"/>
    <col min="13314" max="13314" width="12.28515625" style="6" customWidth="1"/>
    <col min="13315" max="13315" width="12.42578125" style="6" customWidth="1"/>
    <col min="13316" max="13316" width="11.7109375" style="6" customWidth="1"/>
    <col min="13317" max="13319" width="14.5703125" style="6" customWidth="1"/>
    <col min="13320" max="13320" width="13.42578125" style="6" customWidth="1"/>
    <col min="13321" max="13565" width="9.140625" style="6"/>
    <col min="13566" max="13566" width="18.28515625" style="6" customWidth="1"/>
    <col min="13567" max="13567" width="13.5703125" style="6" customWidth="1"/>
    <col min="13568" max="13568" width="15.140625" style="6" customWidth="1"/>
    <col min="13569" max="13569" width="12.85546875" style="6" customWidth="1"/>
    <col min="13570" max="13570" width="12.28515625" style="6" customWidth="1"/>
    <col min="13571" max="13571" width="12.42578125" style="6" customWidth="1"/>
    <col min="13572" max="13572" width="11.7109375" style="6" customWidth="1"/>
    <col min="13573" max="13575" width="14.5703125" style="6" customWidth="1"/>
    <col min="13576" max="13576" width="13.42578125" style="6" customWidth="1"/>
    <col min="13577" max="13821" width="9.140625" style="6"/>
    <col min="13822" max="13822" width="18.28515625" style="6" customWidth="1"/>
    <col min="13823" max="13823" width="13.5703125" style="6" customWidth="1"/>
    <col min="13824" max="13824" width="15.140625" style="6" customWidth="1"/>
    <col min="13825" max="13825" width="12.85546875" style="6" customWidth="1"/>
    <col min="13826" max="13826" width="12.28515625" style="6" customWidth="1"/>
    <col min="13827" max="13827" width="12.42578125" style="6" customWidth="1"/>
    <col min="13828" max="13828" width="11.7109375" style="6" customWidth="1"/>
    <col min="13829" max="13831" width="14.5703125" style="6" customWidth="1"/>
    <col min="13832" max="13832" width="13.42578125" style="6" customWidth="1"/>
    <col min="13833" max="14077" width="9.140625" style="6"/>
    <col min="14078" max="14078" width="18.28515625" style="6" customWidth="1"/>
    <col min="14079" max="14079" width="13.5703125" style="6" customWidth="1"/>
    <col min="14080" max="14080" width="15.140625" style="6" customWidth="1"/>
    <col min="14081" max="14081" width="12.85546875" style="6" customWidth="1"/>
    <col min="14082" max="14082" width="12.28515625" style="6" customWidth="1"/>
    <col min="14083" max="14083" width="12.42578125" style="6" customWidth="1"/>
    <col min="14084" max="14084" width="11.7109375" style="6" customWidth="1"/>
    <col min="14085" max="14087" width="14.5703125" style="6" customWidth="1"/>
    <col min="14088" max="14088" width="13.42578125" style="6" customWidth="1"/>
    <col min="14089" max="14333" width="9.140625" style="6"/>
    <col min="14334" max="14334" width="18.28515625" style="6" customWidth="1"/>
    <col min="14335" max="14335" width="13.5703125" style="6" customWidth="1"/>
    <col min="14336" max="14336" width="15.140625" style="6" customWidth="1"/>
    <col min="14337" max="14337" width="12.85546875" style="6" customWidth="1"/>
    <col min="14338" max="14338" width="12.28515625" style="6" customWidth="1"/>
    <col min="14339" max="14339" width="12.42578125" style="6" customWidth="1"/>
    <col min="14340" max="14340" width="11.7109375" style="6" customWidth="1"/>
    <col min="14341" max="14343" width="14.5703125" style="6" customWidth="1"/>
    <col min="14344" max="14344" width="13.42578125" style="6" customWidth="1"/>
    <col min="14345" max="14589" width="9.140625" style="6"/>
    <col min="14590" max="14590" width="18.28515625" style="6" customWidth="1"/>
    <col min="14591" max="14591" width="13.5703125" style="6" customWidth="1"/>
    <col min="14592" max="14592" width="15.140625" style="6" customWidth="1"/>
    <col min="14593" max="14593" width="12.85546875" style="6" customWidth="1"/>
    <col min="14594" max="14594" width="12.28515625" style="6" customWidth="1"/>
    <col min="14595" max="14595" width="12.42578125" style="6" customWidth="1"/>
    <col min="14596" max="14596" width="11.7109375" style="6" customWidth="1"/>
    <col min="14597" max="14599" width="14.5703125" style="6" customWidth="1"/>
    <col min="14600" max="14600" width="13.42578125" style="6" customWidth="1"/>
    <col min="14601" max="14845" width="9.140625" style="6"/>
    <col min="14846" max="14846" width="18.28515625" style="6" customWidth="1"/>
    <col min="14847" max="14847" width="13.5703125" style="6" customWidth="1"/>
    <col min="14848" max="14848" width="15.140625" style="6" customWidth="1"/>
    <col min="14849" max="14849" width="12.85546875" style="6" customWidth="1"/>
    <col min="14850" max="14850" width="12.28515625" style="6" customWidth="1"/>
    <col min="14851" max="14851" width="12.42578125" style="6" customWidth="1"/>
    <col min="14852" max="14852" width="11.7109375" style="6" customWidth="1"/>
    <col min="14853" max="14855" width="14.5703125" style="6" customWidth="1"/>
    <col min="14856" max="14856" width="13.42578125" style="6" customWidth="1"/>
    <col min="14857" max="15101" width="9.140625" style="6"/>
    <col min="15102" max="15102" width="18.28515625" style="6" customWidth="1"/>
    <col min="15103" max="15103" width="13.5703125" style="6" customWidth="1"/>
    <col min="15104" max="15104" width="15.140625" style="6" customWidth="1"/>
    <col min="15105" max="15105" width="12.85546875" style="6" customWidth="1"/>
    <col min="15106" max="15106" width="12.28515625" style="6" customWidth="1"/>
    <col min="15107" max="15107" width="12.42578125" style="6" customWidth="1"/>
    <col min="15108" max="15108" width="11.7109375" style="6" customWidth="1"/>
    <col min="15109" max="15111" width="14.5703125" style="6" customWidth="1"/>
    <col min="15112" max="15112" width="13.42578125" style="6" customWidth="1"/>
    <col min="15113" max="15357" width="9.140625" style="6"/>
    <col min="15358" max="15358" width="18.28515625" style="6" customWidth="1"/>
    <col min="15359" max="15359" width="13.5703125" style="6" customWidth="1"/>
    <col min="15360" max="15360" width="15.140625" style="6" customWidth="1"/>
    <col min="15361" max="15361" width="12.85546875" style="6" customWidth="1"/>
    <col min="15362" max="15362" width="12.28515625" style="6" customWidth="1"/>
    <col min="15363" max="15363" width="12.42578125" style="6" customWidth="1"/>
    <col min="15364" max="15364" width="11.7109375" style="6" customWidth="1"/>
    <col min="15365" max="15367" width="14.5703125" style="6" customWidth="1"/>
    <col min="15368" max="15368" width="13.42578125" style="6" customWidth="1"/>
    <col min="15369" max="15613" width="9.140625" style="6"/>
    <col min="15614" max="15614" width="18.28515625" style="6" customWidth="1"/>
    <col min="15615" max="15615" width="13.5703125" style="6" customWidth="1"/>
    <col min="15616" max="15616" width="15.140625" style="6" customWidth="1"/>
    <col min="15617" max="15617" width="12.85546875" style="6" customWidth="1"/>
    <col min="15618" max="15618" width="12.28515625" style="6" customWidth="1"/>
    <col min="15619" max="15619" width="12.42578125" style="6" customWidth="1"/>
    <col min="15620" max="15620" width="11.7109375" style="6" customWidth="1"/>
    <col min="15621" max="15623" width="14.5703125" style="6" customWidth="1"/>
    <col min="15624" max="15624" width="13.42578125" style="6" customWidth="1"/>
    <col min="15625" max="15869" width="9.140625" style="6"/>
    <col min="15870" max="15870" width="18.28515625" style="6" customWidth="1"/>
    <col min="15871" max="15871" width="13.5703125" style="6" customWidth="1"/>
    <col min="15872" max="15872" width="15.140625" style="6" customWidth="1"/>
    <col min="15873" max="15873" width="12.85546875" style="6" customWidth="1"/>
    <col min="15874" max="15874" width="12.28515625" style="6" customWidth="1"/>
    <col min="15875" max="15875" width="12.42578125" style="6" customWidth="1"/>
    <col min="15876" max="15876" width="11.7109375" style="6" customWidth="1"/>
    <col min="15877" max="15879" width="14.5703125" style="6" customWidth="1"/>
    <col min="15880" max="15880" width="13.42578125" style="6" customWidth="1"/>
    <col min="15881" max="16125" width="9.140625" style="6"/>
    <col min="16126" max="16126" width="18.28515625" style="6" customWidth="1"/>
    <col min="16127" max="16127" width="13.5703125" style="6" customWidth="1"/>
    <col min="16128" max="16128" width="15.140625" style="6" customWidth="1"/>
    <col min="16129" max="16129" width="12.85546875" style="6" customWidth="1"/>
    <col min="16130" max="16130" width="12.28515625" style="6" customWidth="1"/>
    <col min="16131" max="16131" width="12.42578125" style="6" customWidth="1"/>
    <col min="16132" max="16132" width="11.7109375" style="6" customWidth="1"/>
    <col min="16133" max="16135" width="14.5703125" style="6" customWidth="1"/>
    <col min="16136" max="16136" width="13.42578125" style="6" customWidth="1"/>
    <col min="16137" max="16384" width="9.140625" style="6"/>
  </cols>
  <sheetData>
    <row r="1" spans="1:11" ht="15.75">
      <c r="A1" s="201" t="str">
        <f xml:space="preserve"> "Psychological Therapies Waiting Times - Number of patients seen during the month by Health Board, "&amp;TEXT(A25,"mmm yyyy")&amp;" - "&amp;TEXT(A11,"mmm yyyy")&amp;" - Distribution of waits"</f>
        <v>Psychological Therapies Waiting Times - Number of patients seen during the month by Health Board, Apr 2020 - Jun 2021 - Distribution of waits</v>
      </c>
      <c r="B1" s="43"/>
      <c r="C1" s="43"/>
      <c r="D1" s="43"/>
    </row>
    <row r="2" spans="1:11">
      <c r="A2" s="447" t="s">
        <v>454</v>
      </c>
      <c r="B2" s="448"/>
      <c r="C2" s="448"/>
      <c r="D2" s="448"/>
    </row>
    <row r="3" spans="1:11">
      <c r="A3" s="202" t="s">
        <v>186</v>
      </c>
      <c r="B3" s="43"/>
      <c r="C3" s="43"/>
      <c r="D3" s="43"/>
      <c r="E3" s="65"/>
      <c r="F3" s="65"/>
      <c r="G3" s="65"/>
      <c r="H3" s="65"/>
      <c r="I3" s="65"/>
      <c r="J3" s="65"/>
      <c r="K3" s="48"/>
    </row>
    <row r="4" spans="1:11">
      <c r="A4" s="66"/>
      <c r="B4" s="65"/>
      <c r="C4" s="65"/>
      <c r="D4" s="65"/>
      <c r="E4" s="65"/>
      <c r="F4" s="65"/>
      <c r="G4" s="65"/>
      <c r="H4" s="65"/>
      <c r="I4" s="65"/>
      <c r="J4" s="65"/>
      <c r="K4" s="48"/>
    </row>
    <row r="5" spans="1:11">
      <c r="A5" s="199" t="s">
        <v>453</v>
      </c>
      <c r="B5" s="65"/>
      <c r="C5" s="65"/>
      <c r="D5" s="65"/>
      <c r="E5" s="65"/>
      <c r="F5" s="65"/>
      <c r="G5" s="65"/>
      <c r="H5" s="65"/>
      <c r="I5" s="65"/>
      <c r="J5" s="65"/>
      <c r="K5" s="48"/>
    </row>
    <row r="6" spans="1:11" ht="16.5" thickBot="1">
      <c r="A6" s="203" t="s">
        <v>455</v>
      </c>
      <c r="B6" s="200"/>
      <c r="C6" s="200"/>
      <c r="D6" s="200"/>
      <c r="E6" s="67"/>
      <c r="F6" s="67"/>
      <c r="G6" s="67"/>
      <c r="H6" s="67"/>
      <c r="I6" s="67"/>
      <c r="J6" s="67"/>
      <c r="K6" s="67"/>
    </row>
    <row r="7" spans="1:11" ht="15.75" thickBot="1">
      <c r="A7" s="6" t="s">
        <v>180</v>
      </c>
      <c r="B7" s="9"/>
      <c r="C7" s="440" t="s">
        <v>28</v>
      </c>
      <c r="D7" s="441"/>
      <c r="E7" s="67"/>
      <c r="F7" s="124"/>
      <c r="G7" s="67"/>
      <c r="H7" s="67"/>
      <c r="I7" s="67"/>
      <c r="J7" s="67"/>
      <c r="K7" s="67"/>
    </row>
    <row r="8" spans="1:11">
      <c r="A8" s="220" t="s">
        <v>1301</v>
      </c>
      <c r="B8" s="33" t="s">
        <v>183</v>
      </c>
      <c r="C8" s="9"/>
      <c r="D8" s="9"/>
      <c r="E8" s="34"/>
      <c r="F8" s="92" t="s">
        <v>172</v>
      </c>
      <c r="G8" s="68" t="s">
        <v>30</v>
      </c>
      <c r="H8" s="34"/>
      <c r="I8" s="34"/>
      <c r="J8" s="34"/>
      <c r="K8" s="28"/>
    </row>
    <row r="9" spans="1:11" ht="21.75" customHeight="1">
      <c r="A9" s="442" t="s">
        <v>31</v>
      </c>
      <c r="B9" s="444" t="s">
        <v>329</v>
      </c>
      <c r="C9" s="445" t="s">
        <v>32</v>
      </c>
      <c r="D9" s="446" t="s">
        <v>330</v>
      </c>
      <c r="E9" s="446"/>
      <c r="F9" s="446"/>
      <c r="G9" s="446"/>
      <c r="H9" s="449" t="s">
        <v>187</v>
      </c>
      <c r="I9" s="446"/>
      <c r="J9" s="446"/>
      <c r="K9" s="446"/>
    </row>
    <row r="10" spans="1:11" ht="16.5" customHeight="1">
      <c r="A10" s="443"/>
      <c r="B10" s="444"/>
      <c r="C10" s="445"/>
      <c r="D10" s="151" t="s">
        <v>34</v>
      </c>
      <c r="E10" s="163" t="s">
        <v>188</v>
      </c>
      <c r="F10" s="151" t="s">
        <v>317</v>
      </c>
      <c r="G10" s="151" t="s">
        <v>331</v>
      </c>
      <c r="H10" s="164" t="s">
        <v>34</v>
      </c>
      <c r="I10" s="163" t="s">
        <v>188</v>
      </c>
      <c r="J10" s="163" t="s">
        <v>317</v>
      </c>
      <c r="K10" s="151" t="s">
        <v>331</v>
      </c>
    </row>
    <row r="11" spans="1:11">
      <c r="A11" s="353">
        <f>REPORT_raw_dataseen!R1</f>
        <v>44348</v>
      </c>
      <c r="B11" s="255" t="str">
        <f>IF(VLOOKUP($C$7,'Type of adjust'!$A$1:$P$18,MATCH($A11,'Type of adjust'!$A$1:$P$1,0),FALSE)="", "..", VLOOKUP($C$7,'Type of adjust'!$A$1:$P$18,MATCH($A11,'Type of adjust'!$A$1:$P$1,0),FALSE))</f>
        <v>..</v>
      </c>
      <c r="C11" s="260">
        <f>VLOOKUP($C$7&amp;"Adjusted seen "&amp;$C$9,REPORT_raw_dataseen!$A$1:$R$817,MATCH($A11,REPORT_raw_dataseen!$D$1:$R$1,1)+3, FALSE)</f>
        <v>6719</v>
      </c>
      <c r="D11" s="260">
        <f>IF(VLOOKUP($C$7&amp;"Adjusted seen "&amp;$D$10,REPORT_raw_dataseen!$A$1:$R$817,MATCH($A11,REPORT_raw_dataseen!$D$1:$R$1,1)+3, FALSE)=0,"-",VLOOKUP($C$7&amp;"Adjusted seen "&amp;$D$10,REPORT_raw_dataseen!$A$1:$R$817,MATCH($A11,REPORT_raw_dataseen!$D$1:$R$1,1)+3, FALSE))</f>
        <v>5664</v>
      </c>
      <c r="E11" s="260">
        <f>IF(VLOOKUP($C$7&amp;"Adjusted seen "&amp;$E$10,REPORT_raw_dataseen!$A$1:$R$817,MATCH($A11,REPORT_raw_dataseen!$D$1:$R$1,1)+3, FALSE)=0,"-",VLOOKUP($C$7&amp;"Adjusted seen "&amp;$E$10,REPORT_raw_dataseen!$A$1:$R$817,MATCH($A11,REPORT_raw_dataseen!$D$1:$R$1,1)+3, FALSE))</f>
        <v>495</v>
      </c>
      <c r="F11" s="260">
        <f>IF(VLOOKUP($C$7&amp;"Adjusted seen "&amp;$F$8,REPORT_raw_dataseen!$A$1:$R$817,MATCH($A11,REPORT_raw_dataseen!$D$1:$R$1,1)+3, FALSE)=0,"-",  VLOOKUP($C$7&amp;"Adjusted seen "&amp;$F$8,REPORT_raw_dataseen!$A$1:$R$817,MATCH($A11,REPORT_raw_dataseen!$D$1:$R$1,1)+3, FALSE))</f>
        <v>255</v>
      </c>
      <c r="G11" s="260">
        <f>IF(VLOOKUP($C$7&amp;"Adjusted seen "&amp;$G$8,REPORT_raw_dataseen!$A$1:$R$817,MATCH($A11,REPORT_raw_dataseen!$D$1:$R$1,1)+3, FALSE)=0,"-",VLOOKUP($C$7&amp;"Adjusted seen "&amp;$G$8,REPORT_raw_dataseen!$A$1:$R$817,MATCH($A11,REPORT_raw_dataseen!$D$1:$R$1,1)+3, FALSE))</f>
        <v>305</v>
      </c>
      <c r="H11" s="263">
        <f t="shared" ref="H11:H25" si="0">IF(D11="-","-",IF(D11="..","..",IF(D11=0,"-",IF((D11/$C11%)=0,"-",ROUND(D11/$C11%,2)))))</f>
        <v>84.3</v>
      </c>
      <c r="I11" s="263">
        <f t="shared" ref="I11:K21" si="1">IF(E11="-","-",IF(E11="..","..",IF(E11=0,"-",IF((E11/$C11%)=0,"-",ROUND(E11/$C11%,2)))))</f>
        <v>7.37</v>
      </c>
      <c r="J11" s="263">
        <f t="shared" si="1"/>
        <v>3.8</v>
      </c>
      <c r="K11" s="257">
        <f t="shared" si="1"/>
        <v>4.54</v>
      </c>
    </row>
    <row r="12" spans="1:11">
      <c r="A12" s="354">
        <f>DATE(YEAR(A11),MONTH(A11)-1,DAY(A11))</f>
        <v>44317</v>
      </c>
      <c r="B12" s="256" t="str">
        <f>IF(VLOOKUP($C$7,'Type of adjust'!$A$1:$P$18,MATCH($A12,'Type of adjust'!$A$1:$P$1,0),FALSE)="", "..", VLOOKUP($C$7,'Type of adjust'!$A$1:$P$18,MATCH($A12,'Type of adjust'!$A$1:$P$1,0),FALSE))</f>
        <v>..</v>
      </c>
      <c r="C12" s="261">
        <f>VLOOKUP($C$7&amp;"Adjusted seen "&amp;$C$9,REPORT_raw_dataseen!$A$1:$R$817,MATCH($A12,REPORT_raw_dataseen!$D$1:$R$1,1)+3, FALSE)</f>
        <v>6483</v>
      </c>
      <c r="D12" s="261">
        <f>IF(VLOOKUP($C$7&amp;"Adjusted seen "&amp;$D$10,REPORT_raw_dataseen!$A$1:$R$817,MATCH($A12,REPORT_raw_dataseen!$D$1:$R$1,1)+3, FALSE)=0,"-",VLOOKUP($C$7&amp;"Adjusted seen "&amp;$D$10,REPORT_raw_dataseen!$A$1:$R$817,MATCH($A12,REPORT_raw_dataseen!$D$1:$R$1,1)+3, FALSE))</f>
        <v>5346</v>
      </c>
      <c r="E12" s="261">
        <f>IF(VLOOKUP($C$7&amp;"Adjusted seen "&amp;$E$10,REPORT_raw_dataseen!$A$1:$R$817,MATCH($A12,REPORT_raw_dataseen!$D$1:$R$1,1)+3, FALSE)=0,"-",VLOOKUP($C$7&amp;"Adjusted seen "&amp;$E$10,REPORT_raw_dataseen!$A$1:$R$817,MATCH($A12,REPORT_raw_dataseen!$D$1:$R$1,1)+3, FALSE))</f>
        <v>579</v>
      </c>
      <c r="F12" s="261">
        <f>IF(VLOOKUP($C$7&amp;"Adjusted seen "&amp;$F$8,REPORT_raw_dataseen!$A$1:$R$817,MATCH($A12,REPORT_raw_dataseen!$D$1:$R$1,1)+3, FALSE)=0,"-",  VLOOKUP($C$7&amp;"Adjusted seen "&amp;$F$8,REPORT_raw_dataseen!$A$1:$R$817,MATCH($A12,REPORT_raw_dataseen!$D$1:$R$1,1)+3, FALSE))</f>
        <v>201</v>
      </c>
      <c r="G12" s="261">
        <f>IF(VLOOKUP($C$7&amp;"Adjusted seen "&amp;$G$8,REPORT_raw_dataseen!$A$1:$R$817,MATCH($A12,REPORT_raw_dataseen!$D$1:$R$1,1)+3, FALSE)=0,"-",VLOOKUP($C$7&amp;"Adjusted seen "&amp;$G$8,REPORT_raw_dataseen!$A$1:$R$817,MATCH($A12,REPORT_raw_dataseen!$D$1:$R$1,1)+3, FALSE))</f>
        <v>357</v>
      </c>
      <c r="H12" s="264">
        <f t="shared" si="0"/>
        <v>82.46</v>
      </c>
      <c r="I12" s="264">
        <f t="shared" si="1"/>
        <v>8.93</v>
      </c>
      <c r="J12" s="264">
        <f t="shared" si="1"/>
        <v>3.1</v>
      </c>
      <c r="K12" s="258">
        <f t="shared" si="1"/>
        <v>5.51</v>
      </c>
    </row>
    <row r="13" spans="1:11">
      <c r="A13" s="354">
        <f>DATE(YEAR(A12),MONTH(A12)-1,DAY(A12))</f>
        <v>44287</v>
      </c>
      <c r="B13" s="256" t="str">
        <f>IF(VLOOKUP($C$7,'Type of adjust'!$A$1:$P$18,MATCH($A13,'Type of adjust'!$A$1:$P$1,0),FALSE)="", "..", VLOOKUP($C$7,'Type of adjust'!$A$1:$P$18,MATCH($A13,'Type of adjust'!$A$1:$P$1,0),FALSE))</f>
        <v>..</v>
      </c>
      <c r="C13" s="261">
        <f>VLOOKUP($C$7&amp;"Adjusted seen "&amp;$C$9,REPORT_raw_dataseen!$A$1:$R$817,MATCH($A13,REPORT_raw_dataseen!$D$1:$R$1,1)+3, FALSE)</f>
        <v>6385</v>
      </c>
      <c r="D13" s="261">
        <f>IF(VLOOKUP($C$7&amp;"Adjusted seen "&amp;$D$10,REPORT_raw_dataseen!$A$1:$R$817,MATCH($A13,REPORT_raw_dataseen!$D$1:$R$1,1)+3, FALSE)=0,"-",VLOOKUP($C$7&amp;"Adjusted seen "&amp;$D$10,REPORT_raw_dataseen!$A$1:$R$817,MATCH($A13,REPORT_raw_dataseen!$D$1:$R$1,1)+3, FALSE))</f>
        <v>5191</v>
      </c>
      <c r="E13" s="261">
        <f>IF(VLOOKUP($C$7&amp;"Adjusted seen "&amp;$E$10,REPORT_raw_dataseen!$A$1:$R$817,MATCH($A13,REPORT_raw_dataseen!$D$1:$R$1,1)+3, FALSE)=0,"-",VLOOKUP($C$7&amp;"Adjusted seen "&amp;$E$10,REPORT_raw_dataseen!$A$1:$R$817,MATCH($A13,REPORT_raw_dataseen!$D$1:$R$1,1)+3, FALSE))</f>
        <v>572</v>
      </c>
      <c r="F13" s="261">
        <f>IF(VLOOKUP($C$7&amp;"Adjusted seen "&amp;$F$8,REPORT_raw_dataseen!$A$1:$R$817,MATCH($A13,REPORT_raw_dataseen!$D$1:$R$1,1)+3, FALSE)=0,"-",  VLOOKUP($C$7&amp;"Adjusted seen "&amp;$F$8,REPORT_raw_dataseen!$A$1:$R$817,MATCH($A13,REPORT_raw_dataseen!$D$1:$R$1,1)+3, FALSE))</f>
        <v>212</v>
      </c>
      <c r="G13" s="261">
        <f>IF(VLOOKUP($C$7&amp;"Adjusted seen "&amp;$G$8,REPORT_raw_dataseen!$A$1:$R$817,MATCH($A13,REPORT_raw_dataseen!$D$1:$R$1,1)+3, FALSE)=0,"-",VLOOKUP($C$7&amp;"Adjusted seen "&amp;$G$8,REPORT_raw_dataseen!$A$1:$R$817,MATCH($A13,REPORT_raw_dataseen!$D$1:$R$1,1)+3, FALSE))</f>
        <v>410</v>
      </c>
      <c r="H13" s="264">
        <f t="shared" si="0"/>
        <v>81.3</v>
      </c>
      <c r="I13" s="264">
        <f t="shared" si="1"/>
        <v>8.9600000000000009</v>
      </c>
      <c r="J13" s="264">
        <f t="shared" si="1"/>
        <v>3.32</v>
      </c>
      <c r="K13" s="258">
        <f t="shared" si="1"/>
        <v>6.42</v>
      </c>
    </row>
    <row r="14" spans="1:11">
      <c r="A14" s="354">
        <f>DATE(YEAR(A13),MONTH(A13)-1,DAY(A13))</f>
        <v>44256</v>
      </c>
      <c r="B14" s="256" t="str">
        <f>IF(VLOOKUP($C$7,'Type of adjust'!$A$1:$P$18,MATCH($A14,'Type of adjust'!$A$1:$P$1,0),FALSE)="", "..", VLOOKUP($C$7,'Type of adjust'!$A$1:$P$18,MATCH($A14,'Type of adjust'!$A$1:$P$1,0),FALSE))</f>
        <v>..</v>
      </c>
      <c r="C14" s="261">
        <f>VLOOKUP($C$7&amp;"Adjusted seen "&amp;$C$9,REPORT_raw_dataseen!$A$1:$R$817,MATCH($A14,REPORT_raw_dataseen!$D$1:$R$1,1)+3, FALSE)</f>
        <v>6523</v>
      </c>
      <c r="D14" s="261">
        <f>IF(VLOOKUP($C$7&amp;"Adjusted seen "&amp;$D$10,REPORT_raw_dataseen!$A$1:$R$817,MATCH($A14,REPORT_raw_dataseen!$D$1:$R$1,1)+3, FALSE)=0,"-",VLOOKUP($C$7&amp;"Adjusted seen "&amp;$D$10,REPORT_raw_dataseen!$A$1:$R$817,MATCH($A14,REPORT_raw_dataseen!$D$1:$R$1,1)+3, FALSE))</f>
        <v>5276</v>
      </c>
      <c r="E14" s="261">
        <f>IF(VLOOKUP($C$7&amp;"Adjusted seen "&amp;$E$10,REPORT_raw_dataseen!$A$1:$R$817,MATCH($A14,REPORT_raw_dataseen!$D$1:$R$1,1)+3, FALSE)=0,"-",VLOOKUP($C$7&amp;"Adjusted seen "&amp;$E$10,REPORT_raw_dataseen!$A$1:$R$817,MATCH($A14,REPORT_raw_dataseen!$D$1:$R$1,1)+3, FALSE))</f>
        <v>589</v>
      </c>
      <c r="F14" s="261">
        <f>IF(VLOOKUP($C$7&amp;"Adjusted seen "&amp;$F$8,REPORT_raw_dataseen!$A$1:$R$817,MATCH($A14,REPORT_raw_dataseen!$D$1:$R$1,1)+3, FALSE)=0,"-",  VLOOKUP($C$7&amp;"Adjusted seen "&amp;$F$8,REPORT_raw_dataseen!$A$1:$R$817,MATCH($A14,REPORT_raw_dataseen!$D$1:$R$1,1)+3, FALSE))</f>
        <v>211</v>
      </c>
      <c r="G14" s="261">
        <f>IF(VLOOKUP($C$7&amp;"Adjusted seen "&amp;$G$8,REPORT_raw_dataseen!$A$1:$R$817,MATCH($A14,REPORT_raw_dataseen!$D$1:$R$1,1)+3, FALSE)=0,"-",VLOOKUP($C$7&amp;"Adjusted seen "&amp;$G$8,REPORT_raw_dataseen!$A$1:$R$817,MATCH($A14,REPORT_raw_dataseen!$D$1:$R$1,1)+3, FALSE))</f>
        <v>447</v>
      </c>
      <c r="H14" s="264">
        <f t="shared" si="0"/>
        <v>80.88</v>
      </c>
      <c r="I14" s="264">
        <f t="shared" si="1"/>
        <v>9.0299999999999994</v>
      </c>
      <c r="J14" s="264">
        <f t="shared" si="1"/>
        <v>3.23</v>
      </c>
      <c r="K14" s="258">
        <f t="shared" si="1"/>
        <v>6.85</v>
      </c>
    </row>
    <row r="15" spans="1:11">
      <c r="A15" s="354">
        <f>DATE(YEAR(A14),MONTH(A14)-1,DAY(A14))</f>
        <v>44228</v>
      </c>
      <c r="B15" s="256" t="str">
        <f>IF(VLOOKUP($C$7,'Type of adjust'!$A$1:$P$18,MATCH($A15,'Type of adjust'!$A$1:$P$1,0),FALSE)="", "..", VLOOKUP($C$7,'Type of adjust'!$A$1:$P$18,MATCH($A15,'Type of adjust'!$A$1:$P$1,0),FALSE))</f>
        <v>..</v>
      </c>
      <c r="C15" s="261">
        <f>VLOOKUP($C$7&amp;"Adjusted seen "&amp;$C$9,REPORT_raw_dataseen!$A$1:$R$817,MATCH($A15,REPORT_raw_dataseen!$D$1:$R$1,1)+3, FALSE)</f>
        <v>5855</v>
      </c>
      <c r="D15" s="261">
        <f>IF(VLOOKUP($C$7&amp;"Adjusted seen "&amp;$D$10,REPORT_raw_dataseen!$A$1:$R$817,MATCH($A15,REPORT_raw_dataseen!$D$1:$R$1,1)+3, FALSE)=0,"-",VLOOKUP($C$7&amp;"Adjusted seen "&amp;$D$10,REPORT_raw_dataseen!$A$1:$R$817,MATCH($A15,REPORT_raw_dataseen!$D$1:$R$1,1)+3, FALSE))</f>
        <v>4752</v>
      </c>
      <c r="E15" s="261">
        <f>IF(VLOOKUP($C$7&amp;"Adjusted seen "&amp;$E$10,REPORT_raw_dataseen!$A$1:$R$817,MATCH($A15,REPORT_raw_dataseen!$D$1:$R$1,1)+3, FALSE)=0,"-",VLOOKUP($C$7&amp;"Adjusted seen "&amp;$E$10,REPORT_raw_dataseen!$A$1:$R$817,MATCH($A15,REPORT_raw_dataseen!$D$1:$R$1,1)+3, FALSE))</f>
        <v>430</v>
      </c>
      <c r="F15" s="261">
        <f>IF(VLOOKUP($C$7&amp;"Adjusted seen "&amp;$F$8,REPORT_raw_dataseen!$A$1:$R$817,MATCH($A15,REPORT_raw_dataseen!$D$1:$R$1,1)+3, FALSE)=0,"-",  VLOOKUP($C$7&amp;"Adjusted seen "&amp;$F$8,REPORT_raw_dataseen!$A$1:$R$817,MATCH($A15,REPORT_raw_dataseen!$D$1:$R$1,1)+3, FALSE))</f>
        <v>324</v>
      </c>
      <c r="G15" s="261">
        <f>IF(VLOOKUP($C$7&amp;"Adjusted seen "&amp;$G$8,REPORT_raw_dataseen!$A$1:$R$817,MATCH($A15,REPORT_raw_dataseen!$D$1:$R$1,1)+3, FALSE)=0,"-",VLOOKUP($C$7&amp;"Adjusted seen "&amp;$G$8,REPORT_raw_dataseen!$A$1:$R$817,MATCH($A15,REPORT_raw_dataseen!$D$1:$R$1,1)+3, FALSE))</f>
        <v>349</v>
      </c>
      <c r="H15" s="264">
        <f t="shared" si="0"/>
        <v>81.16</v>
      </c>
      <c r="I15" s="264">
        <f t="shared" si="1"/>
        <v>7.34</v>
      </c>
      <c r="J15" s="264">
        <f t="shared" si="1"/>
        <v>5.53</v>
      </c>
      <c r="K15" s="258">
        <f t="shared" si="1"/>
        <v>5.96</v>
      </c>
    </row>
    <row r="16" spans="1:11">
      <c r="A16" s="354">
        <f>DATE(YEAR(A15),MONTH(A15)-1,DAY(A15))</f>
        <v>44197</v>
      </c>
      <c r="B16" s="256" t="str">
        <f>IF(VLOOKUP($C$7,'Type of adjust'!$A$1:$P$18,MATCH($A16,'Type of adjust'!$A$1:$P$1,0),FALSE)="", "..", VLOOKUP($C$7,'Type of adjust'!$A$1:$P$18,MATCH($A16,'Type of adjust'!$A$1:$P$1,0),FALSE))</f>
        <v>..</v>
      </c>
      <c r="C16" s="261">
        <f>VLOOKUP($C$7&amp;"Adjusted seen "&amp;$C$9,REPORT_raw_dataseen!$A$1:$R$817,MATCH($A16,REPORT_raw_dataseen!$D$1:$R$1,1)+3, FALSE)</f>
        <v>5745</v>
      </c>
      <c r="D16" s="261">
        <f>IF(VLOOKUP($C$7&amp;"Adjusted seen "&amp;$D$10,REPORT_raw_dataseen!$A$1:$R$817,MATCH($A16,REPORT_raw_dataseen!$D$1:$R$1,1)+3, FALSE)=0,"-",VLOOKUP($C$7&amp;"Adjusted seen "&amp;$D$10,REPORT_raw_dataseen!$A$1:$R$817,MATCH($A16,REPORT_raw_dataseen!$D$1:$R$1,1)+3, FALSE))</f>
        <v>4564</v>
      </c>
      <c r="E16" s="261">
        <f>IF(VLOOKUP($C$7&amp;"Adjusted seen "&amp;$E$10,REPORT_raw_dataseen!$A$1:$R$817,MATCH($A16,REPORT_raw_dataseen!$D$1:$R$1,1)+3, FALSE)=0,"-",VLOOKUP($C$7&amp;"Adjusted seen "&amp;$E$10,REPORT_raw_dataseen!$A$1:$R$817,MATCH($A16,REPORT_raw_dataseen!$D$1:$R$1,1)+3, FALSE))</f>
        <v>385</v>
      </c>
      <c r="F16" s="261">
        <f>IF(VLOOKUP($C$7&amp;"Adjusted seen "&amp;$F$8,REPORT_raw_dataseen!$A$1:$R$817,MATCH($A16,REPORT_raw_dataseen!$D$1:$R$1,1)+3, FALSE)=0,"-",  VLOOKUP($C$7&amp;"Adjusted seen "&amp;$F$8,REPORT_raw_dataseen!$A$1:$R$817,MATCH($A16,REPORT_raw_dataseen!$D$1:$R$1,1)+3, FALSE))</f>
        <v>391</v>
      </c>
      <c r="G16" s="261">
        <f>IF(VLOOKUP($C$7&amp;"Adjusted seen "&amp;$G$8,REPORT_raw_dataseen!$A$1:$R$817,MATCH($A16,REPORT_raw_dataseen!$D$1:$R$1,1)+3, FALSE)=0,"-",VLOOKUP($C$7&amp;"Adjusted seen "&amp;$G$8,REPORT_raw_dataseen!$A$1:$R$817,MATCH($A16,REPORT_raw_dataseen!$D$1:$R$1,1)+3, FALSE))</f>
        <v>405</v>
      </c>
      <c r="H16" s="264">
        <f t="shared" si="0"/>
        <v>79.44</v>
      </c>
      <c r="I16" s="264">
        <f t="shared" si="1"/>
        <v>6.7</v>
      </c>
      <c r="J16" s="264">
        <f t="shared" si="1"/>
        <v>6.81</v>
      </c>
      <c r="K16" s="258">
        <f t="shared" si="1"/>
        <v>7.05</v>
      </c>
    </row>
    <row r="17" spans="1:11">
      <c r="A17" s="354">
        <f t="shared" ref="A17:A25" si="2">DATE(YEAR(A16),MONTH(A16)-1,DAY(A16))</f>
        <v>44166</v>
      </c>
      <c r="B17" s="256" t="str">
        <f>IF(VLOOKUP($C$7,'Type of adjust'!$A$1:$P$18,MATCH($A17,'Type of adjust'!$A$1:$P$1,0),FALSE)="", "..", VLOOKUP($C$7,'Type of adjust'!$A$1:$P$18,MATCH($A17,'Type of adjust'!$A$1:$P$1,0),FALSE))</f>
        <v>..</v>
      </c>
      <c r="C17" s="261">
        <f>VLOOKUP($C$7&amp;"Adjusted seen "&amp;$C$9,REPORT_raw_dataseen!$A$1:$R$817,MATCH($A17,REPORT_raw_dataseen!$D$1:$R$1,1)+3, FALSE)</f>
        <v>5049</v>
      </c>
      <c r="D17" s="261">
        <f>IF(VLOOKUP($C$7&amp;"Adjusted seen "&amp;$D$10,REPORT_raw_dataseen!$A$1:$R$817,MATCH($A17,REPORT_raw_dataseen!$D$1:$R$1,1)+3, FALSE)=0,"-",VLOOKUP($C$7&amp;"Adjusted seen "&amp;$D$10,REPORT_raw_dataseen!$A$1:$R$817,MATCH($A17,REPORT_raw_dataseen!$D$1:$R$1,1)+3, FALSE))</f>
        <v>4201</v>
      </c>
      <c r="E17" s="261">
        <f>IF(VLOOKUP($C$7&amp;"Adjusted seen "&amp;$E$10,REPORT_raw_dataseen!$A$1:$R$817,MATCH($A17,REPORT_raw_dataseen!$D$1:$R$1,1)+3, FALSE)=0,"-",VLOOKUP($C$7&amp;"Adjusted seen "&amp;$E$10,REPORT_raw_dataseen!$A$1:$R$817,MATCH($A17,REPORT_raw_dataseen!$D$1:$R$1,1)+3, FALSE))</f>
        <v>210</v>
      </c>
      <c r="F17" s="261">
        <f>IF(VLOOKUP($C$7&amp;"Adjusted seen "&amp;$F$8,REPORT_raw_dataseen!$A$1:$R$817,MATCH($A17,REPORT_raw_dataseen!$D$1:$R$1,1)+3, FALSE)=0,"-",  VLOOKUP($C$7&amp;"Adjusted seen "&amp;$F$8,REPORT_raw_dataseen!$A$1:$R$817,MATCH($A17,REPORT_raw_dataseen!$D$1:$R$1,1)+3, FALSE))</f>
        <v>365</v>
      </c>
      <c r="G17" s="261">
        <f>IF(VLOOKUP($C$7&amp;"Adjusted seen "&amp;$G$8,REPORT_raw_dataseen!$A$1:$R$817,MATCH($A17,REPORT_raw_dataseen!$D$1:$R$1,1)+3, FALSE)=0,"-",VLOOKUP($C$7&amp;"Adjusted seen "&amp;$G$8,REPORT_raw_dataseen!$A$1:$R$817,MATCH($A17,REPORT_raw_dataseen!$D$1:$R$1,1)+3, FALSE))</f>
        <v>273</v>
      </c>
      <c r="H17" s="264">
        <f t="shared" si="0"/>
        <v>83.2</v>
      </c>
      <c r="I17" s="264">
        <f t="shared" si="1"/>
        <v>4.16</v>
      </c>
      <c r="J17" s="264">
        <f t="shared" si="1"/>
        <v>7.23</v>
      </c>
      <c r="K17" s="258">
        <f t="shared" si="1"/>
        <v>5.41</v>
      </c>
    </row>
    <row r="18" spans="1:11">
      <c r="A18" s="354">
        <f t="shared" si="2"/>
        <v>44136</v>
      </c>
      <c r="B18" s="256" t="str">
        <f>IF(VLOOKUP($C$7,'Type of adjust'!$A$1:$P$18,MATCH($A18,'Type of adjust'!$A$1:$P$1,0),FALSE)="", "..", VLOOKUP($C$7,'Type of adjust'!$A$1:$P$18,MATCH($A18,'Type of adjust'!$A$1:$P$1,0),FALSE))</f>
        <v>..</v>
      </c>
      <c r="C18" s="261">
        <f>VLOOKUP($C$7&amp;"Adjusted seen "&amp;$C$9,REPORT_raw_dataseen!$A$1:$R$817,MATCH($A18,REPORT_raw_dataseen!$D$1:$R$1,1)+3, FALSE)</f>
        <v>6450</v>
      </c>
      <c r="D18" s="261">
        <f>IF(VLOOKUP($C$7&amp;"Adjusted seen "&amp;$D$10,REPORT_raw_dataseen!$A$1:$R$817,MATCH($A18,REPORT_raw_dataseen!$D$1:$R$1,1)+3, FALSE)=0,"-",VLOOKUP($C$7&amp;"Adjusted seen "&amp;$D$10,REPORT_raw_dataseen!$A$1:$R$817,MATCH($A18,REPORT_raw_dataseen!$D$1:$R$1,1)+3, FALSE))</f>
        <v>5040</v>
      </c>
      <c r="E18" s="261">
        <f>IF(VLOOKUP($C$7&amp;"Adjusted seen "&amp;$E$10,REPORT_raw_dataseen!$A$1:$R$817,MATCH($A18,REPORT_raw_dataseen!$D$1:$R$1,1)+3, FALSE)=0,"-",VLOOKUP($C$7&amp;"Adjusted seen "&amp;$E$10,REPORT_raw_dataseen!$A$1:$R$817,MATCH($A18,REPORT_raw_dataseen!$D$1:$R$1,1)+3, FALSE))</f>
        <v>321</v>
      </c>
      <c r="F18" s="261">
        <f>IF(VLOOKUP($C$7&amp;"Adjusted seen "&amp;$F$8,REPORT_raw_dataseen!$A$1:$R$817,MATCH($A18,REPORT_raw_dataseen!$D$1:$R$1,1)+3, FALSE)=0,"-",  VLOOKUP($C$7&amp;"Adjusted seen "&amp;$F$8,REPORT_raw_dataseen!$A$1:$R$817,MATCH($A18,REPORT_raw_dataseen!$D$1:$R$1,1)+3, FALSE))</f>
        <v>598</v>
      </c>
      <c r="G18" s="261">
        <f>IF(VLOOKUP($C$7&amp;"Adjusted seen "&amp;$G$8,REPORT_raw_dataseen!$A$1:$R$817,MATCH($A18,REPORT_raw_dataseen!$D$1:$R$1,1)+3, FALSE)=0,"-",VLOOKUP($C$7&amp;"Adjusted seen "&amp;$G$8,REPORT_raw_dataseen!$A$1:$R$817,MATCH($A18,REPORT_raw_dataseen!$D$1:$R$1,1)+3, FALSE))</f>
        <v>491</v>
      </c>
      <c r="H18" s="264">
        <f t="shared" si="0"/>
        <v>78.14</v>
      </c>
      <c r="I18" s="264">
        <f t="shared" si="1"/>
        <v>4.9800000000000004</v>
      </c>
      <c r="J18" s="264">
        <f t="shared" si="1"/>
        <v>9.27</v>
      </c>
      <c r="K18" s="258">
        <f t="shared" si="1"/>
        <v>7.61</v>
      </c>
    </row>
    <row r="19" spans="1:11">
      <c r="A19" s="354">
        <f t="shared" si="2"/>
        <v>44105</v>
      </c>
      <c r="B19" s="256" t="str">
        <f>IF(VLOOKUP($C$7,'Type of adjust'!$A$1:$P$18,MATCH($A19,'Type of adjust'!$A$1:$P$1,0),FALSE)="", "..", VLOOKUP($C$7,'Type of adjust'!$A$1:$P$18,MATCH($A19,'Type of adjust'!$A$1:$P$1,0),FALSE))</f>
        <v>..</v>
      </c>
      <c r="C19" s="261">
        <f>VLOOKUP($C$7&amp;"Adjusted seen "&amp;$C$9,REPORT_raw_dataseen!$A$1:$R$817,MATCH($A19,REPORT_raw_dataseen!$D$1:$R$1,1)+3, FALSE)</f>
        <v>5524</v>
      </c>
      <c r="D19" s="261">
        <f>IF(VLOOKUP($C$7&amp;"Adjusted seen "&amp;$D$10,REPORT_raw_dataseen!$A$1:$R$817,MATCH($A19,REPORT_raw_dataseen!$D$1:$R$1,1)+3, FALSE)=0,"-",VLOOKUP($C$7&amp;"Adjusted seen "&amp;$D$10,REPORT_raw_dataseen!$A$1:$R$817,MATCH($A19,REPORT_raw_dataseen!$D$1:$R$1,1)+3, FALSE))</f>
        <v>4384</v>
      </c>
      <c r="E19" s="261">
        <f>IF(VLOOKUP($C$7&amp;"Adjusted seen "&amp;$E$10,REPORT_raw_dataseen!$A$1:$R$817,MATCH($A19,REPORT_raw_dataseen!$D$1:$R$1,1)+3, FALSE)=0,"-",VLOOKUP($C$7&amp;"Adjusted seen "&amp;$E$10,REPORT_raw_dataseen!$A$1:$R$817,MATCH($A19,REPORT_raw_dataseen!$D$1:$R$1,1)+3, FALSE))</f>
        <v>378</v>
      </c>
      <c r="F19" s="261">
        <f>IF(VLOOKUP($C$7&amp;"Adjusted seen "&amp;$F$8,REPORT_raw_dataseen!$A$1:$R$817,MATCH($A19,REPORT_raw_dataseen!$D$1:$R$1,1)+3, FALSE)=0,"-",  VLOOKUP($C$7&amp;"Adjusted seen "&amp;$F$8,REPORT_raw_dataseen!$A$1:$R$817,MATCH($A19,REPORT_raw_dataseen!$D$1:$R$1,1)+3, FALSE))</f>
        <v>379</v>
      </c>
      <c r="G19" s="261">
        <f>IF(VLOOKUP($C$7&amp;"Adjusted seen "&amp;$G$8,REPORT_raw_dataseen!$A$1:$R$817,MATCH($A19,REPORT_raw_dataseen!$D$1:$R$1,1)+3, FALSE)=0,"-",VLOOKUP($C$7&amp;"Adjusted seen "&amp;$G$8,REPORT_raw_dataseen!$A$1:$R$817,MATCH($A19,REPORT_raw_dataseen!$D$1:$R$1,1)+3, FALSE))</f>
        <v>383</v>
      </c>
      <c r="H19" s="264">
        <f t="shared" si="0"/>
        <v>79.36</v>
      </c>
      <c r="I19" s="264">
        <f t="shared" si="1"/>
        <v>6.84</v>
      </c>
      <c r="J19" s="264">
        <f t="shared" si="1"/>
        <v>6.86</v>
      </c>
      <c r="K19" s="258">
        <f t="shared" si="1"/>
        <v>6.93</v>
      </c>
    </row>
    <row r="20" spans="1:11">
      <c r="A20" s="354">
        <f t="shared" si="2"/>
        <v>44075</v>
      </c>
      <c r="B20" s="256" t="str">
        <f>IF(VLOOKUP($C$7,'Type of adjust'!$A$1:$P$18,MATCH($A20,'Type of adjust'!$A$1:$P$1,0),FALSE)="", "..", VLOOKUP($C$7,'Type of adjust'!$A$1:$P$18,MATCH($A20,'Type of adjust'!$A$1:$P$1,0),FALSE))</f>
        <v>..</v>
      </c>
      <c r="C20" s="261">
        <f>VLOOKUP($C$7&amp;"Adjusted seen "&amp;$C$9,REPORT_raw_dataseen!$A$1:$R$817,MATCH($A20,REPORT_raw_dataseen!$D$1:$R$1,1)+3, FALSE)</f>
        <v>5311</v>
      </c>
      <c r="D20" s="261">
        <f>IF(VLOOKUP($C$7&amp;"Adjusted seen "&amp;$D$10,REPORT_raw_dataseen!$A$1:$R$817,MATCH($A20,REPORT_raw_dataseen!$D$1:$R$1,1)+3, FALSE)=0,"-",VLOOKUP($C$7&amp;"Adjusted seen "&amp;$D$10,REPORT_raw_dataseen!$A$1:$R$817,MATCH($A20,REPORT_raw_dataseen!$D$1:$R$1,1)+3, FALSE))</f>
        <v>4032</v>
      </c>
      <c r="E20" s="261">
        <f>IF(VLOOKUP($C$7&amp;"Adjusted seen "&amp;$E$10,REPORT_raw_dataseen!$A$1:$R$817,MATCH($A20,REPORT_raw_dataseen!$D$1:$R$1,1)+3, FALSE)=0,"-",VLOOKUP($C$7&amp;"Adjusted seen "&amp;$E$10,REPORT_raw_dataseen!$A$1:$R$817,MATCH($A20,REPORT_raw_dataseen!$D$1:$R$1,1)+3, FALSE))</f>
        <v>630</v>
      </c>
      <c r="F20" s="261">
        <f>IF(VLOOKUP($C$7&amp;"Adjusted seen "&amp;$F$8,REPORT_raw_dataseen!$A$1:$R$817,MATCH($A20,REPORT_raw_dataseen!$D$1:$R$1,1)+3, FALSE)=0,"-",  VLOOKUP($C$7&amp;"Adjusted seen "&amp;$F$8,REPORT_raw_dataseen!$A$1:$R$817,MATCH($A20,REPORT_raw_dataseen!$D$1:$R$1,1)+3, FALSE))</f>
        <v>338</v>
      </c>
      <c r="G20" s="261">
        <f>IF(VLOOKUP($C$7&amp;"Adjusted seen "&amp;$G$8,REPORT_raw_dataseen!$A$1:$R$817,MATCH($A20,REPORT_raw_dataseen!$D$1:$R$1,1)+3, FALSE)=0,"-",VLOOKUP($C$7&amp;"Adjusted seen "&amp;$G$8,REPORT_raw_dataseen!$A$1:$R$817,MATCH($A20,REPORT_raw_dataseen!$D$1:$R$1,1)+3, FALSE))</f>
        <v>311</v>
      </c>
      <c r="H20" s="264">
        <f t="shared" si="0"/>
        <v>75.92</v>
      </c>
      <c r="I20" s="264">
        <f t="shared" si="1"/>
        <v>11.86</v>
      </c>
      <c r="J20" s="264">
        <f t="shared" si="1"/>
        <v>6.36</v>
      </c>
      <c r="K20" s="258">
        <f t="shared" si="1"/>
        <v>5.86</v>
      </c>
    </row>
    <row r="21" spans="1:11">
      <c r="A21" s="354">
        <f t="shared" si="2"/>
        <v>44044</v>
      </c>
      <c r="B21" s="256" t="str">
        <f>IF(VLOOKUP($C$7,'Type of adjust'!$A$1:$P$18,MATCH($A21,'Type of adjust'!$A$1:$P$1,0),FALSE)="", "..", VLOOKUP($C$7,'Type of adjust'!$A$1:$P$18,MATCH($A21,'Type of adjust'!$A$1:$P$1,0),FALSE))</f>
        <v>..</v>
      </c>
      <c r="C21" s="261">
        <f>VLOOKUP($C$7&amp;"Adjusted seen "&amp;$C$9,REPORT_raw_dataseen!$A$1:$R$817,MATCH($A21,REPORT_raw_dataseen!$D$1:$R$1,1)+3, FALSE)</f>
        <v>4777</v>
      </c>
      <c r="D21" s="261">
        <f>IF(VLOOKUP($C$7&amp;"Adjusted seen "&amp;$D$10,REPORT_raw_dataseen!$A$1:$R$817,MATCH($A21,REPORT_raw_dataseen!$D$1:$R$1,1)+3, FALSE)=0,"-",VLOOKUP($C$7&amp;"Adjusted seen "&amp;$D$10,REPORT_raw_dataseen!$A$1:$R$817,MATCH($A21,REPORT_raw_dataseen!$D$1:$R$1,1)+3, FALSE))</f>
        <v>3598</v>
      </c>
      <c r="E21" s="261">
        <f>IF(VLOOKUP($C$7&amp;"Adjusted seen "&amp;$E$10,REPORT_raw_dataseen!$A$1:$R$817,MATCH($A21,REPORT_raw_dataseen!$D$1:$R$1,1)+3, FALSE)=0,"-",VLOOKUP($C$7&amp;"Adjusted seen "&amp;$E$10,REPORT_raw_dataseen!$A$1:$R$817,MATCH($A21,REPORT_raw_dataseen!$D$1:$R$1,1)+3, FALSE))</f>
        <v>645</v>
      </c>
      <c r="F21" s="261">
        <f>IF(VLOOKUP($C$7&amp;"Adjusted seen "&amp;$F$8,REPORT_raw_dataseen!$A$1:$R$817,MATCH($A21,REPORT_raw_dataseen!$D$1:$R$1,1)+3, FALSE)=0,"-",  VLOOKUP($C$7&amp;"Adjusted seen "&amp;$F$8,REPORT_raw_dataseen!$A$1:$R$817,MATCH($A21,REPORT_raw_dataseen!$D$1:$R$1,1)+3, FALSE))</f>
        <v>262</v>
      </c>
      <c r="G21" s="261">
        <f>IF(VLOOKUP($C$7&amp;"Adjusted seen "&amp;$G$8,REPORT_raw_dataseen!$A$1:$R$817,MATCH($A21,REPORT_raw_dataseen!$D$1:$R$1,1)+3, FALSE)=0,"-",VLOOKUP($C$7&amp;"Adjusted seen "&amp;$G$8,REPORT_raw_dataseen!$A$1:$R$817,MATCH($A21,REPORT_raw_dataseen!$D$1:$R$1,1)+3, FALSE))</f>
        <v>272</v>
      </c>
      <c r="H21" s="264">
        <f t="shared" si="0"/>
        <v>75.319999999999993</v>
      </c>
      <c r="I21" s="264">
        <f t="shared" si="1"/>
        <v>13.5</v>
      </c>
      <c r="J21" s="264">
        <f t="shared" si="1"/>
        <v>5.48</v>
      </c>
      <c r="K21" s="258">
        <f t="shared" si="1"/>
        <v>5.69</v>
      </c>
    </row>
    <row r="22" spans="1:11">
      <c r="A22" s="354">
        <f t="shared" si="2"/>
        <v>44013</v>
      </c>
      <c r="B22" s="256" t="str">
        <f>IF(VLOOKUP($C$7,'Type of adjust'!$A$1:$P$18,MATCH($A22,'Type of adjust'!$A$1:$P$1,0),FALSE)="", "..", VLOOKUP($C$7,'Type of adjust'!$A$1:$P$18,MATCH($A22,'Type of adjust'!$A$1:$P$1,0),FALSE))</f>
        <v>..</v>
      </c>
      <c r="C22" s="261">
        <f>VLOOKUP($C$7&amp;"Adjusted seen "&amp;$C$9,REPORT_raw_dataseen!$A$1:$R$817,MATCH($A22,REPORT_raw_dataseen!$D$1:$R$1,1)+3, FALSE)</f>
        <v>4930</v>
      </c>
      <c r="D22" s="261">
        <f>IF(VLOOKUP($C$7&amp;"Adjusted seen "&amp;$D$10,REPORT_raw_dataseen!$A$1:$R$817,MATCH($A22,REPORT_raw_dataseen!$D$1:$R$1,1)+3, FALSE)=0,"-",VLOOKUP($C$7&amp;"Adjusted seen "&amp;$D$10,REPORT_raw_dataseen!$A$1:$R$817,MATCH($A22,REPORT_raw_dataseen!$D$1:$R$1,1)+3, FALSE))</f>
        <v>3668</v>
      </c>
      <c r="E22" s="261">
        <f>IF(VLOOKUP($C$7&amp;"Adjusted seen "&amp;$E$10,REPORT_raw_dataseen!$A$1:$R$817,MATCH($A22,REPORT_raw_dataseen!$D$1:$R$1,1)+3, FALSE)=0,"-",VLOOKUP($C$7&amp;"Adjusted seen "&amp;$E$10,REPORT_raw_dataseen!$A$1:$R$817,MATCH($A22,REPORT_raw_dataseen!$D$1:$R$1,1)+3, FALSE))</f>
        <v>720</v>
      </c>
      <c r="F22" s="261">
        <f>IF(VLOOKUP($C$7&amp;"Adjusted seen "&amp;$F$8,REPORT_raw_dataseen!$A$1:$R$817,MATCH($A22,REPORT_raw_dataseen!$D$1:$R$1,1)+3, FALSE)=0,"-",  VLOOKUP($C$7&amp;"Adjusted seen "&amp;$F$8,REPORT_raw_dataseen!$A$1:$R$817,MATCH($A22,REPORT_raw_dataseen!$D$1:$R$1,1)+3, FALSE))</f>
        <v>274</v>
      </c>
      <c r="G22" s="261">
        <f>IF(VLOOKUP($C$7&amp;"Adjusted seen "&amp;$G$8,REPORT_raw_dataseen!$A$1:$R$817,MATCH($A22,REPORT_raw_dataseen!$D$1:$R$1,1)+3, FALSE)=0,"-",VLOOKUP($C$7&amp;"Adjusted seen "&amp;$G$8,REPORT_raw_dataseen!$A$1:$R$817,MATCH($A22,REPORT_raw_dataseen!$D$1:$R$1,1)+3, FALSE))</f>
        <v>268</v>
      </c>
      <c r="H22" s="264">
        <f t="shared" si="0"/>
        <v>74.400000000000006</v>
      </c>
      <c r="I22" s="264">
        <f t="shared" ref="I22:K25" si="3">IF(E22="-","-",IF(E22="..","..",IF(E22=0,"-",IF((E22/$C22%)=0,"-",ROUND(E22/$C22%,2)))))</f>
        <v>14.6</v>
      </c>
      <c r="J22" s="264">
        <f t="shared" si="3"/>
        <v>5.56</v>
      </c>
      <c r="K22" s="258">
        <f t="shared" si="3"/>
        <v>5.44</v>
      </c>
    </row>
    <row r="23" spans="1:11">
      <c r="A23" s="355">
        <f t="shared" si="2"/>
        <v>43983</v>
      </c>
      <c r="B23" s="256" t="str">
        <f>IF(VLOOKUP($C$7,'Type of adjust'!$A$1:$P$18,MATCH($A23,'Type of adjust'!$A$1:$P$1,0),FALSE)="", "..", VLOOKUP($C$7,'Type of adjust'!$A$1:$P$18,MATCH($A23,'Type of adjust'!$A$1:$P$1,0),FALSE))</f>
        <v>..</v>
      </c>
      <c r="C23" s="261">
        <f>VLOOKUP($C$7&amp;"Adjusted seen "&amp;$C$9,REPORT_raw_dataseen!$A$1:$R$817,MATCH($A23,REPORT_raw_dataseen!$D$1:$R$1,1)+3, FALSE)</f>
        <v>4332</v>
      </c>
      <c r="D23" s="261">
        <f>IF(VLOOKUP($C$7&amp;"Adjusted seen "&amp;$D$10,REPORT_raw_dataseen!$A$1:$R$817,MATCH($A23,REPORT_raw_dataseen!$D$1:$R$1,1)+3, FALSE)=0,"-",VLOOKUP($C$7&amp;"Adjusted seen "&amp;$D$10,REPORT_raw_dataseen!$A$1:$R$817,MATCH($A23,REPORT_raw_dataseen!$D$1:$R$1,1)+3, FALSE))</f>
        <v>3157</v>
      </c>
      <c r="E23" s="261">
        <f>IF(VLOOKUP($C$7&amp;"Adjusted seen "&amp;$E$10,REPORT_raw_dataseen!$A$1:$R$817,MATCH($A23,REPORT_raw_dataseen!$D$1:$R$1,1)+3, FALSE)=0,"-",VLOOKUP($C$7&amp;"Adjusted seen "&amp;$E$10,REPORT_raw_dataseen!$A$1:$R$817,MATCH($A23,REPORT_raw_dataseen!$D$1:$R$1,1)+3, FALSE))</f>
        <v>661</v>
      </c>
      <c r="F23" s="261">
        <f>IF(VLOOKUP($C$7&amp;"Adjusted seen "&amp;$F$8,REPORT_raw_dataseen!$A$1:$R$817,MATCH($A23,REPORT_raw_dataseen!$D$1:$R$1,1)+3, FALSE)=0,"-",  VLOOKUP($C$7&amp;"Adjusted seen "&amp;$F$8,REPORT_raw_dataseen!$A$1:$R$817,MATCH($A23,REPORT_raw_dataseen!$D$1:$R$1,1)+3, FALSE))</f>
        <v>255</v>
      </c>
      <c r="G23" s="261">
        <f>IF(VLOOKUP($C$7&amp;"Adjusted seen "&amp;$G$8,REPORT_raw_dataseen!$A$1:$R$817,MATCH($A23,REPORT_raw_dataseen!$D$1:$R$1,1)+3, FALSE)=0,"-",VLOOKUP($C$7&amp;"Adjusted seen "&amp;$G$8,REPORT_raw_dataseen!$A$1:$R$817,MATCH($A23,REPORT_raw_dataseen!$D$1:$R$1,1)+3, FALSE))</f>
        <v>259</v>
      </c>
      <c r="H23" s="264">
        <f t="shared" si="0"/>
        <v>72.88</v>
      </c>
      <c r="I23" s="264">
        <f t="shared" si="3"/>
        <v>15.26</v>
      </c>
      <c r="J23" s="264">
        <f t="shared" si="3"/>
        <v>5.89</v>
      </c>
      <c r="K23" s="258">
        <f t="shared" si="3"/>
        <v>5.98</v>
      </c>
    </row>
    <row r="24" spans="1:11">
      <c r="A24" s="355">
        <f t="shared" si="2"/>
        <v>43952</v>
      </c>
      <c r="B24" s="256" t="str">
        <f>IF(VLOOKUP($C$7,'Type of adjust'!$A$1:$P$18,MATCH($A24,'Type of adjust'!$A$1:$P$1,0),FALSE)="", "..", VLOOKUP($C$7,'Type of adjust'!$A$1:$P$18,MATCH($A24,'Type of adjust'!$A$1:$P$1,0),FALSE))</f>
        <v>..</v>
      </c>
      <c r="C24" s="261">
        <f>VLOOKUP($C$7&amp;"Adjusted seen "&amp;$C$9,REPORT_raw_dataseen!$A$1:$R$817,MATCH($A24,REPORT_raw_dataseen!$D$1:$R$1,1)+3, FALSE)</f>
        <v>3446</v>
      </c>
      <c r="D24" s="261">
        <f>IF(VLOOKUP($C$7&amp;"Adjusted seen "&amp;$D$10,REPORT_raw_dataseen!$A$1:$R$817,MATCH($A24,REPORT_raw_dataseen!$D$1:$R$1,1)+3, FALSE)=0,"-",VLOOKUP($C$7&amp;"Adjusted seen "&amp;$D$10,REPORT_raw_dataseen!$A$1:$R$817,MATCH($A24,REPORT_raw_dataseen!$D$1:$R$1,1)+3, FALSE))</f>
        <v>2635</v>
      </c>
      <c r="E24" s="261">
        <f>IF(VLOOKUP($C$7&amp;"Adjusted seen "&amp;$E$10,REPORT_raw_dataseen!$A$1:$R$817,MATCH($A24,REPORT_raw_dataseen!$D$1:$R$1,1)+3, FALSE)=0,"-",VLOOKUP($C$7&amp;"Adjusted seen "&amp;$E$10,REPORT_raw_dataseen!$A$1:$R$817,MATCH($A24,REPORT_raw_dataseen!$D$1:$R$1,1)+3, FALSE))</f>
        <v>418</v>
      </c>
      <c r="F24" s="261">
        <f>IF(VLOOKUP($C$7&amp;"Adjusted seen "&amp;$F$8,REPORT_raw_dataseen!$A$1:$R$817,MATCH($A24,REPORT_raw_dataseen!$D$1:$R$1,1)+3, FALSE)=0,"-",  VLOOKUP($C$7&amp;"Adjusted seen "&amp;$F$8,REPORT_raw_dataseen!$A$1:$R$817,MATCH($A24,REPORT_raw_dataseen!$D$1:$R$1,1)+3, FALSE))</f>
        <v>176</v>
      </c>
      <c r="G24" s="261">
        <f>IF(VLOOKUP($C$7&amp;"Adjusted seen "&amp;$G$8,REPORT_raw_dataseen!$A$1:$R$817,MATCH($A24,REPORT_raw_dataseen!$D$1:$R$1,1)+3, FALSE)=0,"-",VLOOKUP($C$7&amp;"Adjusted seen "&amp;$G$8,REPORT_raw_dataseen!$A$1:$R$817,MATCH($A24,REPORT_raw_dataseen!$D$1:$R$1,1)+3, FALSE))</f>
        <v>217</v>
      </c>
      <c r="H24" s="264">
        <f t="shared" si="0"/>
        <v>76.47</v>
      </c>
      <c r="I24" s="264">
        <f t="shared" si="3"/>
        <v>12.13</v>
      </c>
      <c r="J24" s="264">
        <f t="shared" si="3"/>
        <v>5.1100000000000003</v>
      </c>
      <c r="K24" s="258">
        <f t="shared" si="3"/>
        <v>6.3</v>
      </c>
    </row>
    <row r="25" spans="1:11">
      <c r="A25" s="356">
        <f t="shared" si="2"/>
        <v>43922</v>
      </c>
      <c r="B25" s="256" t="str">
        <f>IF(VLOOKUP($C$7,'Type of adjust'!$A$1:$P$18,MATCH($A25,'Type of adjust'!$A$1:$P$1,0),FALSE)="", "..", VLOOKUP($C$7,'Type of adjust'!$A$1:$P$18,MATCH($A25,'Type of adjust'!$A$1:$P$1,0),FALSE))</f>
        <v>..</v>
      </c>
      <c r="C25" s="261">
        <f>VLOOKUP($C$7&amp;"Adjusted seen "&amp;$C$9,REPORT_raw_dataseen!$A$1:$R$817,MATCH($A25,REPORT_raw_dataseen!$D$1:$R$1,1)+3, FALSE)</f>
        <v>3042</v>
      </c>
      <c r="D25" s="261">
        <f>IF(VLOOKUP($C$7&amp;"Adjusted seen "&amp;$D$10,REPORT_raw_dataseen!$A$1:$R$817,MATCH($A25,REPORT_raw_dataseen!$D$1:$R$1,1)+3, FALSE)=0,"-",VLOOKUP($C$7&amp;"Adjusted seen "&amp;$D$10,REPORT_raw_dataseen!$A$1:$R$817,MATCH($A25,REPORT_raw_dataseen!$D$1:$R$1,1)+3, FALSE))</f>
        <v>2293</v>
      </c>
      <c r="E25" s="261">
        <f>IF(VLOOKUP($C$7&amp;"Adjusted seen "&amp;$E$10,REPORT_raw_dataseen!$A$1:$R$817,MATCH($A25,REPORT_raw_dataseen!$D$1:$R$1,1)+3, FALSE)=0,"-",VLOOKUP($C$7&amp;"Adjusted seen "&amp;$E$10,REPORT_raw_dataseen!$A$1:$R$817,MATCH($A25,REPORT_raw_dataseen!$D$1:$R$1,1)+3, FALSE))</f>
        <v>449</v>
      </c>
      <c r="F25" s="261">
        <f>IF(VLOOKUP($C$7&amp;"Adjusted seen "&amp;$F$8,REPORT_raw_dataseen!$A$1:$R$817,MATCH($A25,REPORT_raw_dataseen!$D$1:$R$1,1)+3, FALSE)=0,"-",  VLOOKUP($C$7&amp;"Adjusted seen "&amp;$F$8,REPORT_raw_dataseen!$A$1:$R$817,MATCH($A25,REPORT_raw_dataseen!$D$1:$R$1,1)+3, FALSE))</f>
        <v>143</v>
      </c>
      <c r="G25" s="261">
        <f>IF(VLOOKUP($C$7&amp;"Adjusted seen "&amp;$G$8,REPORT_raw_dataseen!$A$1:$R$817,MATCH($A25,REPORT_raw_dataseen!$D$1:$R$1,1)+3, FALSE)=0,"-",VLOOKUP($C$7&amp;"Adjusted seen "&amp;$G$8,REPORT_raw_dataseen!$A$1:$R$817,MATCH($A25,REPORT_raw_dataseen!$D$1:$R$1,1)+3, FALSE))</f>
        <v>157</v>
      </c>
      <c r="H25" s="264">
        <f t="shared" si="0"/>
        <v>75.38</v>
      </c>
      <c r="I25" s="264">
        <f t="shared" si="3"/>
        <v>14.76</v>
      </c>
      <c r="J25" s="264">
        <f t="shared" si="3"/>
        <v>4.7</v>
      </c>
      <c r="K25" s="264">
        <f t="shared" si="3"/>
        <v>5.16</v>
      </c>
    </row>
    <row r="26" spans="1:11">
      <c r="A26" s="357"/>
      <c r="B26" s="266"/>
      <c r="C26" s="266"/>
      <c r="D26" s="266"/>
      <c r="E26" s="266"/>
      <c r="F26" s="266"/>
      <c r="G26" s="271"/>
      <c r="H26" s="271"/>
      <c r="I26" s="271"/>
      <c r="J26" s="271"/>
      <c r="K26" s="274"/>
    </row>
    <row r="27" spans="1:11">
      <c r="A27" s="282" t="str">
        <f>"quarter ending "&amp;TEXT(A11,"mmm yyyy")</f>
        <v>quarter ending Jun 2021</v>
      </c>
      <c r="B27" s="267" t="str">
        <f>B12</f>
        <v>..</v>
      </c>
      <c r="C27" s="269">
        <f>IF(OR(C11="*", C12="*", C13="*"),"*", IF(COUNTIF(C11:C13,"..")=3,"..",IF(SUM(C11:C13)=0,"-",SUM(C11:C13))))</f>
        <v>19587</v>
      </c>
      <c r="D27" s="269">
        <f>IF(OR(D11="*", D12="*", D13="*"),"*", IF(COUNTIF(D11:D13,"..")=3,"..",IF(SUM(D11:D13)=0,"-",SUM(D11:D13))))</f>
        <v>16201</v>
      </c>
      <c r="E27" s="269">
        <f>IF(OR(E11="*", E12="*", E13="*"),"*", IF(COUNTIF(E11:E13,"..")=3,"..",IF(SUM(E11:E13)=0,"-",SUM(E11:E13))))</f>
        <v>1646</v>
      </c>
      <c r="F27" s="269">
        <f>IF(OR(F11="*", F12="*", F13="*"),"*", IF(COUNTIF(F11:F13,"..")=3,"..",IF(SUM(F11:F13)=0,"-",SUM(F11:F13))))</f>
        <v>668</v>
      </c>
      <c r="G27" s="269">
        <f>IF(OR(G11="*", G12="*", G13="*"),"*", IF(COUNTIF(G11:G13,"..")=3,"..",IF(SUM(G11:G13)=0,"-",SUM(G11:G13))))</f>
        <v>1072</v>
      </c>
      <c r="H27" s="272">
        <f>IF(D27="-", "-", ROUND(D27/$C27%,3))</f>
        <v>82.712999999999994</v>
      </c>
      <c r="I27" s="272">
        <f>IF(E27="-", "-", ROUND(E27/$C27%,3))</f>
        <v>8.4039999999999999</v>
      </c>
      <c r="J27" s="272">
        <f>IF(F27="-", "-", ROUND(F27/$C27%,3))</f>
        <v>3.41</v>
      </c>
      <c r="K27" s="272">
        <f>IF(G27="-", "-", ROUND(G27/$C27%,3))</f>
        <v>5.4729999999999999</v>
      </c>
    </row>
    <row r="28" spans="1:11">
      <c r="A28" s="282" t="str">
        <f>"quarter ending "&amp;TEXT(A14,"mmm yyyy")</f>
        <v>quarter ending Mar 2021</v>
      </c>
      <c r="B28" s="267" t="str">
        <f>B14</f>
        <v>..</v>
      </c>
      <c r="C28" s="269">
        <f>IF(OR(C14="*", C15="*", C16="*"),"*", IF(COUNTIF(C14:C16,"..")=3,"..",IF(SUM(C14:C16)=0,"-",SUM(C14:C16))))</f>
        <v>18123</v>
      </c>
      <c r="D28" s="269">
        <f>IF(OR(D14="*", D15="*", D16="*"),"*", IF(COUNTIF(D14:D16,"..")=3,"..",IF(SUM(D14:D16)=0,"-",SUM(D14:D16))))</f>
        <v>14592</v>
      </c>
      <c r="E28" s="269">
        <f>IF(OR(E14="*", E15="*", E16="*"),"*", IF(COUNTIF(E14:E16,"..")=3,"..",IF(SUM(E14:E16)=0,"-",SUM(E14:E16))))</f>
        <v>1404</v>
      </c>
      <c r="F28" s="269">
        <f>IF(OR(F14="*", F15="*", F16="*"),"*", IF(COUNTIF(F14:F16,"..")=3,"..",IF(SUM(F14:F16)=0,"-",SUM(F14:F16))))</f>
        <v>926</v>
      </c>
      <c r="G28" s="269">
        <f>IF(OR(G14="*", G15="*", G16="*"),"*", IF(COUNTIF(G14:G16,"..")=3,"..",IF(SUM(G14:G16)=0,"-",SUM(G14:G16))))</f>
        <v>1201</v>
      </c>
      <c r="H28" s="272">
        <f>IF(D28="-", "-", ROUND(D28/$C28%,2))</f>
        <v>80.52</v>
      </c>
      <c r="I28" s="272">
        <f t="shared" ref="I28:K31" si="4">IF(E28="-", "-", ROUND(E28/$C28%,2))</f>
        <v>7.75</v>
      </c>
      <c r="J28" s="272">
        <f t="shared" si="4"/>
        <v>5.1100000000000003</v>
      </c>
      <c r="K28" s="272">
        <f t="shared" si="4"/>
        <v>6.63</v>
      </c>
    </row>
    <row r="29" spans="1:11">
      <c r="A29" s="282" t="str">
        <f>"quarter ending "&amp;TEXT(A17,"mmm yyyy")</f>
        <v>quarter ending Dec 2020</v>
      </c>
      <c r="B29" s="267" t="str">
        <f>B17</f>
        <v>..</v>
      </c>
      <c r="C29" s="269">
        <f>IF(OR(C17="*", C18="*", C19="*"),"*", IF(COUNTIF(C17:C19,"..")=3,"..",IF(SUM(C17:C19)=0,"-",SUM(C17:C19))))</f>
        <v>17023</v>
      </c>
      <c r="D29" s="269">
        <f>IF(OR(D17="*", D18="*", D19="*"),"*", IF(COUNTIF(D17:D19,"..")=3,"..",IF(SUM(D17:D19)=0,"-",SUM(D17:D19))))</f>
        <v>13625</v>
      </c>
      <c r="E29" s="269">
        <f>IF(OR(E17="*", E18="*", E19="*"),"*", IF(COUNTIF(E17:E19,"..")=3,"..",IF(SUM(E17:E19)=0,"-",SUM(E17:E19))))</f>
        <v>909</v>
      </c>
      <c r="F29" s="269">
        <f>IF(OR(F17="*", F18="*", F19="*"),"*", IF(COUNTIF(F17:F19,"..")=3,"..",IF(SUM(F17:F19)=0,"-",SUM(F17:F19))))</f>
        <v>1342</v>
      </c>
      <c r="G29" s="269">
        <f>IF(OR(G17="*", G18="*", G19="*"),"*", IF(COUNTIF(G17:G19,"..")=3,"..",IF(SUM(G17:G19)=0,"-",SUM(G17:G19))))</f>
        <v>1147</v>
      </c>
      <c r="H29" s="272">
        <f>IF(D29="-", "-", ROUND(D29/$C29%,2))</f>
        <v>80.040000000000006</v>
      </c>
      <c r="I29" s="272">
        <f t="shared" si="4"/>
        <v>5.34</v>
      </c>
      <c r="J29" s="272">
        <f t="shared" si="4"/>
        <v>7.88</v>
      </c>
      <c r="K29" s="272">
        <f t="shared" si="4"/>
        <v>6.74</v>
      </c>
    </row>
    <row r="30" spans="1:11">
      <c r="A30" s="282" t="str">
        <f>"quarter ending "&amp;TEXT(A20,"mmm yyyy")</f>
        <v>quarter ending Sep 2020</v>
      </c>
      <c r="B30" s="267" t="str">
        <f>B20</f>
        <v>..</v>
      </c>
      <c r="C30" s="269">
        <f>IF(OR(C20="*", C21="*", C22="*"),"*", IF(COUNTIF(C20:C22,"..")=3,"..",IF(SUM(C20:C22)=0,"-",SUM(C20:C22))))</f>
        <v>15018</v>
      </c>
      <c r="D30" s="269">
        <f>IF(OR(D20="*", D21="*", D22="*"),"*", IF(COUNTIF(D20:D22,"..")=3,"..",IF(SUM(D20:D22)=0,"-",SUM(D20:D22))))</f>
        <v>11298</v>
      </c>
      <c r="E30" s="269">
        <f>IF(OR(E20="*", E21="*", E22="*"),"*", IF(COUNTIF(E20:E22,"..")=3,"..",IF(SUM(E20:E22)=0,"-",SUM(E20:E22))))</f>
        <v>1995</v>
      </c>
      <c r="F30" s="269">
        <f>IF(OR(F20="*", F21="*", F22="*"),"*", IF(COUNTIF(F20:F22,"..")=3,"..",IF(SUM(F20:F22)=0,"-",SUM(F20:F22))))</f>
        <v>874</v>
      </c>
      <c r="G30" s="269">
        <f>IF(OR(G20="*", G21="*", G22="*"),"*", IF(COUNTIF(G20:G22,"..")=3,"..",IF(SUM(G20:G22)=0,"-",SUM(G20:G22))))</f>
        <v>851</v>
      </c>
      <c r="H30" s="272">
        <f>IF(D30="-", "-", ROUND(D30/$C30%,2))</f>
        <v>75.23</v>
      </c>
      <c r="I30" s="272">
        <f t="shared" si="4"/>
        <v>13.28</v>
      </c>
      <c r="J30" s="272">
        <f t="shared" si="4"/>
        <v>5.82</v>
      </c>
      <c r="K30" s="272">
        <f t="shared" si="4"/>
        <v>5.67</v>
      </c>
    </row>
    <row r="31" spans="1:11">
      <c r="A31" s="358" t="str">
        <f>"quarter ending "&amp;TEXT(A23,"mmm yyyy")</f>
        <v>quarter ending Jun 2020</v>
      </c>
      <c r="B31" s="268" t="str">
        <f>B23</f>
        <v>..</v>
      </c>
      <c r="C31" s="270">
        <f>IF(OR(C23="*", C24="*", C25="*"),"*", IF(COUNTIF(C23:C25,"..")=3,"..",IF(SUM(C23:C25)=0,"-",SUM(C23:C25))))</f>
        <v>10820</v>
      </c>
      <c r="D31" s="270">
        <f>IF(OR(D23="*", D24="*", D25="*"),"*", IF(COUNTIF(D23:D25,"..")=3,"..",IF(SUM(D23:D25)=0,"-",SUM(D23:D25))))</f>
        <v>8085</v>
      </c>
      <c r="E31" s="270">
        <f>IF(OR(E23="*", E24="*", E25="*"),"*", IF(COUNTIF(E23:E25,"..")=3,"..",IF(SUM(E23:E25)=0,"-",SUM(E23:E25))))</f>
        <v>1528</v>
      </c>
      <c r="F31" s="270">
        <f>IF(OR(F23="*", F24="*", F25="*"),"*", IF(COUNTIF(F23:F25,"..")=3,"..",IF(SUM(F23:F25)=0,"-",SUM(F23:F25))))</f>
        <v>574</v>
      </c>
      <c r="G31" s="270">
        <f>IF(OR(G23="*", G24="*", G25="*"),"*", IF(COUNTIF(G23:G25,"..")=3,"..",IF(SUM(G23:G25)=0,"-",SUM(G23:G25))))</f>
        <v>633</v>
      </c>
      <c r="H31" s="273">
        <f>IF(D31="-", "-", ROUND(D31/$C31%,2))</f>
        <v>74.72</v>
      </c>
      <c r="I31" s="273">
        <f t="shared" si="4"/>
        <v>14.12</v>
      </c>
      <c r="J31" s="273">
        <f t="shared" si="4"/>
        <v>5.3</v>
      </c>
      <c r="K31" s="273">
        <f t="shared" si="4"/>
        <v>5.85</v>
      </c>
    </row>
    <row r="32" spans="1:11">
      <c r="B32" s="16"/>
      <c r="C32" s="16"/>
      <c r="D32" s="16"/>
      <c r="E32" s="16"/>
      <c r="F32" s="16"/>
      <c r="G32" s="17"/>
      <c r="H32" s="17"/>
      <c r="I32" s="17"/>
      <c r="J32" s="17"/>
    </row>
    <row r="33" spans="1:11">
      <c r="B33" s="16"/>
      <c r="C33" s="16"/>
      <c r="D33" s="16"/>
      <c r="E33" s="16"/>
      <c r="F33" s="16"/>
      <c r="G33" s="17"/>
      <c r="H33" s="17"/>
      <c r="I33" s="17"/>
      <c r="J33" s="17"/>
    </row>
    <row r="34" spans="1:11">
      <c r="B34" s="16"/>
      <c r="C34" s="16"/>
      <c r="D34" s="16"/>
      <c r="E34" s="16"/>
      <c r="F34" s="16"/>
      <c r="G34" s="17"/>
      <c r="H34" s="17"/>
      <c r="I34" s="17"/>
      <c r="J34" s="17"/>
    </row>
    <row r="35" spans="1:11">
      <c r="B35" s="16"/>
      <c r="C35" s="16"/>
      <c r="D35" s="16"/>
      <c r="E35" s="16"/>
      <c r="F35" s="16"/>
      <c r="G35" s="17"/>
      <c r="H35" s="17"/>
      <c r="I35" s="17"/>
      <c r="J35" s="17"/>
    </row>
    <row r="36" spans="1:11">
      <c r="B36" s="16"/>
      <c r="C36" s="16"/>
      <c r="D36" s="16"/>
      <c r="E36" s="16"/>
      <c r="F36" s="16"/>
      <c r="G36" s="17"/>
      <c r="H36" s="17"/>
      <c r="I36" s="17"/>
      <c r="J36" s="17"/>
    </row>
    <row r="37" spans="1:11" ht="20.25">
      <c r="A37" s="76" t="s">
        <v>337</v>
      </c>
      <c r="B37" s="16"/>
      <c r="C37" s="16"/>
      <c r="D37" s="16"/>
      <c r="E37" s="16"/>
      <c r="F37" s="16"/>
      <c r="G37" s="17"/>
      <c r="H37" s="17"/>
      <c r="I37" s="17"/>
      <c r="J37" s="17"/>
    </row>
    <row r="38" spans="1:11" ht="29.25" customHeight="1">
      <c r="A38" s="77" t="s">
        <v>338</v>
      </c>
      <c r="B38" s="77" t="s">
        <v>339</v>
      </c>
      <c r="C38" s="78"/>
      <c r="D38" s="450" t="s">
        <v>340</v>
      </c>
      <c r="E38" s="450"/>
      <c r="F38" s="450"/>
      <c r="G38" s="450"/>
      <c r="H38" s="450"/>
      <c r="I38" s="450"/>
      <c r="J38" s="450"/>
      <c r="K38" s="450"/>
    </row>
    <row r="39" spans="1:11" ht="27" customHeight="1">
      <c r="A39" s="79" t="s">
        <v>55</v>
      </c>
      <c r="B39" s="80" t="s">
        <v>341</v>
      </c>
      <c r="C39" s="81"/>
      <c r="D39" s="451" t="s">
        <v>342</v>
      </c>
      <c r="E39" s="451"/>
      <c r="F39" s="451"/>
      <c r="G39" s="451"/>
      <c r="H39" s="451"/>
      <c r="I39" s="451"/>
      <c r="J39" s="451"/>
      <c r="K39" s="451"/>
    </row>
    <row r="40" spans="1:11" ht="39" customHeight="1">
      <c r="A40" s="82" t="s">
        <v>343</v>
      </c>
      <c r="B40" s="83" t="s">
        <v>344</v>
      </c>
      <c r="C40" s="84"/>
      <c r="D40" s="452" t="s">
        <v>345</v>
      </c>
      <c r="E40" s="452"/>
      <c r="F40" s="452"/>
      <c r="G40" s="452"/>
      <c r="H40" s="452"/>
      <c r="I40" s="452"/>
      <c r="J40" s="452"/>
      <c r="K40" s="452"/>
    </row>
    <row r="41" spans="1:11">
      <c r="A41" s="85" t="s">
        <v>27</v>
      </c>
      <c r="B41" s="86"/>
      <c r="C41" s="87"/>
      <c r="D41" s="439" t="s">
        <v>346</v>
      </c>
      <c r="E41" s="439"/>
      <c r="F41" s="439"/>
      <c r="G41" s="439"/>
      <c r="H41" s="439"/>
      <c r="I41" s="439"/>
      <c r="J41" s="439"/>
      <c r="K41" s="439"/>
    </row>
    <row r="42" spans="1:11">
      <c r="A42" s="88"/>
      <c r="B42" s="89"/>
      <c r="C42" s="89"/>
      <c r="D42" s="19"/>
      <c r="E42" s="89"/>
      <c r="F42" s="89"/>
      <c r="G42" s="90"/>
      <c r="H42" s="90"/>
      <c r="I42" s="15"/>
      <c r="J42" s="15"/>
    </row>
    <row r="43" spans="1:11">
      <c r="A43" s="88"/>
      <c r="B43" s="89"/>
      <c r="C43" s="89"/>
      <c r="D43" s="19"/>
      <c r="E43" s="89"/>
      <c r="F43" s="89"/>
      <c r="G43" s="90"/>
      <c r="H43" s="90"/>
      <c r="I43" s="15"/>
      <c r="J43" s="15"/>
    </row>
    <row r="44" spans="1:11">
      <c r="A44" s="88"/>
      <c r="B44" s="89"/>
      <c r="C44" s="89"/>
      <c r="D44" s="19"/>
      <c r="E44" s="89"/>
      <c r="F44" s="89"/>
      <c r="G44" s="90"/>
      <c r="H44" s="90"/>
      <c r="I44" s="15"/>
      <c r="J44" s="15"/>
    </row>
    <row r="45" spans="1:11">
      <c r="A45" s="91" t="s">
        <v>190</v>
      </c>
      <c r="B45" s="89"/>
      <c r="C45" s="89"/>
      <c r="D45" s="89"/>
      <c r="E45" s="89"/>
      <c r="F45" s="89"/>
      <c r="G45" s="90"/>
      <c r="H45" s="90"/>
      <c r="I45" s="15"/>
      <c r="J45" s="15"/>
    </row>
    <row r="46" spans="1:11">
      <c r="A46" s="91" t="s">
        <v>191</v>
      </c>
      <c r="B46" s="89"/>
      <c r="C46" s="89"/>
      <c r="D46" s="89"/>
      <c r="E46" s="89"/>
      <c r="F46" s="89"/>
      <c r="G46" s="90"/>
      <c r="H46" s="90"/>
      <c r="I46" s="15"/>
      <c r="J46" s="15"/>
    </row>
    <row r="47" spans="1:11">
      <c r="B47" s="16"/>
      <c r="C47" s="16"/>
      <c r="D47" s="16"/>
      <c r="E47" s="16"/>
      <c r="F47" s="16"/>
      <c r="G47" s="18"/>
      <c r="H47" s="18"/>
      <c r="I47" s="18"/>
      <c r="J47" s="18"/>
    </row>
    <row r="48" spans="1:11">
      <c r="A48" s="43" t="s">
        <v>410</v>
      </c>
      <c r="B48" s="12"/>
      <c r="C48" s="12"/>
      <c r="D48" s="12"/>
      <c r="E48" s="12"/>
      <c r="F48" s="12"/>
      <c r="G48" s="13"/>
      <c r="H48" s="13"/>
      <c r="I48" s="13"/>
      <c r="J48" s="13"/>
    </row>
    <row r="49" spans="1:10" ht="2.25" customHeight="1">
      <c r="B49" s="7"/>
      <c r="C49" s="7"/>
      <c r="D49" s="7"/>
      <c r="E49" s="7"/>
      <c r="F49" s="7"/>
      <c r="G49" s="14"/>
      <c r="H49" s="14"/>
      <c r="I49" s="14"/>
      <c r="J49" s="14"/>
    </row>
    <row r="50" spans="1:10" ht="2.25" customHeight="1">
      <c r="A50" s="8"/>
      <c r="B50" s="7"/>
      <c r="C50" s="7"/>
      <c r="D50" s="7"/>
      <c r="E50" s="7"/>
      <c r="F50" s="7"/>
      <c r="G50" s="15"/>
      <c r="H50" s="15"/>
      <c r="I50" s="15"/>
      <c r="J50" s="15"/>
    </row>
    <row r="51" spans="1:10">
      <c r="B51" s="16"/>
      <c r="C51" s="16"/>
      <c r="D51" s="16"/>
      <c r="E51" s="16"/>
      <c r="F51" s="16"/>
      <c r="G51" s="18"/>
      <c r="H51" s="18"/>
      <c r="I51" s="18"/>
      <c r="J51" s="18"/>
    </row>
    <row r="52" spans="1:10">
      <c r="B52" s="12"/>
      <c r="C52" s="12"/>
      <c r="D52" s="12"/>
      <c r="E52" s="12"/>
      <c r="F52" s="12"/>
      <c r="G52" s="13"/>
      <c r="H52" s="13"/>
      <c r="I52" s="13"/>
      <c r="J52" s="13"/>
    </row>
    <row r="53" spans="1:10">
      <c r="B53" s="12"/>
      <c r="C53" s="12"/>
      <c r="D53" s="7"/>
      <c r="E53" s="7"/>
      <c r="F53" s="7"/>
      <c r="G53" s="14"/>
      <c r="H53" s="14"/>
      <c r="I53" s="14"/>
      <c r="J53" s="14"/>
    </row>
    <row r="54" spans="1:10">
      <c r="B54" s="12"/>
      <c r="C54" s="12"/>
      <c r="D54" s="7"/>
      <c r="E54" s="7"/>
      <c r="F54" s="7"/>
      <c r="G54" s="15"/>
      <c r="H54" s="15"/>
      <c r="I54" s="15"/>
      <c r="J54" s="15"/>
    </row>
    <row r="55" spans="1:10">
      <c r="B55" s="16"/>
      <c r="C55" s="16"/>
      <c r="D55" s="7"/>
      <c r="E55" s="7"/>
      <c r="F55" s="7"/>
      <c r="G55" s="15"/>
      <c r="H55" s="15"/>
      <c r="I55" s="15"/>
      <c r="J55" s="15"/>
    </row>
    <row r="56" spans="1:10" ht="6" customHeight="1">
      <c r="A56" s="29" t="str">
        <f>"Percentage of patients waiting less than 18 weeks for adjusted waits - "&amp;C7</f>
        <v>Percentage of patients waiting less than 18 weeks for adjusted waits - Scotland</v>
      </c>
      <c r="B56" s="16"/>
      <c r="C56" s="16"/>
      <c r="D56" s="16"/>
      <c r="E56" s="16"/>
      <c r="F56" s="16"/>
      <c r="G56" s="15"/>
      <c r="H56" s="15"/>
      <c r="I56" s="15"/>
      <c r="J56" s="15"/>
    </row>
    <row r="57" spans="1:10" ht="6" customHeight="1">
      <c r="A57" s="28"/>
      <c r="B57" s="16"/>
      <c r="C57" s="16"/>
      <c r="D57" s="16"/>
      <c r="E57" s="16"/>
      <c r="F57" s="16"/>
      <c r="G57" s="18"/>
      <c r="H57" s="18"/>
      <c r="I57" s="18"/>
      <c r="J57" s="18"/>
    </row>
    <row r="58" spans="1:10">
      <c r="B58" s="12"/>
      <c r="C58" s="12"/>
      <c r="D58" s="12"/>
      <c r="E58" s="12"/>
      <c r="F58" s="12"/>
      <c r="G58" s="13"/>
      <c r="H58" s="13"/>
      <c r="I58" s="13"/>
      <c r="J58" s="13"/>
    </row>
    <row r="59" spans="1:10" ht="12" customHeight="1">
      <c r="B59" s="7"/>
      <c r="C59" s="7"/>
      <c r="D59" s="7"/>
      <c r="E59" s="7"/>
      <c r="F59" s="7"/>
      <c r="G59" s="14"/>
      <c r="H59" s="14"/>
      <c r="I59" s="14"/>
      <c r="J59" s="14"/>
    </row>
    <row r="60" spans="1:10">
      <c r="A60" s="29" t="str">
        <f>"Patients seen - adjusted waits - "&amp;C7</f>
        <v>Patients seen - adjusted waits - Scotland</v>
      </c>
      <c r="B60" s="16"/>
      <c r="C60" s="16"/>
      <c r="D60" s="16"/>
      <c r="E60" s="16"/>
      <c r="F60" s="16"/>
      <c r="G60" s="15"/>
      <c r="H60" s="15"/>
      <c r="I60" s="15"/>
      <c r="J60" s="15"/>
    </row>
    <row r="61" spans="1:10">
      <c r="A61" s="29" t="str">
        <f>"Percentage of patients seen 0-18 weeks for adjusted waits - "&amp;C7</f>
        <v>Percentage of patients seen 0-18 weeks for adjusted waits - Scotland</v>
      </c>
      <c r="B61" s="16"/>
      <c r="C61" s="16"/>
      <c r="D61" s="16"/>
      <c r="E61" s="16"/>
      <c r="F61" s="16"/>
      <c r="G61" s="15"/>
      <c r="H61" s="15"/>
      <c r="I61" s="15"/>
      <c r="J61" s="15"/>
    </row>
    <row r="62" spans="1:10">
      <c r="A62" s="29" t="str">
        <f>"Percentage of patients seen - adjusted waits - "&amp;C7</f>
        <v>Percentage of patients seen - adjusted waits - Scotland</v>
      </c>
      <c r="B62" s="16"/>
      <c r="C62" s="16"/>
      <c r="D62" s="16"/>
      <c r="E62" s="16"/>
      <c r="F62" s="16"/>
      <c r="G62" s="17"/>
      <c r="H62" s="17"/>
      <c r="I62" s="17"/>
      <c r="J62" s="17"/>
    </row>
    <row r="63" spans="1:10">
      <c r="B63" s="12"/>
      <c r="C63" s="12"/>
      <c r="D63" s="12"/>
      <c r="E63" s="12"/>
      <c r="F63" s="12"/>
      <c r="G63" s="13"/>
      <c r="H63" s="13"/>
      <c r="I63" s="13"/>
      <c r="J63" s="13"/>
    </row>
    <row r="64" spans="1:10" s="20" customFormat="1" ht="12.75" customHeight="1">
      <c r="B64" s="21"/>
      <c r="C64" s="21"/>
      <c r="D64" s="21"/>
      <c r="E64" s="21"/>
      <c r="F64" s="21"/>
      <c r="G64" s="22"/>
      <c r="H64" s="22"/>
      <c r="I64" s="22"/>
      <c r="J64" s="22"/>
    </row>
    <row r="65" spans="1:10">
      <c r="B65" s="8"/>
      <c r="C65" s="8"/>
      <c r="D65" s="8"/>
      <c r="E65" s="8"/>
      <c r="F65" s="8"/>
      <c r="G65" s="23"/>
      <c r="H65" s="24"/>
      <c r="I65" s="24"/>
      <c r="J65" s="24"/>
    </row>
    <row r="66" spans="1:10">
      <c r="B66" s="8"/>
      <c r="C66" s="8"/>
      <c r="D66" s="8"/>
      <c r="E66" s="8"/>
      <c r="F66" s="8"/>
      <c r="G66" s="25"/>
      <c r="H66" s="24"/>
      <c r="I66" s="24"/>
      <c r="J66" s="24"/>
    </row>
    <row r="67" spans="1:10">
      <c r="B67" s="8"/>
      <c r="C67" s="8"/>
      <c r="D67" s="8"/>
      <c r="E67" s="8"/>
      <c r="F67" s="8"/>
      <c r="G67" s="23"/>
      <c r="H67" s="24"/>
      <c r="I67" s="24"/>
      <c r="J67" s="24"/>
    </row>
    <row r="68" spans="1:10">
      <c r="A68" s="16"/>
      <c r="B68" s="16"/>
      <c r="C68" s="16"/>
      <c r="D68" s="16"/>
      <c r="E68" s="16"/>
      <c r="F68" s="16"/>
      <c r="G68" s="16"/>
      <c r="H68" s="26"/>
      <c r="I68" s="26"/>
      <c r="J68" s="26"/>
    </row>
    <row r="69" spans="1:10">
      <c r="B69" s="16"/>
      <c r="C69" s="16"/>
      <c r="D69" s="16"/>
      <c r="E69" s="16"/>
      <c r="F69" s="16"/>
      <c r="G69" s="18"/>
      <c r="H69" s="18"/>
      <c r="I69" s="18"/>
      <c r="J69" s="18"/>
    </row>
    <row r="70" spans="1:10">
      <c r="B70" s="12"/>
      <c r="C70" s="12"/>
      <c r="D70" s="12"/>
      <c r="E70" s="12"/>
      <c r="F70" s="12"/>
      <c r="G70" s="13"/>
      <c r="H70" s="13"/>
      <c r="I70" s="13"/>
      <c r="J70" s="13"/>
    </row>
    <row r="71" spans="1:10">
      <c r="B71" s="7"/>
      <c r="C71" s="7"/>
      <c r="D71" s="7"/>
      <c r="E71" s="7"/>
      <c r="F71" s="7"/>
      <c r="G71" s="14"/>
      <c r="H71" s="14"/>
      <c r="I71" s="14"/>
      <c r="J71" s="14"/>
    </row>
    <row r="72" spans="1:10">
      <c r="B72" s="7"/>
      <c r="C72" s="7"/>
      <c r="D72" s="7"/>
      <c r="E72" s="7"/>
      <c r="F72" s="7"/>
      <c r="G72" s="15"/>
      <c r="H72" s="15"/>
      <c r="I72" s="15"/>
      <c r="J72" s="15"/>
    </row>
    <row r="73" spans="1:10">
      <c r="B73" s="7"/>
      <c r="C73" s="7"/>
      <c r="D73" s="7"/>
      <c r="E73" s="7"/>
      <c r="F73" s="7"/>
      <c r="G73" s="15"/>
      <c r="H73" s="15"/>
      <c r="I73" s="15"/>
      <c r="J73" s="15"/>
    </row>
    <row r="74" spans="1:10">
      <c r="B74" s="16"/>
      <c r="C74" s="16"/>
      <c r="D74" s="16"/>
      <c r="E74" s="16"/>
      <c r="F74" s="16"/>
      <c r="G74" s="18"/>
      <c r="H74" s="18"/>
      <c r="I74" s="18"/>
      <c r="J74" s="18"/>
    </row>
    <row r="75" spans="1:10">
      <c r="B75" s="27"/>
      <c r="C75" s="27"/>
      <c r="D75" s="27"/>
      <c r="E75" s="27"/>
      <c r="F75" s="27"/>
      <c r="G75" s="13"/>
      <c r="H75" s="13"/>
      <c r="I75" s="13"/>
      <c r="J75" s="13"/>
    </row>
    <row r="76" spans="1:10">
      <c r="B76" s="28"/>
      <c r="C76" s="28"/>
      <c r="D76" s="28"/>
      <c r="E76" s="28"/>
      <c r="F76" s="28"/>
      <c r="G76" s="14"/>
      <c r="H76" s="14"/>
      <c r="I76" s="14"/>
      <c r="J76" s="14"/>
    </row>
    <row r="77" spans="1:10">
      <c r="G77" s="15"/>
      <c r="H77" s="15"/>
      <c r="I77" s="15"/>
      <c r="J77" s="15"/>
    </row>
    <row r="78" spans="1:10">
      <c r="G78" s="15"/>
      <c r="H78" s="15"/>
      <c r="I78" s="15"/>
      <c r="J78" s="15"/>
    </row>
    <row r="94" spans="1:4">
      <c r="A94" s="28"/>
      <c r="B94" s="28"/>
      <c r="C94" s="28"/>
      <c r="D94" s="28"/>
    </row>
    <row r="95" spans="1:4">
      <c r="A95" s="28"/>
      <c r="B95" s="28"/>
      <c r="C95" s="28"/>
      <c r="D95" s="28"/>
    </row>
    <row r="96" spans="1:4">
      <c r="A96" s="28"/>
      <c r="B96" s="28"/>
      <c r="C96" s="28"/>
      <c r="D96" s="28"/>
    </row>
    <row r="97" spans="1:4">
      <c r="A97" s="28"/>
      <c r="B97" s="28"/>
      <c r="C97" s="28"/>
      <c r="D97" s="28"/>
    </row>
    <row r="98" spans="1:4">
      <c r="A98" s="28"/>
      <c r="B98" s="28"/>
      <c r="C98" s="28"/>
      <c r="D98" s="28"/>
    </row>
    <row r="99" spans="1:4">
      <c r="A99" s="28"/>
      <c r="B99" s="28"/>
      <c r="C99" s="28"/>
      <c r="D99" s="28"/>
    </row>
    <row r="100" spans="1:4">
      <c r="A100" s="29"/>
      <c r="B100" s="29"/>
      <c r="C100" s="29"/>
      <c r="D100" s="29"/>
    </row>
    <row r="101" spans="1:4">
      <c r="A101" s="29"/>
      <c r="B101" s="29"/>
      <c r="C101" s="29"/>
      <c r="D101" s="29"/>
    </row>
    <row r="102" spans="1:4">
      <c r="A102" s="29"/>
      <c r="B102" s="29"/>
      <c r="C102" s="29"/>
      <c r="D102" s="29"/>
    </row>
    <row r="103" spans="1:4">
      <c r="A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row r="124" spans="1:4">
      <c r="A124" s="29"/>
      <c r="B124" s="29"/>
      <c r="C124" s="29"/>
      <c r="D124" s="29"/>
    </row>
    <row r="125" spans="1:4">
      <c r="A125" s="29"/>
      <c r="B125" s="29"/>
      <c r="C125" s="29"/>
      <c r="D125" s="29"/>
    </row>
    <row r="126" spans="1:4">
      <c r="A126" s="29"/>
      <c r="B126" s="29"/>
      <c r="C126" s="29"/>
      <c r="D126" s="29"/>
    </row>
  </sheetData>
  <sheetProtection algorithmName="SHA-512" hashValue="7St1IzLd8w2N7sl2uT4fctDEKQYpnwcCm1dEm3P3jvmpSWGp0SILEPtONoXaKT8sbdipDHxWgShlFoLh1KsGRQ==" saltValue="68VGzHoSiT+NSJPJU8283Q==" spinCount="100000" sheet="1" objects="1" scenarios="1"/>
  <mergeCells count="11">
    <mergeCell ref="A2:D2"/>
    <mergeCell ref="H9:K9"/>
    <mergeCell ref="D38:K38"/>
    <mergeCell ref="D39:K39"/>
    <mergeCell ref="D40:K40"/>
    <mergeCell ref="D41:K41"/>
    <mergeCell ref="C7:D7"/>
    <mergeCell ref="A9:A10"/>
    <mergeCell ref="B9:B10"/>
    <mergeCell ref="C9:C10"/>
    <mergeCell ref="D9:G9"/>
  </mergeCells>
  <dataValidations count="2">
    <dataValidation type="list" allowBlank="1" showInputMessage="1" showErrorMessage="1" sqref="WVH983029:WVI983029 C65525:D65525 IV65525:IW65525 SR65525:SS65525 ACN65525:ACO65525 AMJ65525:AMK65525 AWF65525:AWG65525 BGB65525:BGC65525 BPX65525:BPY65525 BZT65525:BZU65525 CJP65525:CJQ65525 CTL65525:CTM65525 DDH65525:DDI65525 DND65525:DNE65525 DWZ65525:DXA65525 EGV65525:EGW65525 EQR65525:EQS65525 FAN65525:FAO65525 FKJ65525:FKK65525 FUF65525:FUG65525 GEB65525:GEC65525 GNX65525:GNY65525 GXT65525:GXU65525 HHP65525:HHQ65525 HRL65525:HRM65525 IBH65525:IBI65525 ILD65525:ILE65525 IUZ65525:IVA65525 JEV65525:JEW65525 JOR65525:JOS65525 JYN65525:JYO65525 KIJ65525:KIK65525 KSF65525:KSG65525 LCB65525:LCC65525 LLX65525:LLY65525 LVT65525:LVU65525 MFP65525:MFQ65525 MPL65525:MPM65525 MZH65525:MZI65525 NJD65525:NJE65525 NSZ65525:NTA65525 OCV65525:OCW65525 OMR65525:OMS65525 OWN65525:OWO65525 PGJ65525:PGK65525 PQF65525:PQG65525 QAB65525:QAC65525 QJX65525:QJY65525 QTT65525:QTU65525 RDP65525:RDQ65525 RNL65525:RNM65525 RXH65525:RXI65525 SHD65525:SHE65525 SQZ65525:SRA65525 TAV65525:TAW65525 TKR65525:TKS65525 TUN65525:TUO65525 UEJ65525:UEK65525 UOF65525:UOG65525 UYB65525:UYC65525 VHX65525:VHY65525 VRT65525:VRU65525 WBP65525:WBQ65525 WLL65525:WLM65525 WVH65525:WVI65525 C131061:D131061 IV131061:IW131061 SR131061:SS131061 ACN131061:ACO131061 AMJ131061:AMK131061 AWF131061:AWG131061 BGB131061:BGC131061 BPX131061:BPY131061 BZT131061:BZU131061 CJP131061:CJQ131061 CTL131061:CTM131061 DDH131061:DDI131061 DND131061:DNE131061 DWZ131061:DXA131061 EGV131061:EGW131061 EQR131061:EQS131061 FAN131061:FAO131061 FKJ131061:FKK131061 FUF131061:FUG131061 GEB131061:GEC131061 GNX131061:GNY131061 GXT131061:GXU131061 HHP131061:HHQ131061 HRL131061:HRM131061 IBH131061:IBI131061 ILD131061:ILE131061 IUZ131061:IVA131061 JEV131061:JEW131061 JOR131061:JOS131061 JYN131061:JYO131061 KIJ131061:KIK131061 KSF131061:KSG131061 LCB131061:LCC131061 LLX131061:LLY131061 LVT131061:LVU131061 MFP131061:MFQ131061 MPL131061:MPM131061 MZH131061:MZI131061 NJD131061:NJE131061 NSZ131061:NTA131061 OCV131061:OCW131061 OMR131061:OMS131061 OWN131061:OWO131061 PGJ131061:PGK131061 PQF131061:PQG131061 QAB131061:QAC131061 QJX131061:QJY131061 QTT131061:QTU131061 RDP131061:RDQ131061 RNL131061:RNM131061 RXH131061:RXI131061 SHD131061:SHE131061 SQZ131061:SRA131061 TAV131061:TAW131061 TKR131061:TKS131061 TUN131061:TUO131061 UEJ131061:UEK131061 UOF131061:UOG131061 UYB131061:UYC131061 VHX131061:VHY131061 VRT131061:VRU131061 WBP131061:WBQ131061 WLL131061:WLM131061 WVH131061:WVI131061 C196597:D196597 IV196597:IW196597 SR196597:SS196597 ACN196597:ACO196597 AMJ196597:AMK196597 AWF196597:AWG196597 BGB196597:BGC196597 BPX196597:BPY196597 BZT196597:BZU196597 CJP196597:CJQ196597 CTL196597:CTM196597 DDH196597:DDI196597 DND196597:DNE196597 DWZ196597:DXA196597 EGV196597:EGW196597 EQR196597:EQS196597 FAN196597:FAO196597 FKJ196597:FKK196597 FUF196597:FUG196597 GEB196597:GEC196597 GNX196597:GNY196597 GXT196597:GXU196597 HHP196597:HHQ196597 HRL196597:HRM196597 IBH196597:IBI196597 ILD196597:ILE196597 IUZ196597:IVA196597 JEV196597:JEW196597 JOR196597:JOS196597 JYN196597:JYO196597 KIJ196597:KIK196597 KSF196597:KSG196597 LCB196597:LCC196597 LLX196597:LLY196597 LVT196597:LVU196597 MFP196597:MFQ196597 MPL196597:MPM196597 MZH196597:MZI196597 NJD196597:NJE196597 NSZ196597:NTA196597 OCV196597:OCW196597 OMR196597:OMS196597 OWN196597:OWO196597 PGJ196597:PGK196597 PQF196597:PQG196597 QAB196597:QAC196597 QJX196597:QJY196597 QTT196597:QTU196597 RDP196597:RDQ196597 RNL196597:RNM196597 RXH196597:RXI196597 SHD196597:SHE196597 SQZ196597:SRA196597 TAV196597:TAW196597 TKR196597:TKS196597 TUN196597:TUO196597 UEJ196597:UEK196597 UOF196597:UOG196597 UYB196597:UYC196597 VHX196597:VHY196597 VRT196597:VRU196597 WBP196597:WBQ196597 WLL196597:WLM196597 WVH196597:WVI196597 C262133:D262133 IV262133:IW262133 SR262133:SS262133 ACN262133:ACO262133 AMJ262133:AMK262133 AWF262133:AWG262133 BGB262133:BGC262133 BPX262133:BPY262133 BZT262133:BZU262133 CJP262133:CJQ262133 CTL262133:CTM262133 DDH262133:DDI262133 DND262133:DNE262133 DWZ262133:DXA262133 EGV262133:EGW262133 EQR262133:EQS262133 FAN262133:FAO262133 FKJ262133:FKK262133 FUF262133:FUG262133 GEB262133:GEC262133 GNX262133:GNY262133 GXT262133:GXU262133 HHP262133:HHQ262133 HRL262133:HRM262133 IBH262133:IBI262133 ILD262133:ILE262133 IUZ262133:IVA262133 JEV262133:JEW262133 JOR262133:JOS262133 JYN262133:JYO262133 KIJ262133:KIK262133 KSF262133:KSG262133 LCB262133:LCC262133 LLX262133:LLY262133 LVT262133:LVU262133 MFP262133:MFQ262133 MPL262133:MPM262133 MZH262133:MZI262133 NJD262133:NJE262133 NSZ262133:NTA262133 OCV262133:OCW262133 OMR262133:OMS262133 OWN262133:OWO262133 PGJ262133:PGK262133 PQF262133:PQG262133 QAB262133:QAC262133 QJX262133:QJY262133 QTT262133:QTU262133 RDP262133:RDQ262133 RNL262133:RNM262133 RXH262133:RXI262133 SHD262133:SHE262133 SQZ262133:SRA262133 TAV262133:TAW262133 TKR262133:TKS262133 TUN262133:TUO262133 UEJ262133:UEK262133 UOF262133:UOG262133 UYB262133:UYC262133 VHX262133:VHY262133 VRT262133:VRU262133 WBP262133:WBQ262133 WLL262133:WLM262133 WVH262133:WVI262133 C327669:D327669 IV327669:IW327669 SR327669:SS327669 ACN327669:ACO327669 AMJ327669:AMK327669 AWF327669:AWG327669 BGB327669:BGC327669 BPX327669:BPY327669 BZT327669:BZU327669 CJP327669:CJQ327669 CTL327669:CTM327669 DDH327669:DDI327669 DND327669:DNE327669 DWZ327669:DXA327669 EGV327669:EGW327669 EQR327669:EQS327669 FAN327669:FAO327669 FKJ327669:FKK327669 FUF327669:FUG327669 GEB327669:GEC327669 GNX327669:GNY327669 GXT327669:GXU327669 HHP327669:HHQ327669 HRL327669:HRM327669 IBH327669:IBI327669 ILD327669:ILE327669 IUZ327669:IVA327669 JEV327669:JEW327669 JOR327669:JOS327669 JYN327669:JYO327669 KIJ327669:KIK327669 KSF327669:KSG327669 LCB327669:LCC327669 LLX327669:LLY327669 LVT327669:LVU327669 MFP327669:MFQ327669 MPL327669:MPM327669 MZH327669:MZI327669 NJD327669:NJE327669 NSZ327669:NTA327669 OCV327669:OCW327669 OMR327669:OMS327669 OWN327669:OWO327669 PGJ327669:PGK327669 PQF327669:PQG327669 QAB327669:QAC327669 QJX327669:QJY327669 QTT327669:QTU327669 RDP327669:RDQ327669 RNL327669:RNM327669 RXH327669:RXI327669 SHD327669:SHE327669 SQZ327669:SRA327669 TAV327669:TAW327669 TKR327669:TKS327669 TUN327669:TUO327669 UEJ327669:UEK327669 UOF327669:UOG327669 UYB327669:UYC327669 VHX327669:VHY327669 VRT327669:VRU327669 WBP327669:WBQ327669 WLL327669:WLM327669 WVH327669:WVI327669 C393205:D393205 IV393205:IW393205 SR393205:SS393205 ACN393205:ACO393205 AMJ393205:AMK393205 AWF393205:AWG393205 BGB393205:BGC393205 BPX393205:BPY393205 BZT393205:BZU393205 CJP393205:CJQ393205 CTL393205:CTM393205 DDH393205:DDI393205 DND393205:DNE393205 DWZ393205:DXA393205 EGV393205:EGW393205 EQR393205:EQS393205 FAN393205:FAO393205 FKJ393205:FKK393205 FUF393205:FUG393205 GEB393205:GEC393205 GNX393205:GNY393205 GXT393205:GXU393205 HHP393205:HHQ393205 HRL393205:HRM393205 IBH393205:IBI393205 ILD393205:ILE393205 IUZ393205:IVA393205 JEV393205:JEW393205 JOR393205:JOS393205 JYN393205:JYO393205 KIJ393205:KIK393205 KSF393205:KSG393205 LCB393205:LCC393205 LLX393205:LLY393205 LVT393205:LVU393205 MFP393205:MFQ393205 MPL393205:MPM393205 MZH393205:MZI393205 NJD393205:NJE393205 NSZ393205:NTA393205 OCV393205:OCW393205 OMR393205:OMS393205 OWN393205:OWO393205 PGJ393205:PGK393205 PQF393205:PQG393205 QAB393205:QAC393205 QJX393205:QJY393205 QTT393205:QTU393205 RDP393205:RDQ393205 RNL393205:RNM393205 RXH393205:RXI393205 SHD393205:SHE393205 SQZ393205:SRA393205 TAV393205:TAW393205 TKR393205:TKS393205 TUN393205:TUO393205 UEJ393205:UEK393205 UOF393205:UOG393205 UYB393205:UYC393205 VHX393205:VHY393205 VRT393205:VRU393205 WBP393205:WBQ393205 WLL393205:WLM393205 WVH393205:WVI393205 C458741:D458741 IV458741:IW458741 SR458741:SS458741 ACN458741:ACO458741 AMJ458741:AMK458741 AWF458741:AWG458741 BGB458741:BGC458741 BPX458741:BPY458741 BZT458741:BZU458741 CJP458741:CJQ458741 CTL458741:CTM458741 DDH458741:DDI458741 DND458741:DNE458741 DWZ458741:DXA458741 EGV458741:EGW458741 EQR458741:EQS458741 FAN458741:FAO458741 FKJ458741:FKK458741 FUF458741:FUG458741 GEB458741:GEC458741 GNX458741:GNY458741 GXT458741:GXU458741 HHP458741:HHQ458741 HRL458741:HRM458741 IBH458741:IBI458741 ILD458741:ILE458741 IUZ458741:IVA458741 JEV458741:JEW458741 JOR458741:JOS458741 JYN458741:JYO458741 KIJ458741:KIK458741 KSF458741:KSG458741 LCB458741:LCC458741 LLX458741:LLY458741 LVT458741:LVU458741 MFP458741:MFQ458741 MPL458741:MPM458741 MZH458741:MZI458741 NJD458741:NJE458741 NSZ458741:NTA458741 OCV458741:OCW458741 OMR458741:OMS458741 OWN458741:OWO458741 PGJ458741:PGK458741 PQF458741:PQG458741 QAB458741:QAC458741 QJX458741:QJY458741 QTT458741:QTU458741 RDP458741:RDQ458741 RNL458741:RNM458741 RXH458741:RXI458741 SHD458741:SHE458741 SQZ458741:SRA458741 TAV458741:TAW458741 TKR458741:TKS458741 TUN458741:TUO458741 UEJ458741:UEK458741 UOF458741:UOG458741 UYB458741:UYC458741 VHX458741:VHY458741 VRT458741:VRU458741 WBP458741:WBQ458741 WLL458741:WLM458741 WVH458741:WVI458741 C524277:D524277 IV524277:IW524277 SR524277:SS524277 ACN524277:ACO524277 AMJ524277:AMK524277 AWF524277:AWG524277 BGB524277:BGC524277 BPX524277:BPY524277 BZT524277:BZU524277 CJP524277:CJQ524277 CTL524277:CTM524277 DDH524277:DDI524277 DND524277:DNE524277 DWZ524277:DXA524277 EGV524277:EGW524277 EQR524277:EQS524277 FAN524277:FAO524277 FKJ524277:FKK524277 FUF524277:FUG524277 GEB524277:GEC524277 GNX524277:GNY524277 GXT524277:GXU524277 HHP524277:HHQ524277 HRL524277:HRM524277 IBH524277:IBI524277 ILD524277:ILE524277 IUZ524277:IVA524277 JEV524277:JEW524277 JOR524277:JOS524277 JYN524277:JYO524277 KIJ524277:KIK524277 KSF524277:KSG524277 LCB524277:LCC524277 LLX524277:LLY524277 LVT524277:LVU524277 MFP524277:MFQ524277 MPL524277:MPM524277 MZH524277:MZI524277 NJD524277:NJE524277 NSZ524277:NTA524277 OCV524277:OCW524277 OMR524277:OMS524277 OWN524277:OWO524277 PGJ524277:PGK524277 PQF524277:PQG524277 QAB524277:QAC524277 QJX524277:QJY524277 QTT524277:QTU524277 RDP524277:RDQ524277 RNL524277:RNM524277 RXH524277:RXI524277 SHD524277:SHE524277 SQZ524277:SRA524277 TAV524277:TAW524277 TKR524277:TKS524277 TUN524277:TUO524277 UEJ524277:UEK524277 UOF524277:UOG524277 UYB524277:UYC524277 VHX524277:VHY524277 VRT524277:VRU524277 WBP524277:WBQ524277 WLL524277:WLM524277 WVH524277:WVI524277 C589813:D589813 IV589813:IW589813 SR589813:SS589813 ACN589813:ACO589813 AMJ589813:AMK589813 AWF589813:AWG589813 BGB589813:BGC589813 BPX589813:BPY589813 BZT589813:BZU589813 CJP589813:CJQ589813 CTL589813:CTM589813 DDH589813:DDI589813 DND589813:DNE589813 DWZ589813:DXA589813 EGV589813:EGW589813 EQR589813:EQS589813 FAN589813:FAO589813 FKJ589813:FKK589813 FUF589813:FUG589813 GEB589813:GEC589813 GNX589813:GNY589813 GXT589813:GXU589813 HHP589813:HHQ589813 HRL589813:HRM589813 IBH589813:IBI589813 ILD589813:ILE589813 IUZ589813:IVA589813 JEV589813:JEW589813 JOR589813:JOS589813 JYN589813:JYO589813 KIJ589813:KIK589813 KSF589813:KSG589813 LCB589813:LCC589813 LLX589813:LLY589813 LVT589813:LVU589813 MFP589813:MFQ589813 MPL589813:MPM589813 MZH589813:MZI589813 NJD589813:NJE589813 NSZ589813:NTA589813 OCV589813:OCW589813 OMR589813:OMS589813 OWN589813:OWO589813 PGJ589813:PGK589813 PQF589813:PQG589813 QAB589813:QAC589813 QJX589813:QJY589813 QTT589813:QTU589813 RDP589813:RDQ589813 RNL589813:RNM589813 RXH589813:RXI589813 SHD589813:SHE589813 SQZ589813:SRA589813 TAV589813:TAW589813 TKR589813:TKS589813 TUN589813:TUO589813 UEJ589813:UEK589813 UOF589813:UOG589813 UYB589813:UYC589813 VHX589813:VHY589813 VRT589813:VRU589813 WBP589813:WBQ589813 WLL589813:WLM589813 WVH589813:WVI589813 C655349:D655349 IV655349:IW655349 SR655349:SS655349 ACN655349:ACO655349 AMJ655349:AMK655349 AWF655349:AWG655349 BGB655349:BGC655349 BPX655349:BPY655349 BZT655349:BZU655349 CJP655349:CJQ655349 CTL655349:CTM655349 DDH655349:DDI655349 DND655349:DNE655349 DWZ655349:DXA655349 EGV655349:EGW655349 EQR655349:EQS655349 FAN655349:FAO655349 FKJ655349:FKK655349 FUF655349:FUG655349 GEB655349:GEC655349 GNX655349:GNY655349 GXT655349:GXU655349 HHP655349:HHQ655349 HRL655349:HRM655349 IBH655349:IBI655349 ILD655349:ILE655349 IUZ655349:IVA655349 JEV655349:JEW655349 JOR655349:JOS655349 JYN655349:JYO655349 KIJ655349:KIK655349 KSF655349:KSG655349 LCB655349:LCC655349 LLX655349:LLY655349 LVT655349:LVU655349 MFP655349:MFQ655349 MPL655349:MPM655349 MZH655349:MZI655349 NJD655349:NJE655349 NSZ655349:NTA655349 OCV655349:OCW655349 OMR655349:OMS655349 OWN655349:OWO655349 PGJ655349:PGK655349 PQF655349:PQG655349 QAB655349:QAC655349 QJX655349:QJY655349 QTT655349:QTU655349 RDP655349:RDQ655349 RNL655349:RNM655349 RXH655349:RXI655349 SHD655349:SHE655349 SQZ655349:SRA655349 TAV655349:TAW655349 TKR655349:TKS655349 TUN655349:TUO655349 UEJ655349:UEK655349 UOF655349:UOG655349 UYB655349:UYC655349 VHX655349:VHY655349 VRT655349:VRU655349 WBP655349:WBQ655349 WLL655349:WLM655349 WVH655349:WVI655349 C720885:D720885 IV720885:IW720885 SR720885:SS720885 ACN720885:ACO720885 AMJ720885:AMK720885 AWF720885:AWG720885 BGB720885:BGC720885 BPX720885:BPY720885 BZT720885:BZU720885 CJP720885:CJQ720885 CTL720885:CTM720885 DDH720885:DDI720885 DND720885:DNE720885 DWZ720885:DXA720885 EGV720885:EGW720885 EQR720885:EQS720885 FAN720885:FAO720885 FKJ720885:FKK720885 FUF720885:FUG720885 GEB720885:GEC720885 GNX720885:GNY720885 GXT720885:GXU720885 HHP720885:HHQ720885 HRL720885:HRM720885 IBH720885:IBI720885 ILD720885:ILE720885 IUZ720885:IVA720885 JEV720885:JEW720885 JOR720885:JOS720885 JYN720885:JYO720885 KIJ720885:KIK720885 KSF720885:KSG720885 LCB720885:LCC720885 LLX720885:LLY720885 LVT720885:LVU720885 MFP720885:MFQ720885 MPL720885:MPM720885 MZH720885:MZI720885 NJD720885:NJE720885 NSZ720885:NTA720885 OCV720885:OCW720885 OMR720885:OMS720885 OWN720885:OWO720885 PGJ720885:PGK720885 PQF720885:PQG720885 QAB720885:QAC720885 QJX720885:QJY720885 QTT720885:QTU720885 RDP720885:RDQ720885 RNL720885:RNM720885 RXH720885:RXI720885 SHD720885:SHE720885 SQZ720885:SRA720885 TAV720885:TAW720885 TKR720885:TKS720885 TUN720885:TUO720885 UEJ720885:UEK720885 UOF720885:UOG720885 UYB720885:UYC720885 VHX720885:VHY720885 VRT720885:VRU720885 WBP720885:WBQ720885 WLL720885:WLM720885 WVH720885:WVI720885 C786421:D786421 IV786421:IW786421 SR786421:SS786421 ACN786421:ACO786421 AMJ786421:AMK786421 AWF786421:AWG786421 BGB786421:BGC786421 BPX786421:BPY786421 BZT786421:BZU786421 CJP786421:CJQ786421 CTL786421:CTM786421 DDH786421:DDI786421 DND786421:DNE786421 DWZ786421:DXA786421 EGV786421:EGW786421 EQR786421:EQS786421 FAN786421:FAO786421 FKJ786421:FKK786421 FUF786421:FUG786421 GEB786421:GEC786421 GNX786421:GNY786421 GXT786421:GXU786421 HHP786421:HHQ786421 HRL786421:HRM786421 IBH786421:IBI786421 ILD786421:ILE786421 IUZ786421:IVA786421 JEV786421:JEW786421 JOR786421:JOS786421 JYN786421:JYO786421 KIJ786421:KIK786421 KSF786421:KSG786421 LCB786421:LCC786421 LLX786421:LLY786421 LVT786421:LVU786421 MFP786421:MFQ786421 MPL786421:MPM786421 MZH786421:MZI786421 NJD786421:NJE786421 NSZ786421:NTA786421 OCV786421:OCW786421 OMR786421:OMS786421 OWN786421:OWO786421 PGJ786421:PGK786421 PQF786421:PQG786421 QAB786421:QAC786421 QJX786421:QJY786421 QTT786421:QTU786421 RDP786421:RDQ786421 RNL786421:RNM786421 RXH786421:RXI786421 SHD786421:SHE786421 SQZ786421:SRA786421 TAV786421:TAW786421 TKR786421:TKS786421 TUN786421:TUO786421 UEJ786421:UEK786421 UOF786421:UOG786421 UYB786421:UYC786421 VHX786421:VHY786421 VRT786421:VRU786421 WBP786421:WBQ786421 WLL786421:WLM786421 WVH786421:WVI786421 C851957:D851957 IV851957:IW851957 SR851957:SS851957 ACN851957:ACO851957 AMJ851957:AMK851957 AWF851957:AWG851957 BGB851957:BGC851957 BPX851957:BPY851957 BZT851957:BZU851957 CJP851957:CJQ851957 CTL851957:CTM851957 DDH851957:DDI851957 DND851957:DNE851957 DWZ851957:DXA851957 EGV851957:EGW851957 EQR851957:EQS851957 FAN851957:FAO851957 FKJ851957:FKK851957 FUF851957:FUG851957 GEB851957:GEC851957 GNX851957:GNY851957 GXT851957:GXU851957 HHP851957:HHQ851957 HRL851957:HRM851957 IBH851957:IBI851957 ILD851957:ILE851957 IUZ851957:IVA851957 JEV851957:JEW851957 JOR851957:JOS851957 JYN851957:JYO851957 KIJ851957:KIK851957 KSF851957:KSG851957 LCB851957:LCC851957 LLX851957:LLY851957 LVT851957:LVU851957 MFP851957:MFQ851957 MPL851957:MPM851957 MZH851957:MZI851957 NJD851957:NJE851957 NSZ851957:NTA851957 OCV851957:OCW851957 OMR851957:OMS851957 OWN851957:OWO851957 PGJ851957:PGK851957 PQF851957:PQG851957 QAB851957:QAC851957 QJX851957:QJY851957 QTT851957:QTU851957 RDP851957:RDQ851957 RNL851957:RNM851957 RXH851957:RXI851957 SHD851957:SHE851957 SQZ851957:SRA851957 TAV851957:TAW851957 TKR851957:TKS851957 TUN851957:TUO851957 UEJ851957:UEK851957 UOF851957:UOG851957 UYB851957:UYC851957 VHX851957:VHY851957 VRT851957:VRU851957 WBP851957:WBQ851957 WLL851957:WLM851957 WVH851957:WVI851957 C917493:D917493 IV917493:IW917493 SR917493:SS917493 ACN917493:ACO917493 AMJ917493:AMK917493 AWF917493:AWG917493 BGB917493:BGC917493 BPX917493:BPY917493 BZT917493:BZU917493 CJP917493:CJQ917493 CTL917493:CTM917493 DDH917493:DDI917493 DND917493:DNE917493 DWZ917493:DXA917493 EGV917493:EGW917493 EQR917493:EQS917493 FAN917493:FAO917493 FKJ917493:FKK917493 FUF917493:FUG917493 GEB917493:GEC917493 GNX917493:GNY917493 GXT917493:GXU917493 HHP917493:HHQ917493 HRL917493:HRM917493 IBH917493:IBI917493 ILD917493:ILE917493 IUZ917493:IVA917493 JEV917493:JEW917493 JOR917493:JOS917493 JYN917493:JYO917493 KIJ917493:KIK917493 KSF917493:KSG917493 LCB917493:LCC917493 LLX917493:LLY917493 LVT917493:LVU917493 MFP917493:MFQ917493 MPL917493:MPM917493 MZH917493:MZI917493 NJD917493:NJE917493 NSZ917493:NTA917493 OCV917493:OCW917493 OMR917493:OMS917493 OWN917493:OWO917493 PGJ917493:PGK917493 PQF917493:PQG917493 QAB917493:QAC917493 QJX917493:QJY917493 QTT917493:QTU917493 RDP917493:RDQ917493 RNL917493:RNM917493 RXH917493:RXI917493 SHD917493:SHE917493 SQZ917493:SRA917493 TAV917493:TAW917493 TKR917493:TKS917493 TUN917493:TUO917493 UEJ917493:UEK917493 UOF917493:UOG917493 UYB917493:UYC917493 VHX917493:VHY917493 VRT917493:VRU917493 WBP917493:WBQ917493 WLL917493:WLM917493 WVH917493:WVI917493 C983029:D983029 IV983029:IW983029 SR983029:SS983029 ACN983029:ACO983029 AMJ983029:AMK983029 AWF983029:AWG983029 BGB983029:BGC983029 BPX983029:BPY983029 BZT983029:BZU983029 CJP983029:CJQ983029 CTL983029:CTM983029 DDH983029:DDI983029 DND983029:DNE983029 DWZ983029:DXA983029 EGV983029:EGW983029 EQR983029:EQS983029 FAN983029:FAO983029 FKJ983029:FKK983029 FUF983029:FUG983029 GEB983029:GEC983029 GNX983029:GNY983029 GXT983029:GXU983029 HHP983029:HHQ983029 HRL983029:HRM983029 IBH983029:IBI983029 ILD983029:ILE983029 IUZ983029:IVA983029 JEV983029:JEW983029 JOR983029:JOS983029 JYN983029:JYO983029 KIJ983029:KIK983029 KSF983029:KSG983029 LCB983029:LCC983029 LLX983029:LLY983029 LVT983029:LVU983029 MFP983029:MFQ983029 MPL983029:MPM983029 MZH983029:MZI983029 NJD983029:NJE983029 NSZ983029:NTA983029 OCV983029:OCW983029 OMR983029:OMS983029 OWN983029:OWO983029 PGJ983029:PGK983029 PQF983029:PQG983029 QAB983029:QAC983029 QJX983029:QJY983029 QTT983029:QTU983029 RDP983029:RDQ983029 RNL983029:RNM983029 RXH983029:RXI983029 SHD983029:SHE983029 SQZ983029:SRA983029 TAV983029:TAW983029 TKR983029:TKS983029 TUN983029:TUO983029 UEJ983029:UEK983029 UOF983029:UOG983029 UYB983029:UYC983029 VHX983029:VHY983029 VRT983029:VRU983029 WBP983029:WBQ983029 WLL983029:WLM983029 IV7:IW7 SR7:SS7 ACN7:ACO7 AMJ7:AMK7 AWF7:AWG7 BGB7:BGC7 BPX7:BPY7 BZT7:BZU7 CJP7:CJQ7 CTL7:CTM7 DDH7:DDI7 DND7:DNE7 DWZ7:DXA7 EGV7:EGW7 EQR7:EQS7 FAN7:FAO7 FKJ7:FKK7 FUF7:FUG7 GEB7:GEC7 GNX7:GNY7 GXT7:GXU7 HHP7:HHQ7 HRL7:HRM7 IBH7:IBI7 ILD7:ILE7 IUZ7:IVA7 JEV7:JEW7 JOR7:JOS7 JYN7:JYO7 KIJ7:KIK7 KSF7:KSG7 LCB7:LCC7 LLX7:LLY7 LVT7:LVU7 MFP7:MFQ7 MPL7:MPM7 MZH7:MZI7 NJD7:NJE7 NSZ7:NTA7 OCV7:OCW7 OMR7:OMS7 OWN7:OWO7 PGJ7:PGK7 PQF7:PQG7 QAB7:QAC7 QJX7:QJY7 QTT7:QTU7 RDP7:RDQ7 RNL7:RNM7 RXH7:RXI7 SHD7:SHE7 SQZ7:SRA7 TAV7:TAW7 TKR7:TKS7 TUN7:TUO7 UEJ7:UEK7 UOF7:UOG7 UYB7:UYC7 VHX7:VHY7 VRT7:VRU7 WBP7:WBQ7 WLL7:WLM7 WVH7:WVI7">
      <formula1>NHSBOARDS11</formula1>
    </dataValidation>
    <dataValidation type="list" allowBlank="1" showInputMessage="1" showErrorMessage="1" sqref="C7:D7">
      <formula1>ISLANDBOARDS</formula1>
    </dataValidation>
  </dataValidations>
  <hyperlinks>
    <hyperlink ref="A5" r:id="rId1"/>
  </hyperlinks>
  <pageMargins left="0.7" right="0.7" top="0.75" bottom="0.75" header="0.3" footer="0.3"/>
  <pageSetup paperSize="9" orientation="portrait"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N117"/>
  <sheetViews>
    <sheetView workbookViewId="0">
      <selection activeCell="C7" sqref="C7:D7"/>
    </sheetView>
  </sheetViews>
  <sheetFormatPr defaultRowHeight="15"/>
  <cols>
    <col min="1" max="1" width="18.28515625" style="6" customWidth="1"/>
    <col min="2" max="2" width="13.5703125" style="6" customWidth="1"/>
    <col min="3" max="3" width="15.140625" style="6" customWidth="1"/>
    <col min="4" max="5" width="12.85546875" style="6" customWidth="1"/>
    <col min="6" max="6" width="12.5703125" style="6" customWidth="1"/>
    <col min="7" max="7" width="10.85546875" style="6" customWidth="1"/>
    <col min="8" max="10" width="14.5703125" style="6" customWidth="1"/>
    <col min="11" max="11" width="12.85546875" style="6" customWidth="1"/>
    <col min="12" max="256" width="9.140625" style="6"/>
    <col min="257" max="257" width="18.28515625" style="6" customWidth="1"/>
    <col min="258" max="258" width="13.5703125" style="6" customWidth="1"/>
    <col min="259" max="259" width="15.140625" style="6" customWidth="1"/>
    <col min="260" max="261" width="12.85546875" style="6" customWidth="1"/>
    <col min="262" max="262" width="12.5703125" style="6" customWidth="1"/>
    <col min="263" max="263" width="10.85546875" style="6" customWidth="1"/>
    <col min="264" max="266" width="14.5703125" style="6" customWidth="1"/>
    <col min="267" max="267" width="12.85546875" style="6" customWidth="1"/>
    <col min="268" max="512" width="9.140625" style="6"/>
    <col min="513" max="513" width="18.28515625" style="6" customWidth="1"/>
    <col min="514" max="514" width="13.5703125" style="6" customWidth="1"/>
    <col min="515" max="515" width="15.140625" style="6" customWidth="1"/>
    <col min="516" max="517" width="12.85546875" style="6" customWidth="1"/>
    <col min="518" max="518" width="12.5703125" style="6" customWidth="1"/>
    <col min="519" max="519" width="10.85546875" style="6" customWidth="1"/>
    <col min="520" max="522" width="14.5703125" style="6" customWidth="1"/>
    <col min="523" max="523" width="12.85546875" style="6" customWidth="1"/>
    <col min="524" max="768" width="9.140625" style="6"/>
    <col min="769" max="769" width="18.28515625" style="6" customWidth="1"/>
    <col min="770" max="770" width="13.5703125" style="6" customWidth="1"/>
    <col min="771" max="771" width="15.140625" style="6" customWidth="1"/>
    <col min="772" max="773" width="12.85546875" style="6" customWidth="1"/>
    <col min="774" max="774" width="12.5703125" style="6" customWidth="1"/>
    <col min="775" max="775" width="10.85546875" style="6" customWidth="1"/>
    <col min="776" max="778" width="14.5703125" style="6" customWidth="1"/>
    <col min="779" max="779" width="12.85546875" style="6" customWidth="1"/>
    <col min="780" max="1024" width="9.140625" style="6"/>
    <col min="1025" max="1025" width="18.28515625" style="6" customWidth="1"/>
    <col min="1026" max="1026" width="13.5703125" style="6" customWidth="1"/>
    <col min="1027" max="1027" width="15.140625" style="6" customWidth="1"/>
    <col min="1028" max="1029" width="12.85546875" style="6" customWidth="1"/>
    <col min="1030" max="1030" width="12.5703125" style="6" customWidth="1"/>
    <col min="1031" max="1031" width="10.85546875" style="6" customWidth="1"/>
    <col min="1032" max="1034" width="14.5703125" style="6" customWidth="1"/>
    <col min="1035" max="1035" width="12.85546875" style="6" customWidth="1"/>
    <col min="1036" max="1280" width="9.140625" style="6"/>
    <col min="1281" max="1281" width="18.28515625" style="6" customWidth="1"/>
    <col min="1282" max="1282" width="13.5703125" style="6" customWidth="1"/>
    <col min="1283" max="1283" width="15.140625" style="6" customWidth="1"/>
    <col min="1284" max="1285" width="12.85546875" style="6" customWidth="1"/>
    <col min="1286" max="1286" width="12.5703125" style="6" customWidth="1"/>
    <col min="1287" max="1287" width="10.85546875" style="6" customWidth="1"/>
    <col min="1288" max="1290" width="14.5703125" style="6" customWidth="1"/>
    <col min="1291" max="1291" width="12.85546875" style="6" customWidth="1"/>
    <col min="1292" max="1536" width="9.140625" style="6"/>
    <col min="1537" max="1537" width="18.28515625" style="6" customWidth="1"/>
    <col min="1538" max="1538" width="13.5703125" style="6" customWidth="1"/>
    <col min="1539" max="1539" width="15.140625" style="6" customWidth="1"/>
    <col min="1540" max="1541" width="12.85546875" style="6" customWidth="1"/>
    <col min="1542" max="1542" width="12.5703125" style="6" customWidth="1"/>
    <col min="1543" max="1543" width="10.85546875" style="6" customWidth="1"/>
    <col min="1544" max="1546" width="14.5703125" style="6" customWidth="1"/>
    <col min="1547" max="1547" width="12.85546875" style="6" customWidth="1"/>
    <col min="1548" max="1792" width="9.140625" style="6"/>
    <col min="1793" max="1793" width="18.28515625" style="6" customWidth="1"/>
    <col min="1794" max="1794" width="13.5703125" style="6" customWidth="1"/>
    <col min="1795" max="1795" width="15.140625" style="6" customWidth="1"/>
    <col min="1796" max="1797" width="12.85546875" style="6" customWidth="1"/>
    <col min="1798" max="1798" width="12.5703125" style="6" customWidth="1"/>
    <col min="1799" max="1799" width="10.85546875" style="6" customWidth="1"/>
    <col min="1800" max="1802" width="14.5703125" style="6" customWidth="1"/>
    <col min="1803" max="1803" width="12.85546875" style="6" customWidth="1"/>
    <col min="1804" max="2048" width="9.140625" style="6"/>
    <col min="2049" max="2049" width="18.28515625" style="6" customWidth="1"/>
    <col min="2050" max="2050" width="13.5703125" style="6" customWidth="1"/>
    <col min="2051" max="2051" width="15.140625" style="6" customWidth="1"/>
    <col min="2052" max="2053" width="12.85546875" style="6" customWidth="1"/>
    <col min="2054" max="2054" width="12.5703125" style="6" customWidth="1"/>
    <col min="2055" max="2055" width="10.85546875" style="6" customWidth="1"/>
    <col min="2056" max="2058" width="14.5703125" style="6" customWidth="1"/>
    <col min="2059" max="2059" width="12.85546875" style="6" customWidth="1"/>
    <col min="2060" max="2304" width="9.140625" style="6"/>
    <col min="2305" max="2305" width="18.28515625" style="6" customWidth="1"/>
    <col min="2306" max="2306" width="13.5703125" style="6" customWidth="1"/>
    <col min="2307" max="2307" width="15.140625" style="6" customWidth="1"/>
    <col min="2308" max="2309" width="12.85546875" style="6" customWidth="1"/>
    <col min="2310" max="2310" width="12.5703125" style="6" customWidth="1"/>
    <col min="2311" max="2311" width="10.85546875" style="6" customWidth="1"/>
    <col min="2312" max="2314" width="14.5703125" style="6" customWidth="1"/>
    <col min="2315" max="2315" width="12.85546875" style="6" customWidth="1"/>
    <col min="2316" max="2560" width="9.140625" style="6"/>
    <col min="2561" max="2561" width="18.28515625" style="6" customWidth="1"/>
    <col min="2562" max="2562" width="13.5703125" style="6" customWidth="1"/>
    <col min="2563" max="2563" width="15.140625" style="6" customWidth="1"/>
    <col min="2564" max="2565" width="12.85546875" style="6" customWidth="1"/>
    <col min="2566" max="2566" width="12.5703125" style="6" customWidth="1"/>
    <col min="2567" max="2567" width="10.85546875" style="6" customWidth="1"/>
    <col min="2568" max="2570" width="14.5703125" style="6" customWidth="1"/>
    <col min="2571" max="2571" width="12.85546875" style="6" customWidth="1"/>
    <col min="2572" max="2816" width="9.140625" style="6"/>
    <col min="2817" max="2817" width="18.28515625" style="6" customWidth="1"/>
    <col min="2818" max="2818" width="13.5703125" style="6" customWidth="1"/>
    <col min="2819" max="2819" width="15.140625" style="6" customWidth="1"/>
    <col min="2820" max="2821" width="12.85546875" style="6" customWidth="1"/>
    <col min="2822" max="2822" width="12.5703125" style="6" customWidth="1"/>
    <col min="2823" max="2823" width="10.85546875" style="6" customWidth="1"/>
    <col min="2824" max="2826" width="14.5703125" style="6" customWidth="1"/>
    <col min="2827" max="2827" width="12.85546875" style="6" customWidth="1"/>
    <col min="2828" max="3072" width="9.140625" style="6"/>
    <col min="3073" max="3073" width="18.28515625" style="6" customWidth="1"/>
    <col min="3074" max="3074" width="13.5703125" style="6" customWidth="1"/>
    <col min="3075" max="3075" width="15.140625" style="6" customWidth="1"/>
    <col min="3076" max="3077" width="12.85546875" style="6" customWidth="1"/>
    <col min="3078" max="3078" width="12.5703125" style="6" customWidth="1"/>
    <col min="3079" max="3079" width="10.85546875" style="6" customWidth="1"/>
    <col min="3080" max="3082" width="14.5703125" style="6" customWidth="1"/>
    <col min="3083" max="3083" width="12.85546875" style="6" customWidth="1"/>
    <col min="3084" max="3328" width="9.140625" style="6"/>
    <col min="3329" max="3329" width="18.28515625" style="6" customWidth="1"/>
    <col min="3330" max="3330" width="13.5703125" style="6" customWidth="1"/>
    <col min="3331" max="3331" width="15.140625" style="6" customWidth="1"/>
    <col min="3332" max="3333" width="12.85546875" style="6" customWidth="1"/>
    <col min="3334" max="3334" width="12.5703125" style="6" customWidth="1"/>
    <col min="3335" max="3335" width="10.85546875" style="6" customWidth="1"/>
    <col min="3336" max="3338" width="14.5703125" style="6" customWidth="1"/>
    <col min="3339" max="3339" width="12.85546875" style="6" customWidth="1"/>
    <col min="3340" max="3584" width="9.140625" style="6"/>
    <col min="3585" max="3585" width="18.28515625" style="6" customWidth="1"/>
    <col min="3586" max="3586" width="13.5703125" style="6" customWidth="1"/>
    <col min="3587" max="3587" width="15.140625" style="6" customWidth="1"/>
    <col min="3588" max="3589" width="12.85546875" style="6" customWidth="1"/>
    <col min="3590" max="3590" width="12.5703125" style="6" customWidth="1"/>
    <col min="3591" max="3591" width="10.85546875" style="6" customWidth="1"/>
    <col min="3592" max="3594" width="14.5703125" style="6" customWidth="1"/>
    <col min="3595" max="3595" width="12.85546875" style="6" customWidth="1"/>
    <col min="3596" max="3840" width="9.140625" style="6"/>
    <col min="3841" max="3841" width="18.28515625" style="6" customWidth="1"/>
    <col min="3842" max="3842" width="13.5703125" style="6" customWidth="1"/>
    <col min="3843" max="3843" width="15.140625" style="6" customWidth="1"/>
    <col min="3844" max="3845" width="12.85546875" style="6" customWidth="1"/>
    <col min="3846" max="3846" width="12.5703125" style="6" customWidth="1"/>
    <col min="3847" max="3847" width="10.85546875" style="6" customWidth="1"/>
    <col min="3848" max="3850" width="14.5703125" style="6" customWidth="1"/>
    <col min="3851" max="3851" width="12.85546875" style="6" customWidth="1"/>
    <col min="3852" max="4096" width="9.140625" style="6"/>
    <col min="4097" max="4097" width="18.28515625" style="6" customWidth="1"/>
    <col min="4098" max="4098" width="13.5703125" style="6" customWidth="1"/>
    <col min="4099" max="4099" width="15.140625" style="6" customWidth="1"/>
    <col min="4100" max="4101" width="12.85546875" style="6" customWidth="1"/>
    <col min="4102" max="4102" width="12.5703125" style="6" customWidth="1"/>
    <col min="4103" max="4103" width="10.85546875" style="6" customWidth="1"/>
    <col min="4104" max="4106" width="14.5703125" style="6" customWidth="1"/>
    <col min="4107" max="4107" width="12.85546875" style="6" customWidth="1"/>
    <col min="4108" max="4352" width="9.140625" style="6"/>
    <col min="4353" max="4353" width="18.28515625" style="6" customWidth="1"/>
    <col min="4354" max="4354" width="13.5703125" style="6" customWidth="1"/>
    <col min="4355" max="4355" width="15.140625" style="6" customWidth="1"/>
    <col min="4356" max="4357" width="12.85546875" style="6" customWidth="1"/>
    <col min="4358" max="4358" width="12.5703125" style="6" customWidth="1"/>
    <col min="4359" max="4359" width="10.85546875" style="6" customWidth="1"/>
    <col min="4360" max="4362" width="14.5703125" style="6" customWidth="1"/>
    <col min="4363" max="4363" width="12.85546875" style="6" customWidth="1"/>
    <col min="4364" max="4608" width="9.140625" style="6"/>
    <col min="4609" max="4609" width="18.28515625" style="6" customWidth="1"/>
    <col min="4610" max="4610" width="13.5703125" style="6" customWidth="1"/>
    <col min="4611" max="4611" width="15.140625" style="6" customWidth="1"/>
    <col min="4612" max="4613" width="12.85546875" style="6" customWidth="1"/>
    <col min="4614" max="4614" width="12.5703125" style="6" customWidth="1"/>
    <col min="4615" max="4615" width="10.85546875" style="6" customWidth="1"/>
    <col min="4616" max="4618" width="14.5703125" style="6" customWidth="1"/>
    <col min="4619" max="4619" width="12.85546875" style="6" customWidth="1"/>
    <col min="4620" max="4864" width="9.140625" style="6"/>
    <col min="4865" max="4865" width="18.28515625" style="6" customWidth="1"/>
    <col min="4866" max="4866" width="13.5703125" style="6" customWidth="1"/>
    <col min="4867" max="4867" width="15.140625" style="6" customWidth="1"/>
    <col min="4868" max="4869" width="12.85546875" style="6" customWidth="1"/>
    <col min="4870" max="4870" width="12.5703125" style="6" customWidth="1"/>
    <col min="4871" max="4871" width="10.85546875" style="6" customWidth="1"/>
    <col min="4872" max="4874" width="14.5703125" style="6" customWidth="1"/>
    <col min="4875" max="4875" width="12.85546875" style="6" customWidth="1"/>
    <col min="4876" max="5120" width="9.140625" style="6"/>
    <col min="5121" max="5121" width="18.28515625" style="6" customWidth="1"/>
    <col min="5122" max="5122" width="13.5703125" style="6" customWidth="1"/>
    <col min="5123" max="5123" width="15.140625" style="6" customWidth="1"/>
    <col min="5124" max="5125" width="12.85546875" style="6" customWidth="1"/>
    <col min="5126" max="5126" width="12.5703125" style="6" customWidth="1"/>
    <col min="5127" max="5127" width="10.85546875" style="6" customWidth="1"/>
    <col min="5128" max="5130" width="14.5703125" style="6" customWidth="1"/>
    <col min="5131" max="5131" width="12.85546875" style="6" customWidth="1"/>
    <col min="5132" max="5376" width="9.140625" style="6"/>
    <col min="5377" max="5377" width="18.28515625" style="6" customWidth="1"/>
    <col min="5378" max="5378" width="13.5703125" style="6" customWidth="1"/>
    <col min="5379" max="5379" width="15.140625" style="6" customWidth="1"/>
    <col min="5380" max="5381" width="12.85546875" style="6" customWidth="1"/>
    <col min="5382" max="5382" width="12.5703125" style="6" customWidth="1"/>
    <col min="5383" max="5383" width="10.85546875" style="6" customWidth="1"/>
    <col min="5384" max="5386" width="14.5703125" style="6" customWidth="1"/>
    <col min="5387" max="5387" width="12.85546875" style="6" customWidth="1"/>
    <col min="5388" max="5632" width="9.140625" style="6"/>
    <col min="5633" max="5633" width="18.28515625" style="6" customWidth="1"/>
    <col min="5634" max="5634" width="13.5703125" style="6" customWidth="1"/>
    <col min="5635" max="5635" width="15.140625" style="6" customWidth="1"/>
    <col min="5636" max="5637" width="12.85546875" style="6" customWidth="1"/>
    <col min="5638" max="5638" width="12.5703125" style="6" customWidth="1"/>
    <col min="5639" max="5639" width="10.85546875" style="6" customWidth="1"/>
    <col min="5640" max="5642" width="14.5703125" style="6" customWidth="1"/>
    <col min="5643" max="5643" width="12.85546875" style="6" customWidth="1"/>
    <col min="5644" max="5888" width="9.140625" style="6"/>
    <col min="5889" max="5889" width="18.28515625" style="6" customWidth="1"/>
    <col min="5890" max="5890" width="13.5703125" style="6" customWidth="1"/>
    <col min="5891" max="5891" width="15.140625" style="6" customWidth="1"/>
    <col min="5892" max="5893" width="12.85546875" style="6" customWidth="1"/>
    <col min="5894" max="5894" width="12.5703125" style="6" customWidth="1"/>
    <col min="5895" max="5895" width="10.85546875" style="6" customWidth="1"/>
    <col min="5896" max="5898" width="14.5703125" style="6" customWidth="1"/>
    <col min="5899" max="5899" width="12.85546875" style="6" customWidth="1"/>
    <col min="5900" max="6144" width="9.140625" style="6"/>
    <col min="6145" max="6145" width="18.28515625" style="6" customWidth="1"/>
    <col min="6146" max="6146" width="13.5703125" style="6" customWidth="1"/>
    <col min="6147" max="6147" width="15.140625" style="6" customWidth="1"/>
    <col min="6148" max="6149" width="12.85546875" style="6" customWidth="1"/>
    <col min="6150" max="6150" width="12.5703125" style="6" customWidth="1"/>
    <col min="6151" max="6151" width="10.85546875" style="6" customWidth="1"/>
    <col min="6152" max="6154" width="14.5703125" style="6" customWidth="1"/>
    <col min="6155" max="6155" width="12.85546875" style="6" customWidth="1"/>
    <col min="6156" max="6400" width="9.140625" style="6"/>
    <col min="6401" max="6401" width="18.28515625" style="6" customWidth="1"/>
    <col min="6402" max="6402" width="13.5703125" style="6" customWidth="1"/>
    <col min="6403" max="6403" width="15.140625" style="6" customWidth="1"/>
    <col min="6404" max="6405" width="12.85546875" style="6" customWidth="1"/>
    <col min="6406" max="6406" width="12.5703125" style="6" customWidth="1"/>
    <col min="6407" max="6407" width="10.85546875" style="6" customWidth="1"/>
    <col min="6408" max="6410" width="14.5703125" style="6" customWidth="1"/>
    <col min="6411" max="6411" width="12.85546875" style="6" customWidth="1"/>
    <col min="6412" max="6656" width="9.140625" style="6"/>
    <col min="6657" max="6657" width="18.28515625" style="6" customWidth="1"/>
    <col min="6658" max="6658" width="13.5703125" style="6" customWidth="1"/>
    <col min="6659" max="6659" width="15.140625" style="6" customWidth="1"/>
    <col min="6660" max="6661" width="12.85546875" style="6" customWidth="1"/>
    <col min="6662" max="6662" width="12.5703125" style="6" customWidth="1"/>
    <col min="6663" max="6663" width="10.85546875" style="6" customWidth="1"/>
    <col min="6664" max="6666" width="14.5703125" style="6" customWidth="1"/>
    <col min="6667" max="6667" width="12.85546875" style="6" customWidth="1"/>
    <col min="6668" max="6912" width="9.140625" style="6"/>
    <col min="6913" max="6913" width="18.28515625" style="6" customWidth="1"/>
    <col min="6914" max="6914" width="13.5703125" style="6" customWidth="1"/>
    <col min="6915" max="6915" width="15.140625" style="6" customWidth="1"/>
    <col min="6916" max="6917" width="12.85546875" style="6" customWidth="1"/>
    <col min="6918" max="6918" width="12.5703125" style="6" customWidth="1"/>
    <col min="6919" max="6919" width="10.85546875" style="6" customWidth="1"/>
    <col min="6920" max="6922" width="14.5703125" style="6" customWidth="1"/>
    <col min="6923" max="6923" width="12.85546875" style="6" customWidth="1"/>
    <col min="6924" max="7168" width="9.140625" style="6"/>
    <col min="7169" max="7169" width="18.28515625" style="6" customWidth="1"/>
    <col min="7170" max="7170" width="13.5703125" style="6" customWidth="1"/>
    <col min="7171" max="7171" width="15.140625" style="6" customWidth="1"/>
    <col min="7172" max="7173" width="12.85546875" style="6" customWidth="1"/>
    <col min="7174" max="7174" width="12.5703125" style="6" customWidth="1"/>
    <col min="7175" max="7175" width="10.85546875" style="6" customWidth="1"/>
    <col min="7176" max="7178" width="14.5703125" style="6" customWidth="1"/>
    <col min="7179" max="7179" width="12.85546875" style="6" customWidth="1"/>
    <col min="7180" max="7424" width="9.140625" style="6"/>
    <col min="7425" max="7425" width="18.28515625" style="6" customWidth="1"/>
    <col min="7426" max="7426" width="13.5703125" style="6" customWidth="1"/>
    <col min="7427" max="7427" width="15.140625" style="6" customWidth="1"/>
    <col min="7428" max="7429" width="12.85546875" style="6" customWidth="1"/>
    <col min="7430" max="7430" width="12.5703125" style="6" customWidth="1"/>
    <col min="7431" max="7431" width="10.85546875" style="6" customWidth="1"/>
    <col min="7432" max="7434" width="14.5703125" style="6" customWidth="1"/>
    <col min="7435" max="7435" width="12.85546875" style="6" customWidth="1"/>
    <col min="7436" max="7680" width="9.140625" style="6"/>
    <col min="7681" max="7681" width="18.28515625" style="6" customWidth="1"/>
    <col min="7682" max="7682" width="13.5703125" style="6" customWidth="1"/>
    <col min="7683" max="7683" width="15.140625" style="6" customWidth="1"/>
    <col min="7684" max="7685" width="12.85546875" style="6" customWidth="1"/>
    <col min="7686" max="7686" width="12.5703125" style="6" customWidth="1"/>
    <col min="7687" max="7687" width="10.85546875" style="6" customWidth="1"/>
    <col min="7688" max="7690" width="14.5703125" style="6" customWidth="1"/>
    <col min="7691" max="7691" width="12.85546875" style="6" customWidth="1"/>
    <col min="7692" max="7936" width="9.140625" style="6"/>
    <col min="7937" max="7937" width="18.28515625" style="6" customWidth="1"/>
    <col min="7938" max="7938" width="13.5703125" style="6" customWidth="1"/>
    <col min="7939" max="7939" width="15.140625" style="6" customWidth="1"/>
    <col min="7940" max="7941" width="12.85546875" style="6" customWidth="1"/>
    <col min="7942" max="7942" width="12.5703125" style="6" customWidth="1"/>
    <col min="7943" max="7943" width="10.85546875" style="6" customWidth="1"/>
    <col min="7944" max="7946" width="14.5703125" style="6" customWidth="1"/>
    <col min="7947" max="7947" width="12.85546875" style="6" customWidth="1"/>
    <col min="7948" max="8192" width="9.140625" style="6"/>
    <col min="8193" max="8193" width="18.28515625" style="6" customWidth="1"/>
    <col min="8194" max="8194" width="13.5703125" style="6" customWidth="1"/>
    <col min="8195" max="8195" width="15.140625" style="6" customWidth="1"/>
    <col min="8196" max="8197" width="12.85546875" style="6" customWidth="1"/>
    <col min="8198" max="8198" width="12.5703125" style="6" customWidth="1"/>
    <col min="8199" max="8199" width="10.85546875" style="6" customWidth="1"/>
    <col min="8200" max="8202" width="14.5703125" style="6" customWidth="1"/>
    <col min="8203" max="8203" width="12.85546875" style="6" customWidth="1"/>
    <col min="8204" max="8448" width="9.140625" style="6"/>
    <col min="8449" max="8449" width="18.28515625" style="6" customWidth="1"/>
    <col min="8450" max="8450" width="13.5703125" style="6" customWidth="1"/>
    <col min="8451" max="8451" width="15.140625" style="6" customWidth="1"/>
    <col min="8452" max="8453" width="12.85546875" style="6" customWidth="1"/>
    <col min="8454" max="8454" width="12.5703125" style="6" customWidth="1"/>
    <col min="8455" max="8455" width="10.85546875" style="6" customWidth="1"/>
    <col min="8456" max="8458" width="14.5703125" style="6" customWidth="1"/>
    <col min="8459" max="8459" width="12.85546875" style="6" customWidth="1"/>
    <col min="8460" max="8704" width="9.140625" style="6"/>
    <col min="8705" max="8705" width="18.28515625" style="6" customWidth="1"/>
    <col min="8706" max="8706" width="13.5703125" style="6" customWidth="1"/>
    <col min="8707" max="8707" width="15.140625" style="6" customWidth="1"/>
    <col min="8708" max="8709" width="12.85546875" style="6" customWidth="1"/>
    <col min="8710" max="8710" width="12.5703125" style="6" customWidth="1"/>
    <col min="8711" max="8711" width="10.85546875" style="6" customWidth="1"/>
    <col min="8712" max="8714" width="14.5703125" style="6" customWidth="1"/>
    <col min="8715" max="8715" width="12.85546875" style="6" customWidth="1"/>
    <col min="8716" max="8960" width="9.140625" style="6"/>
    <col min="8961" max="8961" width="18.28515625" style="6" customWidth="1"/>
    <col min="8962" max="8962" width="13.5703125" style="6" customWidth="1"/>
    <col min="8963" max="8963" width="15.140625" style="6" customWidth="1"/>
    <col min="8964" max="8965" width="12.85546875" style="6" customWidth="1"/>
    <col min="8966" max="8966" width="12.5703125" style="6" customWidth="1"/>
    <col min="8967" max="8967" width="10.85546875" style="6" customWidth="1"/>
    <col min="8968" max="8970" width="14.5703125" style="6" customWidth="1"/>
    <col min="8971" max="8971" width="12.85546875" style="6" customWidth="1"/>
    <col min="8972" max="9216" width="9.140625" style="6"/>
    <col min="9217" max="9217" width="18.28515625" style="6" customWidth="1"/>
    <col min="9218" max="9218" width="13.5703125" style="6" customWidth="1"/>
    <col min="9219" max="9219" width="15.140625" style="6" customWidth="1"/>
    <col min="9220" max="9221" width="12.85546875" style="6" customWidth="1"/>
    <col min="9222" max="9222" width="12.5703125" style="6" customWidth="1"/>
    <col min="9223" max="9223" width="10.85546875" style="6" customWidth="1"/>
    <col min="9224" max="9226" width="14.5703125" style="6" customWidth="1"/>
    <col min="9227" max="9227" width="12.85546875" style="6" customWidth="1"/>
    <col min="9228" max="9472" width="9.140625" style="6"/>
    <col min="9473" max="9473" width="18.28515625" style="6" customWidth="1"/>
    <col min="9474" max="9474" width="13.5703125" style="6" customWidth="1"/>
    <col min="9475" max="9475" width="15.140625" style="6" customWidth="1"/>
    <col min="9476" max="9477" width="12.85546875" style="6" customWidth="1"/>
    <col min="9478" max="9478" width="12.5703125" style="6" customWidth="1"/>
    <col min="9479" max="9479" width="10.85546875" style="6" customWidth="1"/>
    <col min="9480" max="9482" width="14.5703125" style="6" customWidth="1"/>
    <col min="9483" max="9483" width="12.85546875" style="6" customWidth="1"/>
    <col min="9484" max="9728" width="9.140625" style="6"/>
    <col min="9729" max="9729" width="18.28515625" style="6" customWidth="1"/>
    <col min="9730" max="9730" width="13.5703125" style="6" customWidth="1"/>
    <col min="9731" max="9731" width="15.140625" style="6" customWidth="1"/>
    <col min="9732" max="9733" width="12.85546875" style="6" customWidth="1"/>
    <col min="9734" max="9734" width="12.5703125" style="6" customWidth="1"/>
    <col min="9735" max="9735" width="10.85546875" style="6" customWidth="1"/>
    <col min="9736" max="9738" width="14.5703125" style="6" customWidth="1"/>
    <col min="9739" max="9739" width="12.85546875" style="6" customWidth="1"/>
    <col min="9740" max="9984" width="9.140625" style="6"/>
    <col min="9985" max="9985" width="18.28515625" style="6" customWidth="1"/>
    <col min="9986" max="9986" width="13.5703125" style="6" customWidth="1"/>
    <col min="9987" max="9987" width="15.140625" style="6" customWidth="1"/>
    <col min="9988" max="9989" width="12.85546875" style="6" customWidth="1"/>
    <col min="9990" max="9990" width="12.5703125" style="6" customWidth="1"/>
    <col min="9991" max="9991" width="10.85546875" style="6" customWidth="1"/>
    <col min="9992" max="9994" width="14.5703125" style="6" customWidth="1"/>
    <col min="9995" max="9995" width="12.85546875" style="6" customWidth="1"/>
    <col min="9996" max="10240" width="9.140625" style="6"/>
    <col min="10241" max="10241" width="18.28515625" style="6" customWidth="1"/>
    <col min="10242" max="10242" width="13.5703125" style="6" customWidth="1"/>
    <col min="10243" max="10243" width="15.140625" style="6" customWidth="1"/>
    <col min="10244" max="10245" width="12.85546875" style="6" customWidth="1"/>
    <col min="10246" max="10246" width="12.5703125" style="6" customWidth="1"/>
    <col min="10247" max="10247" width="10.85546875" style="6" customWidth="1"/>
    <col min="10248" max="10250" width="14.5703125" style="6" customWidth="1"/>
    <col min="10251" max="10251" width="12.85546875" style="6" customWidth="1"/>
    <col min="10252" max="10496" width="9.140625" style="6"/>
    <col min="10497" max="10497" width="18.28515625" style="6" customWidth="1"/>
    <col min="10498" max="10498" width="13.5703125" style="6" customWidth="1"/>
    <col min="10499" max="10499" width="15.140625" style="6" customWidth="1"/>
    <col min="10500" max="10501" width="12.85546875" style="6" customWidth="1"/>
    <col min="10502" max="10502" width="12.5703125" style="6" customWidth="1"/>
    <col min="10503" max="10503" width="10.85546875" style="6" customWidth="1"/>
    <col min="10504" max="10506" width="14.5703125" style="6" customWidth="1"/>
    <col min="10507" max="10507" width="12.85546875" style="6" customWidth="1"/>
    <col min="10508" max="10752" width="9.140625" style="6"/>
    <col min="10753" max="10753" width="18.28515625" style="6" customWidth="1"/>
    <col min="10754" max="10754" width="13.5703125" style="6" customWidth="1"/>
    <col min="10755" max="10755" width="15.140625" style="6" customWidth="1"/>
    <col min="10756" max="10757" width="12.85546875" style="6" customWidth="1"/>
    <col min="10758" max="10758" width="12.5703125" style="6" customWidth="1"/>
    <col min="10759" max="10759" width="10.85546875" style="6" customWidth="1"/>
    <col min="10760" max="10762" width="14.5703125" style="6" customWidth="1"/>
    <col min="10763" max="10763" width="12.85546875" style="6" customWidth="1"/>
    <col min="10764" max="11008" width="9.140625" style="6"/>
    <col min="11009" max="11009" width="18.28515625" style="6" customWidth="1"/>
    <col min="11010" max="11010" width="13.5703125" style="6" customWidth="1"/>
    <col min="11011" max="11011" width="15.140625" style="6" customWidth="1"/>
    <col min="11012" max="11013" width="12.85546875" style="6" customWidth="1"/>
    <col min="11014" max="11014" width="12.5703125" style="6" customWidth="1"/>
    <col min="11015" max="11015" width="10.85546875" style="6" customWidth="1"/>
    <col min="11016" max="11018" width="14.5703125" style="6" customWidth="1"/>
    <col min="11019" max="11019" width="12.85546875" style="6" customWidth="1"/>
    <col min="11020" max="11264" width="9.140625" style="6"/>
    <col min="11265" max="11265" width="18.28515625" style="6" customWidth="1"/>
    <col min="11266" max="11266" width="13.5703125" style="6" customWidth="1"/>
    <col min="11267" max="11267" width="15.140625" style="6" customWidth="1"/>
    <col min="11268" max="11269" width="12.85546875" style="6" customWidth="1"/>
    <col min="11270" max="11270" width="12.5703125" style="6" customWidth="1"/>
    <col min="11271" max="11271" width="10.85546875" style="6" customWidth="1"/>
    <col min="11272" max="11274" width="14.5703125" style="6" customWidth="1"/>
    <col min="11275" max="11275" width="12.85546875" style="6" customWidth="1"/>
    <col min="11276" max="11520" width="9.140625" style="6"/>
    <col min="11521" max="11521" width="18.28515625" style="6" customWidth="1"/>
    <col min="11522" max="11522" width="13.5703125" style="6" customWidth="1"/>
    <col min="11523" max="11523" width="15.140625" style="6" customWidth="1"/>
    <col min="11524" max="11525" width="12.85546875" style="6" customWidth="1"/>
    <col min="11526" max="11526" width="12.5703125" style="6" customWidth="1"/>
    <col min="11527" max="11527" width="10.85546875" style="6" customWidth="1"/>
    <col min="11528" max="11530" width="14.5703125" style="6" customWidth="1"/>
    <col min="11531" max="11531" width="12.85546875" style="6" customWidth="1"/>
    <col min="11532" max="11776" width="9.140625" style="6"/>
    <col min="11777" max="11777" width="18.28515625" style="6" customWidth="1"/>
    <col min="11778" max="11778" width="13.5703125" style="6" customWidth="1"/>
    <col min="11779" max="11779" width="15.140625" style="6" customWidth="1"/>
    <col min="11780" max="11781" width="12.85546875" style="6" customWidth="1"/>
    <col min="11782" max="11782" width="12.5703125" style="6" customWidth="1"/>
    <col min="11783" max="11783" width="10.85546875" style="6" customWidth="1"/>
    <col min="11784" max="11786" width="14.5703125" style="6" customWidth="1"/>
    <col min="11787" max="11787" width="12.85546875" style="6" customWidth="1"/>
    <col min="11788" max="12032" width="9.140625" style="6"/>
    <col min="12033" max="12033" width="18.28515625" style="6" customWidth="1"/>
    <col min="12034" max="12034" width="13.5703125" style="6" customWidth="1"/>
    <col min="12035" max="12035" width="15.140625" style="6" customWidth="1"/>
    <col min="12036" max="12037" width="12.85546875" style="6" customWidth="1"/>
    <col min="12038" max="12038" width="12.5703125" style="6" customWidth="1"/>
    <col min="12039" max="12039" width="10.85546875" style="6" customWidth="1"/>
    <col min="12040" max="12042" width="14.5703125" style="6" customWidth="1"/>
    <col min="12043" max="12043" width="12.85546875" style="6" customWidth="1"/>
    <col min="12044" max="12288" width="9.140625" style="6"/>
    <col min="12289" max="12289" width="18.28515625" style="6" customWidth="1"/>
    <col min="12290" max="12290" width="13.5703125" style="6" customWidth="1"/>
    <col min="12291" max="12291" width="15.140625" style="6" customWidth="1"/>
    <col min="12292" max="12293" width="12.85546875" style="6" customWidth="1"/>
    <col min="12294" max="12294" width="12.5703125" style="6" customWidth="1"/>
    <col min="12295" max="12295" width="10.85546875" style="6" customWidth="1"/>
    <col min="12296" max="12298" width="14.5703125" style="6" customWidth="1"/>
    <col min="12299" max="12299" width="12.85546875" style="6" customWidth="1"/>
    <col min="12300" max="12544" width="9.140625" style="6"/>
    <col min="12545" max="12545" width="18.28515625" style="6" customWidth="1"/>
    <col min="12546" max="12546" width="13.5703125" style="6" customWidth="1"/>
    <col min="12547" max="12547" width="15.140625" style="6" customWidth="1"/>
    <col min="12548" max="12549" width="12.85546875" style="6" customWidth="1"/>
    <col min="12550" max="12550" width="12.5703125" style="6" customWidth="1"/>
    <col min="12551" max="12551" width="10.85546875" style="6" customWidth="1"/>
    <col min="12552" max="12554" width="14.5703125" style="6" customWidth="1"/>
    <col min="12555" max="12555" width="12.85546875" style="6" customWidth="1"/>
    <col min="12556" max="12800" width="9.140625" style="6"/>
    <col min="12801" max="12801" width="18.28515625" style="6" customWidth="1"/>
    <col min="12802" max="12802" width="13.5703125" style="6" customWidth="1"/>
    <col min="12803" max="12803" width="15.140625" style="6" customWidth="1"/>
    <col min="12804" max="12805" width="12.85546875" style="6" customWidth="1"/>
    <col min="12806" max="12806" width="12.5703125" style="6" customWidth="1"/>
    <col min="12807" max="12807" width="10.85546875" style="6" customWidth="1"/>
    <col min="12808" max="12810" width="14.5703125" style="6" customWidth="1"/>
    <col min="12811" max="12811" width="12.85546875" style="6" customWidth="1"/>
    <col min="12812" max="13056" width="9.140625" style="6"/>
    <col min="13057" max="13057" width="18.28515625" style="6" customWidth="1"/>
    <col min="13058" max="13058" width="13.5703125" style="6" customWidth="1"/>
    <col min="13059" max="13059" width="15.140625" style="6" customWidth="1"/>
    <col min="13060" max="13061" width="12.85546875" style="6" customWidth="1"/>
    <col min="13062" max="13062" width="12.5703125" style="6" customWidth="1"/>
    <col min="13063" max="13063" width="10.85546875" style="6" customWidth="1"/>
    <col min="13064" max="13066" width="14.5703125" style="6" customWidth="1"/>
    <col min="13067" max="13067" width="12.85546875" style="6" customWidth="1"/>
    <col min="13068" max="13312" width="9.140625" style="6"/>
    <col min="13313" max="13313" width="18.28515625" style="6" customWidth="1"/>
    <col min="13314" max="13314" width="13.5703125" style="6" customWidth="1"/>
    <col min="13315" max="13315" width="15.140625" style="6" customWidth="1"/>
    <col min="13316" max="13317" width="12.85546875" style="6" customWidth="1"/>
    <col min="13318" max="13318" width="12.5703125" style="6" customWidth="1"/>
    <col min="13319" max="13319" width="10.85546875" style="6" customWidth="1"/>
    <col min="13320" max="13322" width="14.5703125" style="6" customWidth="1"/>
    <col min="13323" max="13323" width="12.85546875" style="6" customWidth="1"/>
    <col min="13324" max="13568" width="9.140625" style="6"/>
    <col min="13569" max="13569" width="18.28515625" style="6" customWidth="1"/>
    <col min="13570" max="13570" width="13.5703125" style="6" customWidth="1"/>
    <col min="13571" max="13571" width="15.140625" style="6" customWidth="1"/>
    <col min="13572" max="13573" width="12.85546875" style="6" customWidth="1"/>
    <col min="13574" max="13574" width="12.5703125" style="6" customWidth="1"/>
    <col min="13575" max="13575" width="10.85546875" style="6" customWidth="1"/>
    <col min="13576" max="13578" width="14.5703125" style="6" customWidth="1"/>
    <col min="13579" max="13579" width="12.85546875" style="6" customWidth="1"/>
    <col min="13580" max="13824" width="9.140625" style="6"/>
    <col min="13825" max="13825" width="18.28515625" style="6" customWidth="1"/>
    <col min="13826" max="13826" width="13.5703125" style="6" customWidth="1"/>
    <col min="13827" max="13827" width="15.140625" style="6" customWidth="1"/>
    <col min="13828" max="13829" width="12.85546875" style="6" customWidth="1"/>
    <col min="13830" max="13830" width="12.5703125" style="6" customWidth="1"/>
    <col min="13831" max="13831" width="10.85546875" style="6" customWidth="1"/>
    <col min="13832" max="13834" width="14.5703125" style="6" customWidth="1"/>
    <col min="13835" max="13835" width="12.85546875" style="6" customWidth="1"/>
    <col min="13836" max="14080" width="9.140625" style="6"/>
    <col min="14081" max="14081" width="18.28515625" style="6" customWidth="1"/>
    <col min="14082" max="14082" width="13.5703125" style="6" customWidth="1"/>
    <col min="14083" max="14083" width="15.140625" style="6" customWidth="1"/>
    <col min="14084" max="14085" width="12.85546875" style="6" customWidth="1"/>
    <col min="14086" max="14086" width="12.5703125" style="6" customWidth="1"/>
    <col min="14087" max="14087" width="10.85546875" style="6" customWidth="1"/>
    <col min="14088" max="14090" width="14.5703125" style="6" customWidth="1"/>
    <col min="14091" max="14091" width="12.85546875" style="6" customWidth="1"/>
    <col min="14092" max="14336" width="9.140625" style="6"/>
    <col min="14337" max="14337" width="18.28515625" style="6" customWidth="1"/>
    <col min="14338" max="14338" width="13.5703125" style="6" customWidth="1"/>
    <col min="14339" max="14339" width="15.140625" style="6" customWidth="1"/>
    <col min="14340" max="14341" width="12.85546875" style="6" customWidth="1"/>
    <col min="14342" max="14342" width="12.5703125" style="6" customWidth="1"/>
    <col min="14343" max="14343" width="10.85546875" style="6" customWidth="1"/>
    <col min="14344" max="14346" width="14.5703125" style="6" customWidth="1"/>
    <col min="14347" max="14347" width="12.85546875" style="6" customWidth="1"/>
    <col min="14348" max="14592" width="9.140625" style="6"/>
    <col min="14593" max="14593" width="18.28515625" style="6" customWidth="1"/>
    <col min="14594" max="14594" width="13.5703125" style="6" customWidth="1"/>
    <col min="14595" max="14595" width="15.140625" style="6" customWidth="1"/>
    <col min="14596" max="14597" width="12.85546875" style="6" customWidth="1"/>
    <col min="14598" max="14598" width="12.5703125" style="6" customWidth="1"/>
    <col min="14599" max="14599" width="10.85546875" style="6" customWidth="1"/>
    <col min="14600" max="14602" width="14.5703125" style="6" customWidth="1"/>
    <col min="14603" max="14603" width="12.85546875" style="6" customWidth="1"/>
    <col min="14604" max="14848" width="9.140625" style="6"/>
    <col min="14849" max="14849" width="18.28515625" style="6" customWidth="1"/>
    <col min="14850" max="14850" width="13.5703125" style="6" customWidth="1"/>
    <col min="14851" max="14851" width="15.140625" style="6" customWidth="1"/>
    <col min="14852" max="14853" width="12.85546875" style="6" customWidth="1"/>
    <col min="14854" max="14854" width="12.5703125" style="6" customWidth="1"/>
    <col min="14855" max="14855" width="10.85546875" style="6" customWidth="1"/>
    <col min="14856" max="14858" width="14.5703125" style="6" customWidth="1"/>
    <col min="14859" max="14859" width="12.85546875" style="6" customWidth="1"/>
    <col min="14860" max="15104" width="9.140625" style="6"/>
    <col min="15105" max="15105" width="18.28515625" style="6" customWidth="1"/>
    <col min="15106" max="15106" width="13.5703125" style="6" customWidth="1"/>
    <col min="15107" max="15107" width="15.140625" style="6" customWidth="1"/>
    <col min="15108" max="15109" width="12.85546875" style="6" customWidth="1"/>
    <col min="15110" max="15110" width="12.5703125" style="6" customWidth="1"/>
    <col min="15111" max="15111" width="10.85546875" style="6" customWidth="1"/>
    <col min="15112" max="15114" width="14.5703125" style="6" customWidth="1"/>
    <col min="15115" max="15115" width="12.85546875" style="6" customWidth="1"/>
    <col min="15116" max="15360" width="9.140625" style="6"/>
    <col min="15361" max="15361" width="18.28515625" style="6" customWidth="1"/>
    <col min="15362" max="15362" width="13.5703125" style="6" customWidth="1"/>
    <col min="15363" max="15363" width="15.140625" style="6" customWidth="1"/>
    <col min="15364" max="15365" width="12.85546875" style="6" customWidth="1"/>
    <col min="15366" max="15366" width="12.5703125" style="6" customWidth="1"/>
    <col min="15367" max="15367" width="10.85546875" style="6" customWidth="1"/>
    <col min="15368" max="15370" width="14.5703125" style="6" customWidth="1"/>
    <col min="15371" max="15371" width="12.85546875" style="6" customWidth="1"/>
    <col min="15372" max="15616" width="9.140625" style="6"/>
    <col min="15617" max="15617" width="18.28515625" style="6" customWidth="1"/>
    <col min="15618" max="15618" width="13.5703125" style="6" customWidth="1"/>
    <col min="15619" max="15619" width="15.140625" style="6" customWidth="1"/>
    <col min="15620" max="15621" width="12.85546875" style="6" customWidth="1"/>
    <col min="15622" max="15622" width="12.5703125" style="6" customWidth="1"/>
    <col min="15623" max="15623" width="10.85546875" style="6" customWidth="1"/>
    <col min="15624" max="15626" width="14.5703125" style="6" customWidth="1"/>
    <col min="15627" max="15627" width="12.85546875" style="6" customWidth="1"/>
    <col min="15628" max="15872" width="9.140625" style="6"/>
    <col min="15873" max="15873" width="18.28515625" style="6" customWidth="1"/>
    <col min="15874" max="15874" width="13.5703125" style="6" customWidth="1"/>
    <col min="15875" max="15875" width="15.140625" style="6" customWidth="1"/>
    <col min="15876" max="15877" width="12.85546875" style="6" customWidth="1"/>
    <col min="15878" max="15878" width="12.5703125" style="6" customWidth="1"/>
    <col min="15879" max="15879" width="10.85546875" style="6" customWidth="1"/>
    <col min="15880" max="15882" width="14.5703125" style="6" customWidth="1"/>
    <col min="15883" max="15883" width="12.85546875" style="6" customWidth="1"/>
    <col min="15884" max="16128" width="9.140625" style="6"/>
    <col min="16129" max="16129" width="18.28515625" style="6" customWidth="1"/>
    <col min="16130" max="16130" width="13.5703125" style="6" customWidth="1"/>
    <col min="16131" max="16131" width="15.140625" style="6" customWidth="1"/>
    <col min="16132" max="16133" width="12.85546875" style="6" customWidth="1"/>
    <col min="16134" max="16134" width="12.5703125" style="6" customWidth="1"/>
    <col min="16135" max="16135" width="10.85546875" style="6" customWidth="1"/>
    <col min="16136" max="16138" width="14.5703125" style="6" customWidth="1"/>
    <col min="16139" max="16139" width="12.85546875" style="6" customWidth="1"/>
    <col min="16140" max="16384" width="9.140625" style="6"/>
  </cols>
  <sheetData>
    <row r="1" spans="1:14" ht="15.75">
      <c r="A1" s="204" t="str">
        <f xml:space="preserve"> "Psychological Therapies Waiting Times - Number of patients waiting during the month by Health Board, "&amp;TEXT(A25,"mmm yyyy")&amp;" - "&amp;TEXT(A11,"mmm yyyy")&amp;" - Distribution of waits"</f>
        <v>Psychological Therapies Waiting Times - Number of patients waiting during the month by Health Board, Apr 2020 - Jun 2021 - Distribution of waits</v>
      </c>
    </row>
    <row r="2" spans="1:14">
      <c r="A2" s="447" t="s">
        <v>456</v>
      </c>
      <c r="B2" s="453"/>
      <c r="C2" s="453"/>
      <c r="D2" s="453"/>
    </row>
    <row r="3" spans="1:14">
      <c r="A3" s="202" t="s">
        <v>186</v>
      </c>
      <c r="E3" s="65"/>
      <c r="F3" s="65"/>
      <c r="G3" s="65"/>
      <c r="H3" s="65"/>
      <c r="I3" s="65"/>
      <c r="J3" s="65"/>
      <c r="K3" s="48"/>
    </row>
    <row r="4" spans="1:14">
      <c r="A4" s="66"/>
      <c r="B4" s="65"/>
      <c r="C4" s="65"/>
      <c r="D4" s="65"/>
      <c r="E4" s="65"/>
      <c r="F4" s="65"/>
      <c r="G4" s="65"/>
      <c r="H4" s="65"/>
      <c r="I4" s="65"/>
      <c r="J4" s="65"/>
      <c r="K4" s="48"/>
    </row>
    <row r="5" spans="1:14">
      <c r="A5" s="199" t="s">
        <v>453</v>
      </c>
      <c r="B5" s="65"/>
      <c r="C5" s="65"/>
      <c r="D5" s="65"/>
      <c r="E5" s="65"/>
      <c r="F5" s="65"/>
      <c r="G5" s="65"/>
      <c r="H5" s="65"/>
      <c r="I5" s="65"/>
      <c r="J5" s="65"/>
      <c r="K5" s="48"/>
    </row>
    <row r="6" spans="1:14" ht="16.5" thickBot="1">
      <c r="A6" s="203" t="s">
        <v>455</v>
      </c>
      <c r="B6" s="200"/>
      <c r="C6" s="200"/>
      <c r="D6" s="200"/>
      <c r="E6" s="67"/>
      <c r="F6" s="67"/>
      <c r="G6" s="67"/>
      <c r="H6" s="67"/>
      <c r="I6" s="67"/>
      <c r="J6" s="67"/>
      <c r="K6" s="67"/>
    </row>
    <row r="7" spans="1:14" ht="15.75" thickBot="1">
      <c r="A7" s="6" t="s">
        <v>180</v>
      </c>
      <c r="B7" s="9"/>
      <c r="C7" s="440" t="s">
        <v>28</v>
      </c>
      <c r="D7" s="441"/>
      <c r="E7" s="67"/>
      <c r="F7" s="67"/>
      <c r="G7" s="67"/>
      <c r="H7" s="67"/>
      <c r="I7" s="67"/>
      <c r="J7" s="67"/>
      <c r="K7" s="67"/>
    </row>
    <row r="8" spans="1:14" ht="12.75" customHeight="1">
      <c r="A8" s="220" t="s">
        <v>1301</v>
      </c>
      <c r="B8" s="33" t="s">
        <v>183</v>
      </c>
      <c r="C8" s="9"/>
      <c r="D8" s="9"/>
      <c r="E8" s="34"/>
      <c r="F8" s="92" t="s">
        <v>172</v>
      </c>
      <c r="G8" s="68" t="s">
        <v>30</v>
      </c>
      <c r="H8" s="34"/>
      <c r="I8" s="34"/>
      <c r="J8" s="34"/>
      <c r="K8" s="28"/>
      <c r="L8" s="28"/>
    </row>
    <row r="9" spans="1:14" ht="21.75" customHeight="1">
      <c r="A9" s="442" t="s">
        <v>31</v>
      </c>
      <c r="B9" s="444" t="s">
        <v>347</v>
      </c>
      <c r="C9" s="445" t="s">
        <v>193</v>
      </c>
      <c r="D9" s="449" t="s">
        <v>33</v>
      </c>
      <c r="E9" s="446"/>
      <c r="F9" s="446"/>
      <c r="G9" s="443"/>
      <c r="H9" s="449" t="s">
        <v>187</v>
      </c>
      <c r="I9" s="446"/>
      <c r="J9" s="446"/>
      <c r="K9" s="446"/>
      <c r="L9" s="20"/>
    </row>
    <row r="10" spans="1:14" ht="16.5" customHeight="1">
      <c r="A10" s="442"/>
      <c r="B10" s="444"/>
      <c r="C10" s="445"/>
      <c r="D10" s="151" t="s">
        <v>34</v>
      </c>
      <c r="E10" s="151" t="s">
        <v>188</v>
      </c>
      <c r="F10" s="151" t="s">
        <v>317</v>
      </c>
      <c r="G10" s="275" t="s">
        <v>331</v>
      </c>
      <c r="H10" s="164" t="s">
        <v>34</v>
      </c>
      <c r="I10" s="151" t="s">
        <v>188</v>
      </c>
      <c r="J10" s="151" t="s">
        <v>317</v>
      </c>
      <c r="K10" s="151" t="s">
        <v>331</v>
      </c>
      <c r="L10" s="93"/>
      <c r="M10" s="40"/>
    </row>
    <row r="11" spans="1:14">
      <c r="A11" s="359">
        <f>REPORT_raw_dataseen!R1</f>
        <v>44348</v>
      </c>
      <c r="B11" s="255" t="str">
        <f>IF(VLOOKUP($C$7,'Type of adjust'!$A$1:$P$18,MATCH($A11,'Type of adjust'!$A$1:$P$1,0),FALSE)="", "..", VLOOKUP($C$7,'Type of adjust'!$A$1:$P$18,MATCH($A11,'Type of adjust'!$A$1:$P$1,0),FALSE))</f>
        <v>..</v>
      </c>
      <c r="C11" s="260">
        <f>VLOOKUP($C$7&amp;"Adjusted waiting "&amp;$C$9,REPORT_raw_datawaiting!$A$1:$R$817,MATCH($A11,REPORT_raw_datawaiting!$D$1:$R$1,1)+3, FALSE)</f>
        <v>22401</v>
      </c>
      <c r="D11" s="260">
        <f>VLOOKUP($C$7&amp;"Adjusted waiting "&amp;$D$10,REPORT_raw_datawaiting!$A$1:$R$817,MATCH($A11,REPORT_raw_datawaiting!$D$1:$R$1,1)+3, FALSE)</f>
        <v>13666</v>
      </c>
      <c r="E11" s="260">
        <f>IF(VLOOKUP($C$7&amp;"Adjusted waiting "&amp;$E$10,REPORT_raw_datawaiting!$A$1:$R$817,MATCH($A11,REPORT_raw_datawaiting!$D$1:$R$1,1)+3, FALSE)=0,"-",VLOOKUP($C$7&amp;"Adjusted waiting "&amp;$E$10,REPORT_raw_datawaiting!$A$1:$R$817,MATCH($A11,REPORT_raw_datawaiting!$D$1:$R$1,1)+3, FALSE))</f>
        <v>3072</v>
      </c>
      <c r="F11" s="260">
        <f>IF(VLOOKUP($C$7&amp;"Adjusted waiting "&amp;$F$8,REPORT_raw_datawaiting!$A$1:$R$817,MATCH($A11,REPORT_raw_datawaiting!$D$1:$R$1,1)+3, FALSE)=0,"-",VLOOKUP($C$7&amp;"Adjusted waiting "&amp;$F$8,REPORT_raw_datawaiting!$A$1:$R$817,MATCH($A11,REPORT_raw_datawaiting!$D$1:$R$1,1)+3, FALSE))</f>
        <v>1783</v>
      </c>
      <c r="G11" s="260">
        <f>IF(VLOOKUP($C$7&amp;"Adjusted waiting "&amp;$G$8,REPORT_raw_datawaiting!$A$1:$R$817,MATCH($A11,REPORT_raw_datawaiting!$D$1:$R$1,1)+3, FALSE)=0,"-",VLOOKUP($C$7&amp;"Adjusted waiting "&amp;$G$8,REPORT_raw_datawaiting!$A$1:$R$817,MATCH($A11,REPORT_raw_datawaiting!$D$1:$R$1,1)+3, FALSE))</f>
        <v>3880</v>
      </c>
      <c r="H11" s="263">
        <f t="shared" ref="H11:K25" si="0">IF(D11="-","-",IF(D11="..","..",IF(D11=0,"-",IF((D11/$C11%)=0,"-",ROUND(D11/$C11%,2)))))</f>
        <v>61.01</v>
      </c>
      <c r="I11" s="263">
        <f t="shared" si="0"/>
        <v>13.71</v>
      </c>
      <c r="J11" s="263">
        <f t="shared" si="0"/>
        <v>7.96</v>
      </c>
      <c r="K11" s="257">
        <f t="shared" si="0"/>
        <v>17.32</v>
      </c>
      <c r="L11" s="94"/>
      <c r="M11" s="94"/>
      <c r="N11" s="94"/>
    </row>
    <row r="12" spans="1:14">
      <c r="A12" s="360">
        <f>DATE(YEAR(A11),MONTH(A11)-1,DAY(A11))</f>
        <v>44317</v>
      </c>
      <c r="B12" s="256" t="str">
        <f>IF(VLOOKUP($C$7,'Type of adjust'!$A$1:$P$18,MATCH($A12,'Type of adjust'!$A$1:$P$1,0),FALSE)="", "..", VLOOKUP($C$7,'Type of adjust'!$A$1:$P$18,MATCH($A12,'Type of adjust'!$A$1:$P$1,0),FALSE))</f>
        <v>..</v>
      </c>
      <c r="C12" s="261">
        <f>VLOOKUP($C$7&amp;"Adjusted waiting "&amp;$C$9,REPORT_raw_datawaiting!$A$1:$R$817,MATCH($A12,REPORT_raw_datawaiting!$D$1:$R$1,1)+3, FALSE)</f>
        <v>21308</v>
      </c>
      <c r="D12" s="261">
        <f>VLOOKUP($C$7&amp;"Adjusted waiting "&amp;$D$10,REPORT_raw_datawaiting!$A$1:$R$817,MATCH($A12,REPORT_raw_datawaiting!$D$1:$R$1,1)+3, FALSE)</f>
        <v>12576</v>
      </c>
      <c r="E12" s="261">
        <f>IF(VLOOKUP($C$7&amp;"Adjusted waiting "&amp;$E$10,REPORT_raw_datawaiting!$A$1:$R$817,MATCH($A12,REPORT_raw_datawaiting!$D$1:$R$1,1)+3, FALSE)=0,"-",VLOOKUP($C$7&amp;"Adjusted waiting "&amp;$E$10,REPORT_raw_datawaiting!$A$1:$R$817,MATCH($A12,REPORT_raw_datawaiting!$D$1:$R$1,1)+3, FALSE))</f>
        <v>3243</v>
      </c>
      <c r="F12" s="261">
        <f>IF(VLOOKUP($C$7&amp;"Adjusted waiting "&amp;$F$8,REPORT_raw_datawaiting!$A$1:$R$817,MATCH($A12,REPORT_raw_datawaiting!$D$1:$R$1,1)+3, FALSE)=0,"-",VLOOKUP($C$7&amp;"Adjusted waiting "&amp;$F$8,REPORT_raw_datawaiting!$A$1:$R$817,MATCH($A12,REPORT_raw_datawaiting!$D$1:$R$1,1)+3, FALSE))</f>
        <v>1751</v>
      </c>
      <c r="G12" s="261">
        <f>IF(VLOOKUP($C$7&amp;"Adjusted waiting "&amp;$G$8,REPORT_raw_datawaiting!$A$1:$R$817,MATCH($A12,REPORT_raw_datawaiting!$D$1:$R$1,1)+3, FALSE)=0,"-",VLOOKUP($C$7&amp;"Adjusted waiting "&amp;$G$8,REPORT_raw_datawaiting!$A$1:$R$817,MATCH($A12,REPORT_raw_datawaiting!$D$1:$R$1,1)+3, FALSE))</f>
        <v>3738</v>
      </c>
      <c r="H12" s="264">
        <f t="shared" si="0"/>
        <v>59.02</v>
      </c>
      <c r="I12" s="264">
        <f t="shared" si="0"/>
        <v>15.22</v>
      </c>
      <c r="J12" s="264">
        <f t="shared" si="0"/>
        <v>8.2200000000000006</v>
      </c>
      <c r="K12" s="258">
        <f t="shared" si="0"/>
        <v>17.54</v>
      </c>
      <c r="L12" s="94"/>
      <c r="M12" s="94"/>
      <c r="N12" s="94"/>
    </row>
    <row r="13" spans="1:14">
      <c r="A13" s="360">
        <f>DATE(YEAR(A12),MONTH(A12)-1,DAY(A12))</f>
        <v>44287</v>
      </c>
      <c r="B13" s="256" t="str">
        <f>IF(VLOOKUP($C$7,'Type of adjust'!$A$1:$P$18,MATCH($A13,'Type of adjust'!$A$1:$P$1,0),FALSE)="", "..", VLOOKUP($C$7,'Type of adjust'!$A$1:$P$18,MATCH($A13,'Type of adjust'!$A$1:$P$1,0),FALSE))</f>
        <v>..</v>
      </c>
      <c r="C13" s="261">
        <f>VLOOKUP($C$7&amp;"Adjusted waiting "&amp;$C$9,REPORT_raw_datawaiting!$A$1:$R$817,MATCH($A13,REPORT_raw_datawaiting!$D$1:$R$1,1)+3, FALSE)</f>
        <v>21167</v>
      </c>
      <c r="D13" s="261">
        <f>VLOOKUP($C$7&amp;"Adjusted waiting "&amp;$D$10,REPORT_raw_datawaiting!$A$1:$R$817,MATCH($A13,REPORT_raw_datawaiting!$D$1:$R$1,1)+3, FALSE)</f>
        <v>11649</v>
      </c>
      <c r="E13" s="261">
        <f>IF(VLOOKUP($C$7&amp;"Adjusted waiting "&amp;$E$10,REPORT_raw_datawaiting!$A$1:$R$817,MATCH($A13,REPORT_raw_datawaiting!$D$1:$R$1,1)+3, FALSE)=0,"-",VLOOKUP($C$7&amp;"Adjusted waiting "&amp;$E$10,REPORT_raw_datawaiting!$A$1:$R$817,MATCH($A13,REPORT_raw_datawaiting!$D$1:$R$1,1)+3, FALSE))</f>
        <v>3829</v>
      </c>
      <c r="F13" s="261">
        <f>IF(VLOOKUP($C$7&amp;"Adjusted waiting "&amp;$F$8,REPORT_raw_datawaiting!$A$1:$R$817,MATCH($A13,REPORT_raw_datawaiting!$D$1:$R$1,1)+3, FALSE)=0,"-",VLOOKUP($C$7&amp;"Adjusted waiting "&amp;$F$8,REPORT_raw_datawaiting!$A$1:$R$817,MATCH($A13,REPORT_raw_datawaiting!$D$1:$R$1,1)+3, FALSE))</f>
        <v>1677</v>
      </c>
      <c r="G13" s="261">
        <f>IF(VLOOKUP($C$7&amp;"Adjusted waiting "&amp;$G$8,REPORT_raw_datawaiting!$A$1:$R$817,MATCH($A13,REPORT_raw_datawaiting!$D$1:$R$1,1)+3, FALSE)=0,"-",VLOOKUP($C$7&amp;"Adjusted waiting "&amp;$G$8,REPORT_raw_datawaiting!$A$1:$R$817,MATCH($A13,REPORT_raw_datawaiting!$D$1:$R$1,1)+3, FALSE))</f>
        <v>4012</v>
      </c>
      <c r="H13" s="264">
        <f t="shared" si="0"/>
        <v>55.03</v>
      </c>
      <c r="I13" s="264">
        <f t="shared" si="0"/>
        <v>18.09</v>
      </c>
      <c r="J13" s="264">
        <f t="shared" si="0"/>
        <v>7.92</v>
      </c>
      <c r="K13" s="258">
        <f t="shared" si="0"/>
        <v>18.95</v>
      </c>
      <c r="L13" s="94"/>
      <c r="M13" s="94"/>
      <c r="N13" s="94"/>
    </row>
    <row r="14" spans="1:14">
      <c r="A14" s="360">
        <f>DATE(YEAR(A13),MONTH(A13)-1,DAY(A13))</f>
        <v>44256</v>
      </c>
      <c r="B14" s="256" t="str">
        <f>IF(VLOOKUP($C$7,'Type of adjust'!$A$1:$P$18,MATCH($A14,'Type of adjust'!$A$1:$P$1,0),FALSE)="", "..", VLOOKUP($C$7,'Type of adjust'!$A$1:$P$18,MATCH($A14,'Type of adjust'!$A$1:$P$1,0),FALSE))</f>
        <v>..</v>
      </c>
      <c r="C14" s="261">
        <f>VLOOKUP($C$7&amp;"Adjusted waiting "&amp;$C$9,REPORT_raw_datawaiting!$A$1:$R$817,MATCH($A14,REPORT_raw_datawaiting!$D$1:$R$1,1)+3, FALSE)</f>
        <v>22599</v>
      </c>
      <c r="D14" s="261">
        <f>VLOOKUP($C$7&amp;"Adjusted waiting "&amp;$D$10,REPORT_raw_datawaiting!$A$1:$R$817,MATCH($A14,REPORT_raw_datawaiting!$D$1:$R$1,1)+3, FALSE)</f>
        <v>11981</v>
      </c>
      <c r="E14" s="261">
        <f>IF(VLOOKUP($C$7&amp;"Adjusted waiting "&amp;$E$10,REPORT_raw_datawaiting!$A$1:$R$817,MATCH($A14,REPORT_raw_datawaiting!$D$1:$R$1,1)+3, FALSE)=0,"-",VLOOKUP($C$7&amp;"Adjusted waiting "&amp;$E$10,REPORT_raw_datawaiting!$A$1:$R$817,MATCH($A14,REPORT_raw_datawaiting!$D$1:$R$1,1)+3, FALSE))</f>
        <v>4316</v>
      </c>
      <c r="F14" s="261">
        <f>IF(VLOOKUP($C$7&amp;"Adjusted waiting "&amp;$F$8,REPORT_raw_datawaiting!$A$1:$R$817,MATCH($A14,REPORT_raw_datawaiting!$D$1:$R$1,1)+3, FALSE)=0,"-",VLOOKUP($C$7&amp;"Adjusted waiting "&amp;$F$8,REPORT_raw_datawaiting!$A$1:$R$817,MATCH($A14,REPORT_raw_datawaiting!$D$1:$R$1,1)+3, FALSE))</f>
        <v>1707</v>
      </c>
      <c r="G14" s="261">
        <f>IF(VLOOKUP($C$7&amp;"Adjusted waiting "&amp;$G$8,REPORT_raw_datawaiting!$A$1:$R$817,MATCH($A14,REPORT_raw_datawaiting!$D$1:$R$1,1)+3, FALSE)=0,"-",VLOOKUP($C$7&amp;"Adjusted waiting "&amp;$G$8,REPORT_raw_datawaiting!$A$1:$R$817,MATCH($A14,REPORT_raw_datawaiting!$D$1:$R$1,1)+3, FALSE))</f>
        <v>4595</v>
      </c>
      <c r="H14" s="264">
        <f t="shared" si="0"/>
        <v>53.02</v>
      </c>
      <c r="I14" s="264">
        <f t="shared" si="0"/>
        <v>19.100000000000001</v>
      </c>
      <c r="J14" s="264">
        <f t="shared" si="0"/>
        <v>7.55</v>
      </c>
      <c r="K14" s="258">
        <f t="shared" si="0"/>
        <v>20.329999999999998</v>
      </c>
      <c r="L14" s="94"/>
      <c r="M14" s="94"/>
      <c r="N14" s="94"/>
    </row>
    <row r="15" spans="1:14">
      <c r="A15" s="360">
        <f>DATE(YEAR(A14),MONTH(A14)-1,DAY(A14))</f>
        <v>44228</v>
      </c>
      <c r="B15" s="256" t="str">
        <f>IF(VLOOKUP($C$7,'Type of adjust'!$A$1:$P$18,MATCH($A15,'Type of adjust'!$A$1:$P$1,0),FALSE)="", "..", VLOOKUP($C$7,'Type of adjust'!$A$1:$P$18,MATCH($A15,'Type of adjust'!$A$1:$P$1,0),FALSE))</f>
        <v>..</v>
      </c>
      <c r="C15" s="261">
        <f>VLOOKUP($C$7&amp;"Adjusted waiting "&amp;$C$9,REPORT_raw_datawaiting!$A$1:$R$817,MATCH($A15,REPORT_raw_datawaiting!$D$1:$R$1,1)+3, FALSE)</f>
        <v>22091</v>
      </c>
      <c r="D15" s="261">
        <f>VLOOKUP($C$7&amp;"Adjusted waiting "&amp;$D$10,REPORT_raw_datawaiting!$A$1:$R$817,MATCH($A15,REPORT_raw_datawaiting!$D$1:$R$1,1)+3, FALSE)</f>
        <v>11248</v>
      </c>
      <c r="E15" s="261">
        <f>IF(VLOOKUP($C$7&amp;"Adjusted waiting "&amp;$E$10,REPORT_raw_datawaiting!$A$1:$R$817,MATCH($A15,REPORT_raw_datawaiting!$D$1:$R$1,1)+3, FALSE)=0,"-",VLOOKUP($C$7&amp;"Adjusted waiting "&amp;$E$10,REPORT_raw_datawaiting!$A$1:$R$817,MATCH($A15,REPORT_raw_datawaiting!$D$1:$R$1,1)+3, FALSE))</f>
        <v>4137</v>
      </c>
      <c r="F15" s="261">
        <f>IF(VLOOKUP($C$7&amp;"Adjusted waiting "&amp;$F$8,REPORT_raw_datawaiting!$A$1:$R$817,MATCH($A15,REPORT_raw_datawaiting!$D$1:$R$1,1)+3, FALSE)=0,"-",VLOOKUP($C$7&amp;"Adjusted waiting "&amp;$F$8,REPORT_raw_datawaiting!$A$1:$R$817,MATCH($A15,REPORT_raw_datawaiting!$D$1:$R$1,1)+3, FALSE))</f>
        <v>2091</v>
      </c>
      <c r="G15" s="261">
        <f>IF(VLOOKUP($C$7&amp;"Adjusted waiting "&amp;$G$8,REPORT_raw_datawaiting!$A$1:$R$817,MATCH($A15,REPORT_raw_datawaiting!$D$1:$R$1,1)+3, FALSE)=0,"-",VLOOKUP($C$7&amp;"Adjusted waiting "&amp;$G$8,REPORT_raw_datawaiting!$A$1:$R$817,MATCH($A15,REPORT_raw_datawaiting!$D$1:$R$1,1)+3, FALSE))</f>
        <v>4615</v>
      </c>
      <c r="H15" s="264">
        <f t="shared" si="0"/>
        <v>50.92</v>
      </c>
      <c r="I15" s="264">
        <f t="shared" si="0"/>
        <v>18.73</v>
      </c>
      <c r="J15" s="264">
        <f t="shared" si="0"/>
        <v>9.4700000000000006</v>
      </c>
      <c r="K15" s="258">
        <f t="shared" si="0"/>
        <v>20.89</v>
      </c>
      <c r="L15" s="94"/>
      <c r="M15" s="94"/>
      <c r="N15" s="94"/>
    </row>
    <row r="16" spans="1:14">
      <c r="A16" s="360">
        <f>DATE(YEAR(A15),MONTH(A15)-1,DAY(A15))</f>
        <v>44197</v>
      </c>
      <c r="B16" s="256" t="str">
        <f>IF(VLOOKUP($C$7,'Type of adjust'!$A$1:$P$18,MATCH($A16,'Type of adjust'!$A$1:$P$1,0),FALSE)="", "..", VLOOKUP($C$7,'Type of adjust'!$A$1:$P$18,MATCH($A16,'Type of adjust'!$A$1:$P$1,0),FALSE))</f>
        <v>..</v>
      </c>
      <c r="C16" s="261">
        <f>VLOOKUP($C$7&amp;"Adjusted waiting "&amp;$C$9,REPORT_raw_datawaiting!$A$1:$R$817,MATCH($A16,REPORT_raw_datawaiting!$D$1:$R$1,1)+3, FALSE)</f>
        <v>22662</v>
      </c>
      <c r="D16" s="261">
        <f>VLOOKUP($C$7&amp;"Adjusted waiting "&amp;$D$10,REPORT_raw_datawaiting!$A$1:$R$817,MATCH($A16,REPORT_raw_datawaiting!$D$1:$R$1,1)+3, FALSE)</f>
        <v>11250</v>
      </c>
      <c r="E16" s="261">
        <f>IF(VLOOKUP($C$7&amp;"Adjusted waiting "&amp;$E$10,REPORT_raw_datawaiting!$A$1:$R$817,MATCH($A16,REPORT_raw_datawaiting!$D$1:$R$1,1)+3, FALSE)=0,"-",VLOOKUP($C$7&amp;"Adjusted waiting "&amp;$E$10,REPORT_raw_datawaiting!$A$1:$R$817,MATCH($A16,REPORT_raw_datawaiting!$D$1:$R$1,1)+3, FALSE))</f>
        <v>3988</v>
      </c>
      <c r="F16" s="261">
        <f>IF(VLOOKUP($C$7&amp;"Adjusted waiting "&amp;$F$8,REPORT_raw_datawaiting!$A$1:$R$817,MATCH($A16,REPORT_raw_datawaiting!$D$1:$R$1,1)+3, FALSE)=0,"-",VLOOKUP($C$7&amp;"Adjusted waiting "&amp;$F$8,REPORT_raw_datawaiting!$A$1:$R$817,MATCH($A16,REPORT_raw_datawaiting!$D$1:$R$1,1)+3, FALSE))</f>
        <v>2989</v>
      </c>
      <c r="G16" s="261">
        <f>IF(VLOOKUP($C$7&amp;"Adjusted waiting "&amp;$G$8,REPORT_raw_datawaiting!$A$1:$R$817,MATCH($A16,REPORT_raw_datawaiting!$D$1:$R$1,1)+3, FALSE)=0,"-",VLOOKUP($C$7&amp;"Adjusted waiting "&amp;$G$8,REPORT_raw_datawaiting!$A$1:$R$817,MATCH($A16,REPORT_raw_datawaiting!$D$1:$R$1,1)+3, FALSE))</f>
        <v>4435</v>
      </c>
      <c r="H16" s="264">
        <f t="shared" si="0"/>
        <v>49.64</v>
      </c>
      <c r="I16" s="264">
        <f t="shared" si="0"/>
        <v>17.600000000000001</v>
      </c>
      <c r="J16" s="264">
        <f t="shared" si="0"/>
        <v>13.19</v>
      </c>
      <c r="K16" s="258">
        <f t="shared" si="0"/>
        <v>19.57</v>
      </c>
      <c r="L16" s="94"/>
      <c r="M16" s="94"/>
      <c r="N16" s="94"/>
    </row>
    <row r="17" spans="1:14">
      <c r="A17" s="360">
        <f t="shared" ref="A17:A25" si="1">DATE(YEAR(A16),MONTH(A16)-1,DAY(A16))</f>
        <v>44166</v>
      </c>
      <c r="B17" s="256" t="str">
        <f>IF(VLOOKUP($C$7,'Type of adjust'!$A$1:$P$18,MATCH($A17,'Type of adjust'!$A$1:$P$1,0),FALSE)="", "..", VLOOKUP($C$7,'Type of adjust'!$A$1:$P$18,MATCH($A17,'Type of adjust'!$A$1:$P$1,0),FALSE))</f>
        <v>..</v>
      </c>
      <c r="C17" s="261">
        <f>VLOOKUP($C$7&amp;"Adjusted waiting "&amp;$C$9,REPORT_raw_datawaiting!$A$1:$R$817,MATCH($A17,REPORT_raw_datawaiting!$D$1:$R$1,1)+3, FALSE)</f>
        <v>23780</v>
      </c>
      <c r="D17" s="261">
        <f>VLOOKUP($C$7&amp;"Adjusted waiting "&amp;$D$10,REPORT_raw_datawaiting!$A$1:$R$817,MATCH($A17,REPORT_raw_datawaiting!$D$1:$R$1,1)+3, FALSE)</f>
        <v>12070</v>
      </c>
      <c r="E17" s="261">
        <f>IF(VLOOKUP($C$7&amp;"Adjusted waiting "&amp;$E$10,REPORT_raw_datawaiting!$A$1:$R$817,MATCH($A17,REPORT_raw_datawaiting!$D$1:$R$1,1)+3, FALSE)=0,"-",VLOOKUP($C$7&amp;"Adjusted waiting "&amp;$E$10,REPORT_raw_datawaiting!$A$1:$R$817,MATCH($A17,REPORT_raw_datawaiting!$D$1:$R$1,1)+3, FALSE))</f>
        <v>3561</v>
      </c>
      <c r="F17" s="261">
        <f>IF(VLOOKUP($C$7&amp;"Adjusted waiting "&amp;$F$8,REPORT_raw_datawaiting!$A$1:$R$817,MATCH($A17,REPORT_raw_datawaiting!$D$1:$R$1,1)+3, FALSE)=0,"-",VLOOKUP($C$7&amp;"Adjusted waiting "&amp;$F$8,REPORT_raw_datawaiting!$A$1:$R$817,MATCH($A17,REPORT_raw_datawaiting!$D$1:$R$1,1)+3, FALSE))</f>
        <v>3844</v>
      </c>
      <c r="G17" s="261">
        <f>IF(VLOOKUP($C$7&amp;"Adjusted waiting "&amp;$G$8,REPORT_raw_datawaiting!$A$1:$R$817,MATCH($A17,REPORT_raw_datawaiting!$D$1:$R$1,1)+3, FALSE)=0,"-",VLOOKUP($C$7&amp;"Adjusted waiting "&amp;$G$8,REPORT_raw_datawaiting!$A$1:$R$817,MATCH($A17,REPORT_raw_datawaiting!$D$1:$R$1,1)+3, FALSE))</f>
        <v>4305</v>
      </c>
      <c r="H17" s="264">
        <f>IF(D17="-","-",IF(D17="..","..",IF(D17=0,"-",IF((D17/$C17%)=0,"-",ROUND(D17/$C17%,2)))))</f>
        <v>50.76</v>
      </c>
      <c r="I17" s="264">
        <f t="shared" si="0"/>
        <v>14.97</v>
      </c>
      <c r="J17" s="264">
        <f t="shared" si="0"/>
        <v>16.16</v>
      </c>
      <c r="K17" s="258">
        <f t="shared" si="0"/>
        <v>18.100000000000001</v>
      </c>
      <c r="L17" s="94"/>
      <c r="M17" s="94"/>
      <c r="N17" s="94"/>
    </row>
    <row r="18" spans="1:14">
      <c r="A18" s="360">
        <f t="shared" si="1"/>
        <v>44136</v>
      </c>
      <c r="B18" s="256" t="str">
        <f>IF(VLOOKUP($C$7,'Type of adjust'!$A$1:$P$18,MATCH($A18,'Type of adjust'!$A$1:$P$1,0),FALSE)="", "..", VLOOKUP($C$7,'Type of adjust'!$A$1:$P$18,MATCH($A18,'Type of adjust'!$A$1:$P$1,0),FALSE))</f>
        <v>..</v>
      </c>
      <c r="C18" s="261">
        <f>VLOOKUP($C$7&amp;"Adjusted waiting "&amp;$C$9,REPORT_raw_datawaiting!$A$1:$R$817,MATCH($A18,REPORT_raw_datawaiting!$D$1:$R$1,1)+3, FALSE)</f>
        <v>23760</v>
      </c>
      <c r="D18" s="261">
        <f>VLOOKUP($C$7&amp;"Adjusted waiting "&amp;$D$10,REPORT_raw_datawaiting!$A$1:$R$817,MATCH($A18,REPORT_raw_datawaiting!$D$1:$R$1,1)+3, FALSE)</f>
        <v>11911</v>
      </c>
      <c r="E18" s="261">
        <f>IF(VLOOKUP($C$7&amp;"Adjusted waiting "&amp;$E$10,REPORT_raw_datawaiting!$A$1:$R$817,MATCH($A18,REPORT_raw_datawaiting!$D$1:$R$1,1)+3, FALSE)=0,"-",VLOOKUP($C$7&amp;"Adjusted waiting "&amp;$E$10,REPORT_raw_datawaiting!$A$1:$R$817,MATCH($A18,REPORT_raw_datawaiting!$D$1:$R$1,1)+3, FALSE))</f>
        <v>3093</v>
      </c>
      <c r="F18" s="261">
        <f>IF(VLOOKUP($C$7&amp;"Adjusted waiting "&amp;$F$8,REPORT_raw_datawaiting!$A$1:$R$817,MATCH($A18,REPORT_raw_datawaiting!$D$1:$R$1,1)+3, FALSE)=0,"-",VLOOKUP($C$7&amp;"Adjusted waiting "&amp;$F$8,REPORT_raw_datawaiting!$A$1:$R$817,MATCH($A18,REPORT_raw_datawaiting!$D$1:$R$1,1)+3, FALSE))</f>
        <v>4812</v>
      </c>
      <c r="G18" s="261">
        <f>IF(VLOOKUP($C$7&amp;"Adjusted waiting "&amp;$G$8,REPORT_raw_datawaiting!$A$1:$R$817,MATCH($A18,REPORT_raw_datawaiting!$D$1:$R$1,1)+3, FALSE)=0,"-",VLOOKUP($C$7&amp;"Adjusted waiting "&amp;$G$8,REPORT_raw_datawaiting!$A$1:$R$817,MATCH($A18,REPORT_raw_datawaiting!$D$1:$R$1,1)+3, FALSE))</f>
        <v>3944</v>
      </c>
      <c r="H18" s="264">
        <f t="shared" ref="H18:H25" si="2">IF(D18="-","-",IF(D18="..","..",IF(D18=0,"-",IF((D18/$C18%)=0,"-",ROUND(D18/$C18%,2)))))</f>
        <v>50.13</v>
      </c>
      <c r="I18" s="264">
        <f t="shared" si="0"/>
        <v>13.02</v>
      </c>
      <c r="J18" s="264">
        <f t="shared" si="0"/>
        <v>20.25</v>
      </c>
      <c r="K18" s="258">
        <f t="shared" si="0"/>
        <v>16.600000000000001</v>
      </c>
      <c r="L18" s="94"/>
      <c r="M18" s="94"/>
      <c r="N18" s="94"/>
    </row>
    <row r="19" spans="1:14">
      <c r="A19" s="360">
        <f t="shared" si="1"/>
        <v>44105</v>
      </c>
      <c r="B19" s="256" t="str">
        <f>IF(VLOOKUP($C$7,'Type of adjust'!$A$1:$P$18,MATCH($A19,'Type of adjust'!$A$1:$P$1,0),FALSE)="", "..", VLOOKUP($C$7,'Type of adjust'!$A$1:$P$18,MATCH($A19,'Type of adjust'!$A$1:$P$1,0),FALSE))</f>
        <v>..</v>
      </c>
      <c r="C19" s="261">
        <f>VLOOKUP($C$7&amp;"Adjusted waiting "&amp;$C$9,REPORT_raw_datawaiting!$A$1:$R$817,MATCH($A19,REPORT_raw_datawaiting!$D$1:$R$1,1)+3, FALSE)</f>
        <v>23859</v>
      </c>
      <c r="D19" s="261">
        <f>VLOOKUP($C$7&amp;"Adjusted waiting "&amp;$D$10,REPORT_raw_datawaiting!$A$1:$R$817,MATCH($A19,REPORT_raw_datawaiting!$D$1:$R$1,1)+3, FALSE)</f>
        <v>11104</v>
      </c>
      <c r="E19" s="261">
        <f>IF(VLOOKUP($C$7&amp;"Adjusted waiting "&amp;$E$10,REPORT_raw_datawaiting!$A$1:$R$817,MATCH($A19,REPORT_raw_datawaiting!$D$1:$R$1,1)+3, FALSE)=0,"-",VLOOKUP($C$7&amp;"Adjusted waiting "&amp;$E$10,REPORT_raw_datawaiting!$A$1:$R$817,MATCH($A19,REPORT_raw_datawaiting!$D$1:$R$1,1)+3, FALSE))</f>
        <v>3947</v>
      </c>
      <c r="F19" s="261">
        <f>IF(VLOOKUP($C$7&amp;"Adjusted waiting "&amp;$F$8,REPORT_raw_datawaiting!$A$1:$R$817,MATCH($A19,REPORT_raw_datawaiting!$D$1:$R$1,1)+3, FALSE)=0,"-",VLOOKUP($C$7&amp;"Adjusted waiting "&amp;$F$8,REPORT_raw_datawaiting!$A$1:$R$817,MATCH($A19,REPORT_raw_datawaiting!$D$1:$R$1,1)+3, FALSE))</f>
        <v>4912</v>
      </c>
      <c r="G19" s="261">
        <f>IF(VLOOKUP($C$7&amp;"Adjusted waiting "&amp;$G$8,REPORT_raw_datawaiting!$A$1:$R$817,MATCH($A19,REPORT_raw_datawaiting!$D$1:$R$1,1)+3, FALSE)=0,"-",VLOOKUP($C$7&amp;"Adjusted waiting "&amp;$G$8,REPORT_raw_datawaiting!$A$1:$R$817,MATCH($A19,REPORT_raw_datawaiting!$D$1:$R$1,1)+3, FALSE))</f>
        <v>3896</v>
      </c>
      <c r="H19" s="264">
        <f t="shared" si="2"/>
        <v>46.54</v>
      </c>
      <c r="I19" s="264">
        <f t="shared" si="0"/>
        <v>16.54</v>
      </c>
      <c r="J19" s="264">
        <f t="shared" si="0"/>
        <v>20.59</v>
      </c>
      <c r="K19" s="258">
        <f t="shared" si="0"/>
        <v>16.329999999999998</v>
      </c>
      <c r="L19" s="94"/>
      <c r="M19" s="94"/>
      <c r="N19" s="94"/>
    </row>
    <row r="20" spans="1:14">
      <c r="A20" s="360">
        <f t="shared" si="1"/>
        <v>44075</v>
      </c>
      <c r="B20" s="256" t="str">
        <f>IF(VLOOKUP($C$7,'Type of adjust'!$A$1:$P$18,MATCH($A20,'Type of adjust'!$A$1:$P$1,0),FALSE)="", "..", VLOOKUP($C$7,'Type of adjust'!$A$1:$P$18,MATCH($A20,'Type of adjust'!$A$1:$P$1,0),FALSE))</f>
        <v>..</v>
      </c>
      <c r="C20" s="261">
        <f>VLOOKUP($C$7&amp;"Adjusted waiting "&amp;$C$9,REPORT_raw_datawaiting!$A$1:$R$817,MATCH($A20,REPORT_raw_datawaiting!$D$1:$R$1,1)+3, FALSE)</f>
        <v>23652</v>
      </c>
      <c r="D20" s="261">
        <f>VLOOKUP($C$7&amp;"Adjusted waiting "&amp;$D$10,REPORT_raw_datawaiting!$A$1:$R$817,MATCH($A20,REPORT_raw_datawaiting!$D$1:$R$1,1)+3, FALSE)</f>
        <v>9965</v>
      </c>
      <c r="E20" s="261">
        <f>IF(VLOOKUP($C$7&amp;"Adjusted waiting "&amp;$E$10,REPORT_raw_datawaiting!$A$1:$R$817,MATCH($A20,REPORT_raw_datawaiting!$D$1:$R$1,1)+3, FALSE)=0,"-",VLOOKUP($C$7&amp;"Adjusted waiting "&amp;$E$10,REPORT_raw_datawaiting!$A$1:$R$817,MATCH($A20,REPORT_raw_datawaiting!$D$1:$R$1,1)+3, FALSE))</f>
        <v>5421</v>
      </c>
      <c r="F20" s="261">
        <f>IF(VLOOKUP($C$7&amp;"Adjusted waiting "&amp;$F$8,REPORT_raw_datawaiting!$A$1:$R$817,MATCH($A20,REPORT_raw_datawaiting!$D$1:$R$1,1)+3, FALSE)=0,"-",VLOOKUP($C$7&amp;"Adjusted waiting "&amp;$F$8,REPORT_raw_datawaiting!$A$1:$R$817,MATCH($A20,REPORT_raw_datawaiting!$D$1:$R$1,1)+3, FALSE))</f>
        <v>4453</v>
      </c>
      <c r="G20" s="261">
        <f>IF(VLOOKUP($C$7&amp;"Adjusted waiting "&amp;$G$8,REPORT_raw_datawaiting!$A$1:$R$817,MATCH($A20,REPORT_raw_datawaiting!$D$1:$R$1,1)+3, FALSE)=0,"-",VLOOKUP($C$7&amp;"Adjusted waiting "&amp;$G$8,REPORT_raw_datawaiting!$A$1:$R$817,MATCH($A20,REPORT_raw_datawaiting!$D$1:$R$1,1)+3, FALSE))</f>
        <v>3813</v>
      </c>
      <c r="H20" s="264">
        <f t="shared" si="2"/>
        <v>42.13</v>
      </c>
      <c r="I20" s="264">
        <f t="shared" si="0"/>
        <v>22.92</v>
      </c>
      <c r="J20" s="264">
        <f t="shared" si="0"/>
        <v>18.829999999999998</v>
      </c>
      <c r="K20" s="258">
        <f t="shared" si="0"/>
        <v>16.12</v>
      </c>
      <c r="L20" s="94"/>
      <c r="M20" s="94"/>
      <c r="N20" s="94"/>
    </row>
    <row r="21" spans="1:14">
      <c r="A21" s="360">
        <f t="shared" si="1"/>
        <v>44044</v>
      </c>
      <c r="B21" s="256" t="str">
        <f>IF(VLOOKUP($C$7,'Type of adjust'!$A$1:$P$18,MATCH($A21,'Type of adjust'!$A$1:$P$1,0),FALSE)="", "..", VLOOKUP($C$7,'Type of adjust'!$A$1:$P$18,MATCH($A21,'Type of adjust'!$A$1:$P$1,0),FALSE))</f>
        <v>..</v>
      </c>
      <c r="C21" s="261">
        <f>VLOOKUP($C$7&amp;"Adjusted waiting "&amp;$C$9,REPORT_raw_datawaiting!$A$1:$R$817,MATCH($A21,REPORT_raw_datawaiting!$D$1:$R$1,1)+3, FALSE)</f>
        <v>23673</v>
      </c>
      <c r="D21" s="261">
        <f>VLOOKUP($C$7&amp;"Adjusted waiting "&amp;$D$10,REPORT_raw_datawaiting!$A$1:$R$817,MATCH($A21,REPORT_raw_datawaiting!$D$1:$R$1,1)+3, FALSE)</f>
        <v>8853</v>
      </c>
      <c r="E21" s="261">
        <f>IF(VLOOKUP($C$7&amp;"Adjusted waiting "&amp;$E$10,REPORT_raw_datawaiting!$A$1:$R$817,MATCH($A21,REPORT_raw_datawaiting!$D$1:$R$1,1)+3, FALSE)=0,"-",VLOOKUP($C$7&amp;"Adjusted waiting "&amp;$E$10,REPORT_raw_datawaiting!$A$1:$R$817,MATCH($A21,REPORT_raw_datawaiting!$D$1:$R$1,1)+3, FALSE))</f>
        <v>7013</v>
      </c>
      <c r="F21" s="261">
        <f>IF(VLOOKUP($C$7&amp;"Adjusted waiting "&amp;$F$8,REPORT_raw_datawaiting!$A$1:$R$817,MATCH($A21,REPORT_raw_datawaiting!$D$1:$R$1,1)+3, FALSE)=0,"-",VLOOKUP($C$7&amp;"Adjusted waiting "&amp;$F$8,REPORT_raw_datawaiting!$A$1:$R$817,MATCH($A21,REPORT_raw_datawaiting!$D$1:$R$1,1)+3, FALSE))</f>
        <v>4213</v>
      </c>
      <c r="G21" s="261">
        <f>IF(VLOOKUP($C$7&amp;"Adjusted waiting "&amp;$G$8,REPORT_raw_datawaiting!$A$1:$R$817,MATCH($A21,REPORT_raw_datawaiting!$D$1:$R$1,1)+3, FALSE)=0,"-",VLOOKUP($C$7&amp;"Adjusted waiting "&amp;$G$8,REPORT_raw_datawaiting!$A$1:$R$817,MATCH($A21,REPORT_raw_datawaiting!$D$1:$R$1,1)+3, FALSE))</f>
        <v>3594</v>
      </c>
      <c r="H21" s="264">
        <f t="shared" si="2"/>
        <v>37.4</v>
      </c>
      <c r="I21" s="264">
        <f t="shared" si="0"/>
        <v>29.62</v>
      </c>
      <c r="J21" s="264">
        <f t="shared" si="0"/>
        <v>17.8</v>
      </c>
      <c r="K21" s="258">
        <f t="shared" si="0"/>
        <v>15.18</v>
      </c>
      <c r="L21" s="94"/>
      <c r="M21" s="94"/>
      <c r="N21" s="94"/>
    </row>
    <row r="22" spans="1:14">
      <c r="A22" s="360">
        <f t="shared" si="1"/>
        <v>44013</v>
      </c>
      <c r="B22" s="256" t="str">
        <f>IF(VLOOKUP($C$7,'Type of adjust'!$A$1:$P$18,MATCH($A22,'Type of adjust'!$A$1:$P$1,0),FALSE)="", "..", VLOOKUP($C$7,'Type of adjust'!$A$1:$P$18,MATCH($A22,'Type of adjust'!$A$1:$P$1,0),FALSE))</f>
        <v>..</v>
      </c>
      <c r="C22" s="261">
        <f>VLOOKUP($C$7&amp;"Adjusted waiting "&amp;$C$9,REPORT_raw_datawaiting!$A$1:$R$817,MATCH($A22,REPORT_raw_datawaiting!$D$1:$R$1,1)+3, FALSE)</f>
        <v>23804</v>
      </c>
      <c r="D22" s="261">
        <f>VLOOKUP($C$7&amp;"Adjusted waiting "&amp;$D$10,REPORT_raw_datawaiting!$A$1:$R$817,MATCH($A22,REPORT_raw_datawaiting!$D$1:$R$1,1)+3, FALSE)</f>
        <v>7850</v>
      </c>
      <c r="E22" s="261">
        <f>IF(VLOOKUP($C$7&amp;"Adjusted waiting "&amp;$E$10,REPORT_raw_datawaiting!$A$1:$R$817,MATCH($A22,REPORT_raw_datawaiting!$D$1:$R$1,1)+3, FALSE)=0,"-",VLOOKUP($C$7&amp;"Adjusted waiting "&amp;$E$10,REPORT_raw_datawaiting!$A$1:$R$817,MATCH($A22,REPORT_raw_datawaiting!$D$1:$R$1,1)+3, FALSE))</f>
        <v>8625</v>
      </c>
      <c r="F22" s="261">
        <f>IF(VLOOKUP($C$7&amp;"Adjusted waiting "&amp;$F$8,REPORT_raw_datawaiting!$A$1:$R$817,MATCH($A22,REPORT_raw_datawaiting!$D$1:$R$1,1)+3, FALSE)=0,"-",VLOOKUP($C$7&amp;"Adjusted waiting "&amp;$F$8,REPORT_raw_datawaiting!$A$1:$R$817,MATCH($A22,REPORT_raw_datawaiting!$D$1:$R$1,1)+3, FALSE))</f>
        <v>3933</v>
      </c>
      <c r="G22" s="261">
        <f>IF(VLOOKUP($C$7&amp;"Adjusted waiting "&amp;$G$8,REPORT_raw_datawaiting!$A$1:$R$817,MATCH($A22,REPORT_raw_datawaiting!$D$1:$R$1,1)+3, FALSE)=0,"-",VLOOKUP($C$7&amp;"Adjusted waiting "&amp;$G$8,REPORT_raw_datawaiting!$A$1:$R$817,MATCH($A22,REPORT_raw_datawaiting!$D$1:$R$1,1)+3, FALSE))</f>
        <v>3396</v>
      </c>
      <c r="H22" s="264">
        <f t="shared" si="2"/>
        <v>32.979999999999997</v>
      </c>
      <c r="I22" s="264">
        <f t="shared" si="0"/>
        <v>36.229999999999997</v>
      </c>
      <c r="J22" s="264">
        <f t="shared" si="0"/>
        <v>16.52</v>
      </c>
      <c r="K22" s="258">
        <f t="shared" si="0"/>
        <v>14.27</v>
      </c>
      <c r="L22" s="94"/>
      <c r="M22" s="94"/>
      <c r="N22" s="94"/>
    </row>
    <row r="23" spans="1:14">
      <c r="A23" s="360">
        <f t="shared" si="1"/>
        <v>43983</v>
      </c>
      <c r="B23" s="256" t="str">
        <f>IF(VLOOKUP($C$7,'Type of adjust'!$A$1:$P$18,MATCH($A23,'Type of adjust'!$A$1:$P$1,0),FALSE)="", "..", VLOOKUP($C$7,'Type of adjust'!$A$1:$P$18,MATCH($A23,'Type of adjust'!$A$1:$P$1,0),FALSE))</f>
        <v>..</v>
      </c>
      <c r="C23" s="261">
        <f>VLOOKUP($C$7&amp;"Adjusted waiting "&amp;$C$9,REPORT_raw_datawaiting!$A$1:$R$817,MATCH($A23,REPORT_raw_datawaiting!$D$1:$R$1,1)+3, FALSE)</f>
        <v>24049</v>
      </c>
      <c r="D23" s="261">
        <f>VLOOKUP($C$7&amp;"Adjusted waiting "&amp;$D$10,REPORT_raw_datawaiting!$A$1:$R$817,MATCH($A23,REPORT_raw_datawaiting!$D$1:$R$1,1)+3, FALSE)</f>
        <v>9017</v>
      </c>
      <c r="E23" s="261">
        <f>IF(VLOOKUP($C$7&amp;"Adjusted waiting "&amp;$E$10,REPORT_raw_datawaiting!$A$1:$R$817,MATCH($A23,REPORT_raw_datawaiting!$D$1:$R$1,1)+3, FALSE)=0,"-",VLOOKUP($C$7&amp;"Adjusted waiting "&amp;$E$10,REPORT_raw_datawaiting!$A$1:$R$817,MATCH($A23,REPORT_raw_datawaiting!$D$1:$R$1,1)+3, FALSE))</f>
        <v>8278</v>
      </c>
      <c r="F23" s="261">
        <f>IF(VLOOKUP($C$7&amp;"Adjusted waiting "&amp;$F$8,REPORT_raw_datawaiting!$A$1:$R$817,MATCH($A23,REPORT_raw_datawaiting!$D$1:$R$1,1)+3, FALSE)=0,"-",VLOOKUP($C$7&amp;"Adjusted waiting "&amp;$F$8,REPORT_raw_datawaiting!$A$1:$R$817,MATCH($A23,REPORT_raw_datawaiting!$D$1:$R$1,1)+3, FALSE))</f>
        <v>3493</v>
      </c>
      <c r="G23" s="261">
        <f>IF(VLOOKUP($C$7&amp;"Adjusted waiting "&amp;$G$8,REPORT_raw_datawaiting!$A$1:$R$817,MATCH($A23,REPORT_raw_datawaiting!$D$1:$R$1,1)+3, FALSE)=0,"-",VLOOKUP($C$7&amp;"Adjusted waiting "&amp;$G$8,REPORT_raw_datawaiting!$A$1:$R$817,MATCH($A23,REPORT_raw_datawaiting!$D$1:$R$1,1)+3, FALSE))</f>
        <v>3261</v>
      </c>
      <c r="H23" s="264">
        <f t="shared" si="2"/>
        <v>37.49</v>
      </c>
      <c r="I23" s="264">
        <f t="shared" si="0"/>
        <v>34.42</v>
      </c>
      <c r="J23" s="264">
        <f t="shared" si="0"/>
        <v>14.52</v>
      </c>
      <c r="K23" s="258">
        <f t="shared" si="0"/>
        <v>13.56</v>
      </c>
    </row>
    <row r="24" spans="1:14">
      <c r="A24" s="360">
        <f t="shared" si="1"/>
        <v>43952</v>
      </c>
      <c r="B24" s="256" t="str">
        <f>IF(VLOOKUP($C$7,'Type of adjust'!$A$1:$P$18,MATCH($A24,'Type of adjust'!$A$1:$P$1,0),FALSE)="", "..", VLOOKUP($C$7,'Type of adjust'!$A$1:$P$18,MATCH($A24,'Type of adjust'!$A$1:$P$1,0),FALSE))</f>
        <v>..</v>
      </c>
      <c r="C24" s="261">
        <f>VLOOKUP($C$7&amp;"Adjusted waiting "&amp;$C$9,REPORT_raw_datawaiting!$A$1:$R$817,MATCH($A24,REPORT_raw_datawaiting!$D$1:$R$1,1)+3, FALSE)</f>
        <v>24778</v>
      </c>
      <c r="D24" s="261">
        <f>VLOOKUP($C$7&amp;"Adjusted waiting "&amp;$D$10,REPORT_raw_datawaiting!$A$1:$R$817,MATCH($A24,REPORT_raw_datawaiting!$D$1:$R$1,1)+3, FALSE)</f>
        <v>11052</v>
      </c>
      <c r="E24" s="261">
        <f>IF(VLOOKUP($C$7&amp;"Adjusted waiting "&amp;$E$10,REPORT_raw_datawaiting!$A$1:$R$817,MATCH($A24,REPORT_raw_datawaiting!$D$1:$R$1,1)+3, FALSE)=0,"-",VLOOKUP($C$7&amp;"Adjusted waiting "&amp;$E$10,REPORT_raw_datawaiting!$A$1:$R$817,MATCH($A24,REPORT_raw_datawaiting!$D$1:$R$1,1)+3, FALSE))</f>
        <v>7265</v>
      </c>
      <c r="F24" s="261">
        <f>IF(VLOOKUP($C$7&amp;"Adjusted waiting "&amp;$F$8,REPORT_raw_datawaiting!$A$1:$R$817,MATCH($A24,REPORT_raw_datawaiting!$D$1:$R$1,1)+3, FALSE)=0,"-",VLOOKUP($C$7&amp;"Adjusted waiting "&amp;$F$8,REPORT_raw_datawaiting!$A$1:$R$817,MATCH($A24,REPORT_raw_datawaiting!$D$1:$R$1,1)+3, FALSE))</f>
        <v>3276</v>
      </c>
      <c r="G24" s="261">
        <f>IF(VLOOKUP($C$7&amp;"Adjusted waiting "&amp;$G$8,REPORT_raw_datawaiting!$A$1:$R$817,MATCH($A24,REPORT_raw_datawaiting!$D$1:$R$1,1)+3, FALSE)=0,"-",VLOOKUP($C$7&amp;"Adjusted waiting "&amp;$G$8,REPORT_raw_datawaiting!$A$1:$R$817,MATCH($A24,REPORT_raw_datawaiting!$D$1:$R$1,1)+3, FALSE))</f>
        <v>3185</v>
      </c>
      <c r="H24" s="264">
        <f t="shared" si="2"/>
        <v>44.6</v>
      </c>
      <c r="I24" s="264">
        <f t="shared" si="0"/>
        <v>29.32</v>
      </c>
      <c r="J24" s="264">
        <f t="shared" si="0"/>
        <v>13.22</v>
      </c>
      <c r="K24" s="258">
        <f t="shared" si="0"/>
        <v>12.85</v>
      </c>
    </row>
    <row r="25" spans="1:14">
      <c r="A25" s="361">
        <f t="shared" si="1"/>
        <v>43922</v>
      </c>
      <c r="B25" s="254" t="str">
        <f>IF(VLOOKUP($C$7,'Type of adjust'!$A$1:$P$18,MATCH($A25,'Type of adjust'!$A$1:$P$1,0),FALSE)="", "..", VLOOKUP($C$7,'Type of adjust'!$A$1:$P$18,MATCH($A25,'Type of adjust'!$A$1:$P$1,0),FALSE))</f>
        <v>..</v>
      </c>
      <c r="C25" s="262">
        <f>VLOOKUP($C$7&amp;"Adjusted waiting "&amp;$C$9,REPORT_raw_datawaiting!$A$1:$R$817,MATCH($A25,REPORT_raw_datawaiting!$D$1:$R$1,1)+3, FALSE)</f>
        <v>26017</v>
      </c>
      <c r="D25" s="262">
        <f>VLOOKUP($C$7&amp;"Adjusted waiting "&amp;$D$10,REPORT_raw_datawaiting!$A$1:$R$817,MATCH($A25,REPORT_raw_datawaiting!$D$1:$R$1,1)+3, FALSE)</f>
        <v>13065</v>
      </c>
      <c r="E25" s="262">
        <f>IF(VLOOKUP($C$7&amp;"Adjusted waiting "&amp;$E$10,REPORT_raw_datawaiting!$A$1:$R$817,MATCH($A25,REPORT_raw_datawaiting!$D$1:$R$1,1)+3, FALSE)=0,"-",VLOOKUP($C$7&amp;"Adjusted waiting "&amp;$E$10,REPORT_raw_datawaiting!$A$1:$R$817,MATCH($A25,REPORT_raw_datawaiting!$D$1:$R$1,1)+3, FALSE))</f>
        <v>6890</v>
      </c>
      <c r="F25" s="262">
        <f>IF(VLOOKUP($C$7&amp;"Adjusted waiting "&amp;$F$8,REPORT_raw_datawaiting!$A$1:$R$817,MATCH($A25,REPORT_raw_datawaiting!$D$1:$R$1,1)+3, FALSE)=0,"-",VLOOKUP($C$7&amp;"Adjusted waiting "&amp;$F$8,REPORT_raw_datawaiting!$A$1:$R$817,MATCH($A25,REPORT_raw_datawaiting!$D$1:$R$1,1)+3, FALSE))</f>
        <v>3025</v>
      </c>
      <c r="G25" s="262">
        <f>IF(VLOOKUP($C$7&amp;"Adjusted waiting "&amp;$G$8,REPORT_raw_datawaiting!$A$1:$R$817,MATCH($A25,REPORT_raw_datawaiting!$D$1:$R$1,1)+3, FALSE)=0,"-",VLOOKUP($C$7&amp;"Adjusted waiting "&amp;$G$8,REPORT_raw_datawaiting!$A$1:$R$817,MATCH($A25,REPORT_raw_datawaiting!$D$1:$R$1,1)+3, FALSE))</f>
        <v>3037</v>
      </c>
      <c r="H25" s="265">
        <f t="shared" si="2"/>
        <v>50.22</v>
      </c>
      <c r="I25" s="265">
        <f t="shared" si="0"/>
        <v>26.48</v>
      </c>
      <c r="J25" s="265">
        <f t="shared" si="0"/>
        <v>11.63</v>
      </c>
      <c r="K25" s="259">
        <f t="shared" si="0"/>
        <v>11.67</v>
      </c>
    </row>
    <row r="26" spans="1:14">
      <c r="A26" s="32"/>
      <c r="B26" s="16"/>
      <c r="C26" s="16"/>
      <c r="D26" s="16"/>
      <c r="E26" s="16"/>
      <c r="F26" s="16"/>
      <c r="G26" s="17"/>
      <c r="H26" s="17"/>
      <c r="I26" s="17"/>
      <c r="J26" s="17"/>
    </row>
    <row r="27" spans="1:14">
      <c r="A27" s="8"/>
      <c r="B27" s="16"/>
      <c r="C27" s="16"/>
      <c r="D27" s="16"/>
      <c r="E27" s="16"/>
      <c r="F27" s="16"/>
      <c r="G27" s="17"/>
      <c r="H27" s="17"/>
      <c r="I27" s="17"/>
      <c r="J27" s="17"/>
    </row>
    <row r="28" spans="1:14" ht="20.25">
      <c r="A28" s="76" t="s">
        <v>337</v>
      </c>
      <c r="B28" s="16"/>
      <c r="C28" s="16"/>
      <c r="D28" s="16"/>
      <c r="E28" s="16"/>
      <c r="F28" s="16"/>
      <c r="G28" s="17"/>
      <c r="H28" s="17"/>
      <c r="I28" s="17"/>
      <c r="J28" s="17"/>
    </row>
    <row r="29" spans="1:14" ht="29.25" customHeight="1">
      <c r="A29" s="77" t="s">
        <v>338</v>
      </c>
      <c r="B29" s="77" t="s">
        <v>339</v>
      </c>
      <c r="C29" s="78"/>
      <c r="D29" s="450" t="s">
        <v>340</v>
      </c>
      <c r="E29" s="450"/>
      <c r="F29" s="450"/>
      <c r="G29" s="450"/>
      <c r="H29" s="450"/>
      <c r="I29" s="450"/>
      <c r="J29" s="450"/>
      <c r="K29" s="450"/>
    </row>
    <row r="30" spans="1:14" ht="27" customHeight="1">
      <c r="A30" s="79" t="s">
        <v>55</v>
      </c>
      <c r="B30" s="80" t="s">
        <v>341</v>
      </c>
      <c r="C30" s="81"/>
      <c r="D30" s="451" t="s">
        <v>342</v>
      </c>
      <c r="E30" s="451"/>
      <c r="F30" s="451"/>
      <c r="G30" s="451"/>
      <c r="H30" s="451"/>
      <c r="I30" s="451"/>
      <c r="J30" s="451"/>
      <c r="K30" s="451"/>
    </row>
    <row r="31" spans="1:14" ht="39" customHeight="1">
      <c r="A31" s="82" t="s">
        <v>343</v>
      </c>
      <c r="B31" s="83" t="s">
        <v>344</v>
      </c>
      <c r="C31" s="84"/>
      <c r="D31" s="452" t="s">
        <v>345</v>
      </c>
      <c r="E31" s="452"/>
      <c r="F31" s="452"/>
      <c r="G31" s="452"/>
      <c r="H31" s="452"/>
      <c r="I31" s="452"/>
      <c r="J31" s="452"/>
      <c r="K31" s="452"/>
    </row>
    <row r="32" spans="1:14">
      <c r="A32" s="85" t="s">
        <v>27</v>
      </c>
      <c r="B32" s="86"/>
      <c r="C32" s="87"/>
      <c r="D32" s="439" t="s">
        <v>346</v>
      </c>
      <c r="E32" s="439"/>
      <c r="F32" s="439"/>
      <c r="G32" s="439"/>
      <c r="H32" s="439"/>
      <c r="I32" s="439"/>
      <c r="J32" s="439"/>
      <c r="K32" s="439"/>
    </row>
    <row r="33" spans="1:10">
      <c r="A33" s="88"/>
      <c r="B33" s="89"/>
      <c r="C33" s="89"/>
      <c r="D33" s="19"/>
      <c r="E33" s="89"/>
      <c r="F33" s="89"/>
      <c r="G33" s="90"/>
      <c r="H33" s="90"/>
      <c r="I33" s="15"/>
      <c r="J33" s="15"/>
    </row>
    <row r="34" spans="1:10">
      <c r="A34" s="88"/>
      <c r="B34" s="89"/>
      <c r="C34" s="89"/>
      <c r="D34" s="19"/>
      <c r="E34" s="89"/>
      <c r="F34" s="89"/>
      <c r="G34" s="90"/>
      <c r="H34" s="90"/>
      <c r="I34" s="15"/>
      <c r="J34" s="15"/>
    </row>
    <row r="35" spans="1:10">
      <c r="A35" s="88"/>
      <c r="B35" s="89"/>
      <c r="C35" s="89"/>
      <c r="D35" s="19"/>
      <c r="E35" s="89"/>
      <c r="F35" s="89"/>
      <c r="G35" s="90"/>
      <c r="H35" s="90"/>
      <c r="I35" s="15"/>
      <c r="J35" s="15"/>
    </row>
    <row r="36" spans="1:10">
      <c r="A36" s="91" t="s">
        <v>190</v>
      </c>
      <c r="B36" s="89"/>
      <c r="C36" s="89"/>
      <c r="D36" s="89"/>
      <c r="E36" s="89"/>
      <c r="F36" s="89"/>
      <c r="G36" s="90"/>
      <c r="H36" s="90"/>
      <c r="I36" s="15"/>
      <c r="J36" s="15"/>
    </row>
    <row r="37" spans="1:10">
      <c r="A37" s="91" t="s">
        <v>191</v>
      </c>
      <c r="B37" s="89"/>
      <c r="C37" s="89"/>
      <c r="D37" s="89"/>
      <c r="E37" s="89"/>
      <c r="F37" s="89"/>
      <c r="G37" s="90"/>
      <c r="H37" s="90"/>
      <c r="I37" s="15"/>
      <c r="J37" s="15"/>
    </row>
    <row r="38" spans="1:10">
      <c r="B38" s="16"/>
      <c r="C38" s="16"/>
      <c r="D38" s="16"/>
      <c r="E38" s="16"/>
      <c r="F38" s="16"/>
      <c r="G38" s="18"/>
      <c r="H38" s="18"/>
      <c r="I38" s="18"/>
      <c r="J38" s="18"/>
    </row>
    <row r="39" spans="1:10">
      <c r="A39" s="43" t="s">
        <v>410</v>
      </c>
      <c r="B39" s="12"/>
      <c r="C39" s="12"/>
      <c r="D39" s="12"/>
      <c r="E39" s="12"/>
      <c r="F39" s="12"/>
      <c r="G39" s="13"/>
      <c r="H39" s="13"/>
      <c r="I39" s="13"/>
      <c r="J39" s="13"/>
    </row>
    <row r="40" spans="1:10" ht="2.25" customHeight="1">
      <c r="B40" s="7"/>
      <c r="C40" s="7"/>
      <c r="D40" s="7"/>
      <c r="E40" s="7"/>
      <c r="F40" s="7"/>
      <c r="G40" s="14"/>
      <c r="H40" s="14"/>
      <c r="I40" s="14"/>
      <c r="J40" s="14"/>
    </row>
    <row r="41" spans="1:10" ht="2.25" customHeight="1">
      <c r="A41" s="8"/>
      <c r="B41" s="7"/>
      <c r="C41" s="7"/>
      <c r="D41" s="7"/>
      <c r="E41" s="7"/>
      <c r="F41" s="7"/>
      <c r="G41" s="15"/>
      <c r="H41" s="15"/>
      <c r="I41" s="15"/>
      <c r="J41" s="15"/>
    </row>
    <row r="42" spans="1:10">
      <c r="B42" s="16"/>
      <c r="C42" s="16"/>
      <c r="D42" s="16"/>
      <c r="E42" s="16"/>
      <c r="F42" s="16"/>
      <c r="G42" s="18"/>
      <c r="H42" s="18"/>
      <c r="I42" s="18"/>
      <c r="J42" s="18"/>
    </row>
    <row r="43" spans="1:10">
      <c r="B43" s="12"/>
      <c r="C43" s="12"/>
      <c r="D43" s="12"/>
      <c r="E43" s="12"/>
      <c r="F43" s="12"/>
      <c r="G43" s="13"/>
      <c r="H43" s="13"/>
      <c r="I43" s="13"/>
      <c r="J43" s="13"/>
    </row>
    <row r="44" spans="1:10">
      <c r="B44" s="12"/>
      <c r="C44" s="12"/>
      <c r="D44" s="7"/>
      <c r="E44" s="7"/>
      <c r="F44" s="7"/>
      <c r="G44" s="14"/>
      <c r="H44" s="14"/>
      <c r="I44" s="14"/>
      <c r="J44" s="14"/>
    </row>
    <row r="45" spans="1:10">
      <c r="B45" s="12"/>
      <c r="C45" s="12"/>
      <c r="D45" s="7"/>
      <c r="E45" s="7"/>
      <c r="F45" s="7"/>
      <c r="G45" s="15"/>
      <c r="H45" s="15"/>
      <c r="I45" s="15"/>
      <c r="J45" s="15"/>
    </row>
    <row r="46" spans="1:10">
      <c r="B46" s="16"/>
      <c r="C46" s="16"/>
      <c r="D46" s="7"/>
      <c r="E46" s="7"/>
      <c r="F46" s="7"/>
      <c r="G46" s="15"/>
      <c r="H46" s="15"/>
      <c r="I46" s="15"/>
      <c r="J46" s="15"/>
    </row>
    <row r="47" spans="1:10" ht="6" customHeight="1">
      <c r="A47" s="29" t="str">
        <f>"Percentage of patients waiting less than 18 weeks for adjusted waits - "&amp;C7</f>
        <v>Percentage of patients waiting less than 18 weeks for adjusted waits - Scotland</v>
      </c>
      <c r="B47" s="16"/>
      <c r="C47" s="16"/>
      <c r="D47" s="16"/>
      <c r="E47" s="16"/>
      <c r="F47" s="16"/>
      <c r="G47" s="15"/>
      <c r="H47" s="15"/>
      <c r="I47" s="15"/>
      <c r="J47" s="15"/>
    </row>
    <row r="48" spans="1:10" ht="6" customHeight="1">
      <c r="A48" s="28"/>
      <c r="B48" s="16"/>
      <c r="C48" s="16"/>
      <c r="D48" s="16"/>
      <c r="E48" s="16"/>
      <c r="F48" s="16"/>
      <c r="G48" s="18"/>
      <c r="H48" s="18"/>
      <c r="I48" s="18"/>
      <c r="J48" s="18"/>
    </row>
    <row r="49" spans="1:10">
      <c r="B49" s="12"/>
      <c r="C49" s="12"/>
      <c r="D49" s="12"/>
      <c r="E49" s="12"/>
      <c r="F49" s="12"/>
      <c r="G49" s="13"/>
      <c r="H49" s="13"/>
      <c r="I49" s="13"/>
      <c r="J49" s="13"/>
    </row>
    <row r="50" spans="1:10" ht="12" customHeight="1">
      <c r="B50" s="7"/>
      <c r="C50" s="7"/>
      <c r="D50" s="7"/>
      <c r="E50" s="7"/>
      <c r="F50" s="7"/>
      <c r="G50" s="14"/>
      <c r="H50" s="14"/>
      <c r="I50" s="14"/>
      <c r="J50" s="14"/>
    </row>
    <row r="51" spans="1:10">
      <c r="A51" s="29" t="str">
        <f>"Patients waiting - adjusted waits - "&amp;C7</f>
        <v>Patients waiting - adjusted waits - Scotland</v>
      </c>
      <c r="B51" s="16"/>
      <c r="C51" s="16"/>
      <c r="D51" s="16"/>
      <c r="E51" s="16"/>
      <c r="F51" s="16"/>
      <c r="G51" s="15"/>
      <c r="H51" s="15"/>
      <c r="I51" s="15"/>
      <c r="J51" s="15"/>
    </row>
    <row r="52" spans="1:10">
      <c r="A52" s="29" t="str">
        <f>"Percentage of patients waiting 0-18 weeks - adjusted waits - "&amp;C7</f>
        <v>Percentage of patients waiting 0-18 weeks - adjusted waits - Scotland</v>
      </c>
      <c r="B52" s="16"/>
      <c r="C52" s="16"/>
      <c r="D52" s="16"/>
      <c r="E52" s="16"/>
      <c r="F52" s="16"/>
      <c r="G52" s="15"/>
      <c r="H52" s="15"/>
      <c r="I52" s="15"/>
      <c r="J52" s="15"/>
    </row>
    <row r="53" spans="1:10">
      <c r="A53" s="29" t="str">
        <f>"Percentage of patients waiting - adjusted waits - "&amp;C7</f>
        <v>Percentage of patients waiting - adjusted waits - Scotland</v>
      </c>
      <c r="B53" s="16"/>
      <c r="C53" s="16"/>
      <c r="D53" s="16"/>
      <c r="E53" s="16"/>
      <c r="F53" s="16"/>
      <c r="G53" s="17"/>
      <c r="H53" s="17"/>
      <c r="I53" s="17"/>
      <c r="J53" s="17"/>
    </row>
    <row r="54" spans="1:10">
      <c r="B54" s="12"/>
      <c r="C54" s="12"/>
      <c r="D54" s="12"/>
      <c r="E54" s="12"/>
      <c r="F54" s="12"/>
      <c r="G54" s="13"/>
      <c r="H54" s="13"/>
      <c r="I54" s="13"/>
      <c r="J54" s="13"/>
    </row>
    <row r="55" spans="1:10" s="20" customFormat="1" ht="12.75" customHeight="1">
      <c r="B55" s="21"/>
      <c r="C55" s="21"/>
      <c r="D55" s="21"/>
      <c r="E55" s="21"/>
      <c r="F55" s="21"/>
      <c r="G55" s="22"/>
      <c r="H55" s="22"/>
      <c r="I55" s="22"/>
      <c r="J55" s="22"/>
    </row>
    <row r="56" spans="1:10">
      <c r="B56" s="8"/>
      <c r="C56" s="8"/>
      <c r="D56" s="8"/>
      <c r="E56" s="8"/>
      <c r="F56" s="8"/>
      <c r="G56" s="23"/>
      <c r="H56" s="24"/>
      <c r="I56" s="24"/>
      <c r="J56" s="24"/>
    </row>
    <row r="57" spans="1:10">
      <c r="B57" s="8"/>
      <c r="C57" s="8"/>
      <c r="D57" s="8"/>
      <c r="E57" s="8"/>
      <c r="F57" s="8"/>
      <c r="G57" s="25"/>
      <c r="H57" s="24"/>
      <c r="I57" s="24"/>
      <c r="J57" s="24"/>
    </row>
    <row r="58" spans="1:10">
      <c r="B58" s="8"/>
      <c r="C58" s="8"/>
      <c r="D58" s="8"/>
      <c r="E58" s="8"/>
      <c r="F58" s="8"/>
      <c r="G58" s="23"/>
      <c r="H58" s="24"/>
      <c r="I58" s="24"/>
      <c r="J58" s="24"/>
    </row>
    <row r="59" spans="1:10">
      <c r="A59" s="16"/>
      <c r="B59" s="16"/>
      <c r="C59" s="16"/>
      <c r="D59" s="16"/>
      <c r="E59" s="16"/>
      <c r="F59" s="16"/>
      <c r="G59" s="16"/>
      <c r="H59" s="26"/>
      <c r="I59" s="26"/>
      <c r="J59" s="26"/>
    </row>
    <row r="60" spans="1:10">
      <c r="B60" s="16"/>
      <c r="C60" s="16"/>
      <c r="D60" s="16"/>
      <c r="E60" s="16"/>
      <c r="F60" s="16"/>
      <c r="G60" s="18"/>
      <c r="H60" s="18"/>
      <c r="I60" s="18"/>
      <c r="J60" s="18"/>
    </row>
    <row r="61" spans="1:10">
      <c r="B61" s="12"/>
      <c r="C61" s="12"/>
      <c r="D61" s="12"/>
      <c r="E61" s="12"/>
      <c r="F61" s="12"/>
      <c r="G61" s="13"/>
      <c r="H61" s="13"/>
      <c r="I61" s="13"/>
      <c r="J61" s="13"/>
    </row>
    <row r="62" spans="1:10">
      <c r="B62" s="7"/>
      <c r="C62" s="7"/>
      <c r="D62" s="7"/>
      <c r="E62" s="7"/>
      <c r="F62" s="7"/>
      <c r="G62" s="14"/>
      <c r="H62" s="14"/>
      <c r="I62" s="14"/>
      <c r="J62" s="14"/>
    </row>
    <row r="63" spans="1:10">
      <c r="B63" s="7"/>
      <c r="C63" s="7"/>
      <c r="D63" s="7"/>
      <c r="E63" s="7"/>
      <c r="F63" s="7"/>
      <c r="G63" s="15"/>
      <c r="H63" s="15"/>
      <c r="I63" s="15"/>
      <c r="J63" s="15"/>
    </row>
    <row r="64" spans="1:10">
      <c r="B64" s="7"/>
      <c r="C64" s="7"/>
      <c r="D64" s="7"/>
      <c r="E64" s="7"/>
      <c r="F64" s="7"/>
      <c r="G64" s="15"/>
      <c r="H64" s="15"/>
      <c r="I64" s="15"/>
      <c r="J64" s="15"/>
    </row>
    <row r="65" spans="2:10">
      <c r="B65" s="16"/>
      <c r="C65" s="16"/>
      <c r="D65" s="16"/>
      <c r="E65" s="16"/>
      <c r="F65" s="16"/>
      <c r="G65" s="18"/>
      <c r="H65" s="18"/>
      <c r="I65" s="18"/>
      <c r="J65" s="18"/>
    </row>
    <row r="66" spans="2:10">
      <c r="B66" s="27"/>
      <c r="C66" s="27"/>
      <c r="D66" s="27"/>
      <c r="E66" s="27"/>
      <c r="F66" s="27"/>
      <c r="G66" s="13"/>
      <c r="H66" s="13"/>
      <c r="I66" s="13"/>
      <c r="J66" s="13"/>
    </row>
    <row r="67" spans="2:10">
      <c r="B67" s="28"/>
      <c r="C67" s="28"/>
      <c r="D67" s="28"/>
      <c r="E67" s="28"/>
      <c r="F67" s="28"/>
      <c r="G67" s="14"/>
      <c r="H67" s="14"/>
      <c r="I67" s="14"/>
      <c r="J67" s="14"/>
    </row>
    <row r="68" spans="2:10">
      <c r="G68" s="15"/>
      <c r="H68" s="15"/>
      <c r="I68" s="15"/>
      <c r="J68" s="15"/>
    </row>
    <row r="69" spans="2:10">
      <c r="G69" s="15"/>
      <c r="H69" s="15"/>
      <c r="I69" s="15"/>
      <c r="J69" s="15"/>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9"/>
      <c r="B91" s="29"/>
      <c r="C91" s="29"/>
      <c r="D91" s="29"/>
    </row>
    <row r="92" spans="1:4">
      <c r="A92" s="29"/>
      <c r="B92" s="29"/>
      <c r="C92" s="29"/>
      <c r="D92" s="29"/>
    </row>
    <row r="93" spans="1:4">
      <c r="A93" s="29"/>
      <c r="B93" s="29"/>
      <c r="C93" s="29"/>
      <c r="D93" s="29"/>
    </row>
    <row r="94" spans="1:4">
      <c r="A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sheetData>
  <sheetProtection algorithmName="SHA-512" hashValue="5sPtE7kOpvhT16VUGL+IVpVX/KsXfmHluHlF3Y3/nOIIHuEIwHbfnNfn/6jDWlEYLsnn8Bjo8xMV+uIsyGMC9Q==" saltValue="Zq/28m8U0vaB4fUKbS/nbQ==" spinCount="100000" sheet="1" objects="1" scenarios="1"/>
  <mergeCells count="11">
    <mergeCell ref="A2:D2"/>
    <mergeCell ref="D32:K32"/>
    <mergeCell ref="C7:D7"/>
    <mergeCell ref="A9:A10"/>
    <mergeCell ref="B9:B10"/>
    <mergeCell ref="C9:C10"/>
    <mergeCell ref="D9:G9"/>
    <mergeCell ref="H9:K9"/>
    <mergeCell ref="D29:K29"/>
    <mergeCell ref="D30:K30"/>
    <mergeCell ref="D31:K31"/>
  </mergeCells>
  <dataValidations count="2">
    <dataValidation type="list" allowBlank="1" showInputMessage="1" showErrorMessage="1" sqref="WVK983022:WVL983022 C65518:D65518 IY65518:IZ65518 SU65518:SV65518 ACQ65518:ACR65518 AMM65518:AMN65518 AWI65518:AWJ65518 BGE65518:BGF65518 BQA65518:BQB65518 BZW65518:BZX65518 CJS65518:CJT65518 CTO65518:CTP65518 DDK65518:DDL65518 DNG65518:DNH65518 DXC65518:DXD65518 EGY65518:EGZ65518 EQU65518:EQV65518 FAQ65518:FAR65518 FKM65518:FKN65518 FUI65518:FUJ65518 GEE65518:GEF65518 GOA65518:GOB65518 GXW65518:GXX65518 HHS65518:HHT65518 HRO65518:HRP65518 IBK65518:IBL65518 ILG65518:ILH65518 IVC65518:IVD65518 JEY65518:JEZ65518 JOU65518:JOV65518 JYQ65518:JYR65518 KIM65518:KIN65518 KSI65518:KSJ65518 LCE65518:LCF65518 LMA65518:LMB65518 LVW65518:LVX65518 MFS65518:MFT65518 MPO65518:MPP65518 MZK65518:MZL65518 NJG65518:NJH65518 NTC65518:NTD65518 OCY65518:OCZ65518 OMU65518:OMV65518 OWQ65518:OWR65518 PGM65518:PGN65518 PQI65518:PQJ65518 QAE65518:QAF65518 QKA65518:QKB65518 QTW65518:QTX65518 RDS65518:RDT65518 RNO65518:RNP65518 RXK65518:RXL65518 SHG65518:SHH65518 SRC65518:SRD65518 TAY65518:TAZ65518 TKU65518:TKV65518 TUQ65518:TUR65518 UEM65518:UEN65518 UOI65518:UOJ65518 UYE65518:UYF65518 VIA65518:VIB65518 VRW65518:VRX65518 WBS65518:WBT65518 WLO65518:WLP65518 WVK65518:WVL65518 C131054:D131054 IY131054:IZ131054 SU131054:SV131054 ACQ131054:ACR131054 AMM131054:AMN131054 AWI131054:AWJ131054 BGE131054:BGF131054 BQA131054:BQB131054 BZW131054:BZX131054 CJS131054:CJT131054 CTO131054:CTP131054 DDK131054:DDL131054 DNG131054:DNH131054 DXC131054:DXD131054 EGY131054:EGZ131054 EQU131054:EQV131054 FAQ131054:FAR131054 FKM131054:FKN131054 FUI131054:FUJ131054 GEE131054:GEF131054 GOA131054:GOB131054 GXW131054:GXX131054 HHS131054:HHT131054 HRO131054:HRP131054 IBK131054:IBL131054 ILG131054:ILH131054 IVC131054:IVD131054 JEY131054:JEZ131054 JOU131054:JOV131054 JYQ131054:JYR131054 KIM131054:KIN131054 KSI131054:KSJ131054 LCE131054:LCF131054 LMA131054:LMB131054 LVW131054:LVX131054 MFS131054:MFT131054 MPO131054:MPP131054 MZK131054:MZL131054 NJG131054:NJH131054 NTC131054:NTD131054 OCY131054:OCZ131054 OMU131054:OMV131054 OWQ131054:OWR131054 PGM131054:PGN131054 PQI131054:PQJ131054 QAE131054:QAF131054 QKA131054:QKB131054 QTW131054:QTX131054 RDS131054:RDT131054 RNO131054:RNP131054 RXK131054:RXL131054 SHG131054:SHH131054 SRC131054:SRD131054 TAY131054:TAZ131054 TKU131054:TKV131054 TUQ131054:TUR131054 UEM131054:UEN131054 UOI131054:UOJ131054 UYE131054:UYF131054 VIA131054:VIB131054 VRW131054:VRX131054 WBS131054:WBT131054 WLO131054:WLP131054 WVK131054:WVL131054 C196590:D196590 IY196590:IZ196590 SU196590:SV196590 ACQ196590:ACR196590 AMM196590:AMN196590 AWI196590:AWJ196590 BGE196590:BGF196590 BQA196590:BQB196590 BZW196590:BZX196590 CJS196590:CJT196590 CTO196590:CTP196590 DDK196590:DDL196590 DNG196590:DNH196590 DXC196590:DXD196590 EGY196590:EGZ196590 EQU196590:EQV196590 FAQ196590:FAR196590 FKM196590:FKN196590 FUI196590:FUJ196590 GEE196590:GEF196590 GOA196590:GOB196590 GXW196590:GXX196590 HHS196590:HHT196590 HRO196590:HRP196590 IBK196590:IBL196590 ILG196590:ILH196590 IVC196590:IVD196590 JEY196590:JEZ196590 JOU196590:JOV196590 JYQ196590:JYR196590 KIM196590:KIN196590 KSI196590:KSJ196590 LCE196590:LCF196590 LMA196590:LMB196590 LVW196590:LVX196590 MFS196590:MFT196590 MPO196590:MPP196590 MZK196590:MZL196590 NJG196590:NJH196590 NTC196590:NTD196590 OCY196590:OCZ196590 OMU196590:OMV196590 OWQ196590:OWR196590 PGM196590:PGN196590 PQI196590:PQJ196590 QAE196590:QAF196590 QKA196590:QKB196590 QTW196590:QTX196590 RDS196590:RDT196590 RNO196590:RNP196590 RXK196590:RXL196590 SHG196590:SHH196590 SRC196590:SRD196590 TAY196590:TAZ196590 TKU196590:TKV196590 TUQ196590:TUR196590 UEM196590:UEN196590 UOI196590:UOJ196590 UYE196590:UYF196590 VIA196590:VIB196590 VRW196590:VRX196590 WBS196590:WBT196590 WLO196590:WLP196590 WVK196590:WVL196590 C262126:D262126 IY262126:IZ262126 SU262126:SV262126 ACQ262126:ACR262126 AMM262126:AMN262126 AWI262126:AWJ262126 BGE262126:BGF262126 BQA262126:BQB262126 BZW262126:BZX262126 CJS262126:CJT262126 CTO262126:CTP262126 DDK262126:DDL262126 DNG262126:DNH262126 DXC262126:DXD262126 EGY262126:EGZ262126 EQU262126:EQV262126 FAQ262126:FAR262126 FKM262126:FKN262126 FUI262126:FUJ262126 GEE262126:GEF262126 GOA262126:GOB262126 GXW262126:GXX262126 HHS262126:HHT262126 HRO262126:HRP262126 IBK262126:IBL262126 ILG262126:ILH262126 IVC262126:IVD262126 JEY262126:JEZ262126 JOU262126:JOV262126 JYQ262126:JYR262126 KIM262126:KIN262126 KSI262126:KSJ262126 LCE262126:LCF262126 LMA262126:LMB262126 LVW262126:LVX262126 MFS262126:MFT262126 MPO262126:MPP262126 MZK262126:MZL262126 NJG262126:NJH262126 NTC262126:NTD262126 OCY262126:OCZ262126 OMU262126:OMV262126 OWQ262126:OWR262126 PGM262126:PGN262126 PQI262126:PQJ262126 QAE262126:QAF262126 QKA262126:QKB262126 QTW262126:QTX262126 RDS262126:RDT262126 RNO262126:RNP262126 RXK262126:RXL262126 SHG262126:SHH262126 SRC262126:SRD262126 TAY262126:TAZ262126 TKU262126:TKV262126 TUQ262126:TUR262126 UEM262126:UEN262126 UOI262126:UOJ262126 UYE262126:UYF262126 VIA262126:VIB262126 VRW262126:VRX262126 WBS262126:WBT262126 WLO262126:WLP262126 WVK262126:WVL262126 C327662:D327662 IY327662:IZ327662 SU327662:SV327662 ACQ327662:ACR327662 AMM327662:AMN327662 AWI327662:AWJ327662 BGE327662:BGF327662 BQA327662:BQB327662 BZW327662:BZX327662 CJS327662:CJT327662 CTO327662:CTP327662 DDK327662:DDL327662 DNG327662:DNH327662 DXC327662:DXD327662 EGY327662:EGZ327662 EQU327662:EQV327662 FAQ327662:FAR327662 FKM327662:FKN327662 FUI327662:FUJ327662 GEE327662:GEF327662 GOA327662:GOB327662 GXW327662:GXX327662 HHS327662:HHT327662 HRO327662:HRP327662 IBK327662:IBL327662 ILG327662:ILH327662 IVC327662:IVD327662 JEY327662:JEZ327662 JOU327662:JOV327662 JYQ327662:JYR327662 KIM327662:KIN327662 KSI327662:KSJ327662 LCE327662:LCF327662 LMA327662:LMB327662 LVW327662:LVX327662 MFS327662:MFT327662 MPO327662:MPP327662 MZK327662:MZL327662 NJG327662:NJH327662 NTC327662:NTD327662 OCY327662:OCZ327662 OMU327662:OMV327662 OWQ327662:OWR327662 PGM327662:PGN327662 PQI327662:PQJ327662 QAE327662:QAF327662 QKA327662:QKB327662 QTW327662:QTX327662 RDS327662:RDT327662 RNO327662:RNP327662 RXK327662:RXL327662 SHG327662:SHH327662 SRC327662:SRD327662 TAY327662:TAZ327662 TKU327662:TKV327662 TUQ327662:TUR327662 UEM327662:UEN327662 UOI327662:UOJ327662 UYE327662:UYF327662 VIA327662:VIB327662 VRW327662:VRX327662 WBS327662:WBT327662 WLO327662:WLP327662 WVK327662:WVL327662 C393198:D393198 IY393198:IZ393198 SU393198:SV393198 ACQ393198:ACR393198 AMM393198:AMN393198 AWI393198:AWJ393198 BGE393198:BGF393198 BQA393198:BQB393198 BZW393198:BZX393198 CJS393198:CJT393198 CTO393198:CTP393198 DDK393198:DDL393198 DNG393198:DNH393198 DXC393198:DXD393198 EGY393198:EGZ393198 EQU393198:EQV393198 FAQ393198:FAR393198 FKM393198:FKN393198 FUI393198:FUJ393198 GEE393198:GEF393198 GOA393198:GOB393198 GXW393198:GXX393198 HHS393198:HHT393198 HRO393198:HRP393198 IBK393198:IBL393198 ILG393198:ILH393198 IVC393198:IVD393198 JEY393198:JEZ393198 JOU393198:JOV393198 JYQ393198:JYR393198 KIM393198:KIN393198 KSI393198:KSJ393198 LCE393198:LCF393198 LMA393198:LMB393198 LVW393198:LVX393198 MFS393198:MFT393198 MPO393198:MPP393198 MZK393198:MZL393198 NJG393198:NJH393198 NTC393198:NTD393198 OCY393198:OCZ393198 OMU393198:OMV393198 OWQ393198:OWR393198 PGM393198:PGN393198 PQI393198:PQJ393198 QAE393198:QAF393198 QKA393198:QKB393198 QTW393198:QTX393198 RDS393198:RDT393198 RNO393198:RNP393198 RXK393198:RXL393198 SHG393198:SHH393198 SRC393198:SRD393198 TAY393198:TAZ393198 TKU393198:TKV393198 TUQ393198:TUR393198 UEM393198:UEN393198 UOI393198:UOJ393198 UYE393198:UYF393198 VIA393198:VIB393198 VRW393198:VRX393198 WBS393198:WBT393198 WLO393198:WLP393198 WVK393198:WVL393198 C458734:D458734 IY458734:IZ458734 SU458734:SV458734 ACQ458734:ACR458734 AMM458734:AMN458734 AWI458734:AWJ458734 BGE458734:BGF458734 BQA458734:BQB458734 BZW458734:BZX458734 CJS458734:CJT458734 CTO458734:CTP458734 DDK458734:DDL458734 DNG458734:DNH458734 DXC458734:DXD458734 EGY458734:EGZ458734 EQU458734:EQV458734 FAQ458734:FAR458734 FKM458734:FKN458734 FUI458734:FUJ458734 GEE458734:GEF458734 GOA458734:GOB458734 GXW458734:GXX458734 HHS458734:HHT458734 HRO458734:HRP458734 IBK458734:IBL458734 ILG458734:ILH458734 IVC458734:IVD458734 JEY458734:JEZ458734 JOU458734:JOV458734 JYQ458734:JYR458734 KIM458734:KIN458734 KSI458734:KSJ458734 LCE458734:LCF458734 LMA458734:LMB458734 LVW458734:LVX458734 MFS458734:MFT458734 MPO458734:MPP458734 MZK458734:MZL458734 NJG458734:NJH458734 NTC458734:NTD458734 OCY458734:OCZ458734 OMU458734:OMV458734 OWQ458734:OWR458734 PGM458734:PGN458734 PQI458734:PQJ458734 QAE458734:QAF458734 QKA458734:QKB458734 QTW458734:QTX458734 RDS458734:RDT458734 RNO458734:RNP458734 RXK458734:RXL458734 SHG458734:SHH458734 SRC458734:SRD458734 TAY458734:TAZ458734 TKU458734:TKV458734 TUQ458734:TUR458734 UEM458734:UEN458734 UOI458734:UOJ458734 UYE458734:UYF458734 VIA458734:VIB458734 VRW458734:VRX458734 WBS458734:WBT458734 WLO458734:WLP458734 WVK458734:WVL458734 C524270:D524270 IY524270:IZ524270 SU524270:SV524270 ACQ524270:ACR524270 AMM524270:AMN524270 AWI524270:AWJ524270 BGE524270:BGF524270 BQA524270:BQB524270 BZW524270:BZX524270 CJS524270:CJT524270 CTO524270:CTP524270 DDK524270:DDL524270 DNG524270:DNH524270 DXC524270:DXD524270 EGY524270:EGZ524270 EQU524270:EQV524270 FAQ524270:FAR524270 FKM524270:FKN524270 FUI524270:FUJ524270 GEE524270:GEF524270 GOA524270:GOB524270 GXW524270:GXX524270 HHS524270:HHT524270 HRO524270:HRP524270 IBK524270:IBL524270 ILG524270:ILH524270 IVC524270:IVD524270 JEY524270:JEZ524270 JOU524270:JOV524270 JYQ524270:JYR524270 KIM524270:KIN524270 KSI524270:KSJ524270 LCE524270:LCF524270 LMA524270:LMB524270 LVW524270:LVX524270 MFS524270:MFT524270 MPO524270:MPP524270 MZK524270:MZL524270 NJG524270:NJH524270 NTC524270:NTD524270 OCY524270:OCZ524270 OMU524270:OMV524270 OWQ524270:OWR524270 PGM524270:PGN524270 PQI524270:PQJ524270 QAE524270:QAF524270 QKA524270:QKB524270 QTW524270:QTX524270 RDS524270:RDT524270 RNO524270:RNP524270 RXK524270:RXL524270 SHG524270:SHH524270 SRC524270:SRD524270 TAY524270:TAZ524270 TKU524270:TKV524270 TUQ524270:TUR524270 UEM524270:UEN524270 UOI524270:UOJ524270 UYE524270:UYF524270 VIA524270:VIB524270 VRW524270:VRX524270 WBS524270:WBT524270 WLO524270:WLP524270 WVK524270:WVL524270 C589806:D589806 IY589806:IZ589806 SU589806:SV589806 ACQ589806:ACR589806 AMM589806:AMN589806 AWI589806:AWJ589806 BGE589806:BGF589806 BQA589806:BQB589806 BZW589806:BZX589806 CJS589806:CJT589806 CTO589806:CTP589806 DDK589806:DDL589806 DNG589806:DNH589806 DXC589806:DXD589806 EGY589806:EGZ589806 EQU589806:EQV589806 FAQ589806:FAR589806 FKM589806:FKN589806 FUI589806:FUJ589806 GEE589806:GEF589806 GOA589806:GOB589806 GXW589806:GXX589806 HHS589806:HHT589806 HRO589806:HRP589806 IBK589806:IBL589806 ILG589806:ILH589806 IVC589806:IVD589806 JEY589806:JEZ589806 JOU589806:JOV589806 JYQ589806:JYR589806 KIM589806:KIN589806 KSI589806:KSJ589806 LCE589806:LCF589806 LMA589806:LMB589806 LVW589806:LVX589806 MFS589806:MFT589806 MPO589806:MPP589806 MZK589806:MZL589806 NJG589806:NJH589806 NTC589806:NTD589806 OCY589806:OCZ589806 OMU589806:OMV589806 OWQ589806:OWR589806 PGM589806:PGN589806 PQI589806:PQJ589806 QAE589806:QAF589806 QKA589806:QKB589806 QTW589806:QTX589806 RDS589806:RDT589806 RNO589806:RNP589806 RXK589806:RXL589806 SHG589806:SHH589806 SRC589806:SRD589806 TAY589806:TAZ589806 TKU589806:TKV589806 TUQ589806:TUR589806 UEM589806:UEN589806 UOI589806:UOJ589806 UYE589806:UYF589806 VIA589806:VIB589806 VRW589806:VRX589806 WBS589806:WBT589806 WLO589806:WLP589806 WVK589806:WVL589806 C655342:D655342 IY655342:IZ655342 SU655342:SV655342 ACQ655342:ACR655342 AMM655342:AMN655342 AWI655342:AWJ655342 BGE655342:BGF655342 BQA655342:BQB655342 BZW655342:BZX655342 CJS655342:CJT655342 CTO655342:CTP655342 DDK655342:DDL655342 DNG655342:DNH655342 DXC655342:DXD655342 EGY655342:EGZ655342 EQU655342:EQV655342 FAQ655342:FAR655342 FKM655342:FKN655342 FUI655342:FUJ655342 GEE655342:GEF655342 GOA655342:GOB655342 GXW655342:GXX655342 HHS655342:HHT655342 HRO655342:HRP655342 IBK655342:IBL655342 ILG655342:ILH655342 IVC655342:IVD655342 JEY655342:JEZ655342 JOU655342:JOV655342 JYQ655342:JYR655342 KIM655342:KIN655342 KSI655342:KSJ655342 LCE655342:LCF655342 LMA655342:LMB655342 LVW655342:LVX655342 MFS655342:MFT655342 MPO655342:MPP655342 MZK655342:MZL655342 NJG655342:NJH655342 NTC655342:NTD655342 OCY655342:OCZ655342 OMU655342:OMV655342 OWQ655342:OWR655342 PGM655342:PGN655342 PQI655342:PQJ655342 QAE655342:QAF655342 QKA655342:QKB655342 QTW655342:QTX655342 RDS655342:RDT655342 RNO655342:RNP655342 RXK655342:RXL655342 SHG655342:SHH655342 SRC655342:SRD655342 TAY655342:TAZ655342 TKU655342:TKV655342 TUQ655342:TUR655342 UEM655342:UEN655342 UOI655342:UOJ655342 UYE655342:UYF655342 VIA655342:VIB655342 VRW655342:VRX655342 WBS655342:WBT655342 WLO655342:WLP655342 WVK655342:WVL655342 C720878:D720878 IY720878:IZ720878 SU720878:SV720878 ACQ720878:ACR720878 AMM720878:AMN720878 AWI720878:AWJ720878 BGE720878:BGF720878 BQA720878:BQB720878 BZW720878:BZX720878 CJS720878:CJT720878 CTO720878:CTP720878 DDK720878:DDL720878 DNG720878:DNH720878 DXC720878:DXD720878 EGY720878:EGZ720878 EQU720878:EQV720878 FAQ720878:FAR720878 FKM720878:FKN720878 FUI720878:FUJ720878 GEE720878:GEF720878 GOA720878:GOB720878 GXW720878:GXX720878 HHS720878:HHT720878 HRO720878:HRP720878 IBK720878:IBL720878 ILG720878:ILH720878 IVC720878:IVD720878 JEY720878:JEZ720878 JOU720878:JOV720878 JYQ720878:JYR720878 KIM720878:KIN720878 KSI720878:KSJ720878 LCE720878:LCF720878 LMA720878:LMB720878 LVW720878:LVX720878 MFS720878:MFT720878 MPO720878:MPP720878 MZK720878:MZL720878 NJG720878:NJH720878 NTC720878:NTD720878 OCY720878:OCZ720878 OMU720878:OMV720878 OWQ720878:OWR720878 PGM720878:PGN720878 PQI720878:PQJ720878 QAE720878:QAF720878 QKA720878:QKB720878 QTW720878:QTX720878 RDS720878:RDT720878 RNO720878:RNP720878 RXK720878:RXL720878 SHG720878:SHH720878 SRC720878:SRD720878 TAY720878:TAZ720878 TKU720878:TKV720878 TUQ720878:TUR720878 UEM720878:UEN720878 UOI720878:UOJ720878 UYE720878:UYF720878 VIA720878:VIB720878 VRW720878:VRX720878 WBS720878:WBT720878 WLO720878:WLP720878 WVK720878:WVL720878 C786414:D786414 IY786414:IZ786414 SU786414:SV786414 ACQ786414:ACR786414 AMM786414:AMN786414 AWI786414:AWJ786414 BGE786414:BGF786414 BQA786414:BQB786414 BZW786414:BZX786414 CJS786414:CJT786414 CTO786414:CTP786414 DDK786414:DDL786414 DNG786414:DNH786414 DXC786414:DXD786414 EGY786414:EGZ786414 EQU786414:EQV786414 FAQ786414:FAR786414 FKM786414:FKN786414 FUI786414:FUJ786414 GEE786414:GEF786414 GOA786414:GOB786414 GXW786414:GXX786414 HHS786414:HHT786414 HRO786414:HRP786414 IBK786414:IBL786414 ILG786414:ILH786414 IVC786414:IVD786414 JEY786414:JEZ786414 JOU786414:JOV786414 JYQ786414:JYR786414 KIM786414:KIN786414 KSI786414:KSJ786414 LCE786414:LCF786414 LMA786414:LMB786414 LVW786414:LVX786414 MFS786414:MFT786414 MPO786414:MPP786414 MZK786414:MZL786414 NJG786414:NJH786414 NTC786414:NTD786414 OCY786414:OCZ786414 OMU786414:OMV786414 OWQ786414:OWR786414 PGM786414:PGN786414 PQI786414:PQJ786414 QAE786414:QAF786414 QKA786414:QKB786414 QTW786414:QTX786414 RDS786414:RDT786414 RNO786414:RNP786414 RXK786414:RXL786414 SHG786414:SHH786414 SRC786414:SRD786414 TAY786414:TAZ786414 TKU786414:TKV786414 TUQ786414:TUR786414 UEM786414:UEN786414 UOI786414:UOJ786414 UYE786414:UYF786414 VIA786414:VIB786414 VRW786414:VRX786414 WBS786414:WBT786414 WLO786414:WLP786414 WVK786414:WVL786414 C851950:D851950 IY851950:IZ851950 SU851950:SV851950 ACQ851950:ACR851950 AMM851950:AMN851950 AWI851950:AWJ851950 BGE851950:BGF851950 BQA851950:BQB851950 BZW851950:BZX851950 CJS851950:CJT851950 CTO851950:CTP851950 DDK851950:DDL851950 DNG851950:DNH851950 DXC851950:DXD851950 EGY851950:EGZ851950 EQU851950:EQV851950 FAQ851950:FAR851950 FKM851950:FKN851950 FUI851950:FUJ851950 GEE851950:GEF851950 GOA851950:GOB851950 GXW851950:GXX851950 HHS851950:HHT851950 HRO851950:HRP851950 IBK851950:IBL851950 ILG851950:ILH851950 IVC851950:IVD851950 JEY851950:JEZ851950 JOU851950:JOV851950 JYQ851950:JYR851950 KIM851950:KIN851950 KSI851950:KSJ851950 LCE851950:LCF851950 LMA851950:LMB851950 LVW851950:LVX851950 MFS851950:MFT851950 MPO851950:MPP851950 MZK851950:MZL851950 NJG851950:NJH851950 NTC851950:NTD851950 OCY851950:OCZ851950 OMU851950:OMV851950 OWQ851950:OWR851950 PGM851950:PGN851950 PQI851950:PQJ851950 QAE851950:QAF851950 QKA851950:QKB851950 QTW851950:QTX851950 RDS851950:RDT851950 RNO851950:RNP851950 RXK851950:RXL851950 SHG851950:SHH851950 SRC851950:SRD851950 TAY851950:TAZ851950 TKU851950:TKV851950 TUQ851950:TUR851950 UEM851950:UEN851950 UOI851950:UOJ851950 UYE851950:UYF851950 VIA851950:VIB851950 VRW851950:VRX851950 WBS851950:WBT851950 WLO851950:WLP851950 WVK851950:WVL851950 C917486:D917486 IY917486:IZ917486 SU917486:SV917486 ACQ917486:ACR917486 AMM917486:AMN917486 AWI917486:AWJ917486 BGE917486:BGF917486 BQA917486:BQB917486 BZW917486:BZX917486 CJS917486:CJT917486 CTO917486:CTP917486 DDK917486:DDL917486 DNG917486:DNH917486 DXC917486:DXD917486 EGY917486:EGZ917486 EQU917486:EQV917486 FAQ917486:FAR917486 FKM917486:FKN917486 FUI917486:FUJ917486 GEE917486:GEF917486 GOA917486:GOB917486 GXW917486:GXX917486 HHS917486:HHT917486 HRO917486:HRP917486 IBK917486:IBL917486 ILG917486:ILH917486 IVC917486:IVD917486 JEY917486:JEZ917486 JOU917486:JOV917486 JYQ917486:JYR917486 KIM917486:KIN917486 KSI917486:KSJ917486 LCE917486:LCF917486 LMA917486:LMB917486 LVW917486:LVX917486 MFS917486:MFT917486 MPO917486:MPP917486 MZK917486:MZL917486 NJG917486:NJH917486 NTC917486:NTD917486 OCY917486:OCZ917486 OMU917486:OMV917486 OWQ917486:OWR917486 PGM917486:PGN917486 PQI917486:PQJ917486 QAE917486:QAF917486 QKA917486:QKB917486 QTW917486:QTX917486 RDS917486:RDT917486 RNO917486:RNP917486 RXK917486:RXL917486 SHG917486:SHH917486 SRC917486:SRD917486 TAY917486:TAZ917486 TKU917486:TKV917486 TUQ917486:TUR917486 UEM917486:UEN917486 UOI917486:UOJ917486 UYE917486:UYF917486 VIA917486:VIB917486 VRW917486:VRX917486 WBS917486:WBT917486 WLO917486:WLP917486 WVK917486:WVL917486 C983022:D983022 IY983022:IZ983022 SU983022:SV983022 ACQ983022:ACR983022 AMM983022:AMN983022 AWI983022:AWJ983022 BGE983022:BGF983022 BQA983022:BQB983022 BZW983022:BZX983022 CJS983022:CJT983022 CTO983022:CTP983022 DDK983022:DDL983022 DNG983022:DNH983022 DXC983022:DXD983022 EGY983022:EGZ983022 EQU983022:EQV983022 FAQ983022:FAR983022 FKM983022:FKN983022 FUI983022:FUJ983022 GEE983022:GEF983022 GOA983022:GOB983022 GXW983022:GXX983022 HHS983022:HHT983022 HRO983022:HRP983022 IBK983022:IBL983022 ILG983022:ILH983022 IVC983022:IVD983022 JEY983022:JEZ983022 JOU983022:JOV983022 JYQ983022:JYR983022 KIM983022:KIN983022 KSI983022:KSJ983022 LCE983022:LCF983022 LMA983022:LMB983022 LVW983022:LVX983022 MFS983022:MFT983022 MPO983022:MPP983022 MZK983022:MZL983022 NJG983022:NJH983022 NTC983022:NTD983022 OCY983022:OCZ983022 OMU983022:OMV983022 OWQ983022:OWR983022 PGM983022:PGN983022 PQI983022:PQJ983022 QAE983022:QAF983022 QKA983022:QKB983022 QTW983022:QTX983022 RDS983022:RDT983022 RNO983022:RNP983022 RXK983022:RXL983022 SHG983022:SHH983022 SRC983022:SRD983022 TAY983022:TAZ983022 TKU983022:TKV983022 TUQ983022:TUR983022 UEM983022:UEN983022 UOI983022:UOJ983022 UYE983022:UYF983022 VIA983022:VIB983022 VRW983022:VRX983022 WBS983022:WBT983022 WLO983022:WLP983022 WVK7:WVL7 WLO7:WLP7 WBS7:WBT7 VRW7:VRX7 VIA7:VIB7 UYE7:UYF7 UOI7:UOJ7 UEM7:UEN7 TUQ7:TUR7 TKU7:TKV7 TAY7:TAZ7 SRC7:SRD7 SHG7:SHH7 RXK7:RXL7 RNO7:RNP7 RDS7:RDT7 QTW7:QTX7 QKA7:QKB7 QAE7:QAF7 PQI7:PQJ7 PGM7:PGN7 OWQ7:OWR7 OMU7:OMV7 OCY7:OCZ7 NTC7:NTD7 NJG7:NJH7 MZK7:MZL7 MPO7:MPP7 MFS7:MFT7 LVW7:LVX7 LMA7:LMB7 LCE7:LCF7 KSI7:KSJ7 KIM7:KIN7 JYQ7:JYR7 JOU7:JOV7 JEY7:JEZ7 IVC7:IVD7 ILG7:ILH7 IBK7:IBL7 HRO7:HRP7 HHS7:HHT7 GXW7:GXX7 GOA7:GOB7 GEE7:GEF7 FUI7:FUJ7 FKM7:FKN7 FAQ7:FAR7 EQU7:EQV7 EGY7:EGZ7 DXC7:DXD7 DNG7:DNH7 DDK7:DDL7 CTO7:CTP7 CJS7:CJT7 BZW7:BZX7 BQA7:BQB7 BGE7:BGF7 AWI7:AWJ7 AMM7:AMN7 ACQ7:ACR7 SU7:SV7 IY7:IZ7">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M123"/>
  <sheetViews>
    <sheetView workbookViewId="0">
      <selection sqref="A1:K1"/>
    </sheetView>
  </sheetViews>
  <sheetFormatPr defaultRowHeight="15"/>
  <cols>
    <col min="1" max="1" width="22.5703125" style="6" customWidth="1"/>
    <col min="2" max="2" width="13.5703125" style="6" customWidth="1"/>
    <col min="3" max="3" width="15.140625" style="6" customWidth="1"/>
    <col min="4" max="4" width="11.5703125" style="6" customWidth="1"/>
    <col min="5" max="5" width="16.28515625" style="6" customWidth="1"/>
    <col min="6" max="7" width="14.5703125" style="6" customWidth="1"/>
    <col min="8" max="8" width="9.140625" style="6"/>
    <col min="9" max="9" width="14.42578125" style="6" customWidth="1"/>
    <col min="10" max="252" width="9.140625" style="6"/>
    <col min="253" max="253" width="18.28515625" style="6" customWidth="1"/>
    <col min="254" max="254" width="13.5703125" style="6" customWidth="1"/>
    <col min="255" max="255" width="15.140625" style="6" customWidth="1"/>
    <col min="256" max="256" width="12.85546875" style="6" customWidth="1"/>
    <col min="257" max="257" width="12.28515625" style="6" customWidth="1"/>
    <col min="258" max="258" width="12.42578125" style="6" customWidth="1"/>
    <col min="259" max="259" width="11.7109375" style="6" customWidth="1"/>
    <col min="260" max="262" width="14.5703125" style="6" customWidth="1"/>
    <col min="263" max="263" width="13.42578125" style="6" customWidth="1"/>
    <col min="264" max="508" width="9.140625" style="6"/>
    <col min="509" max="509" width="18.28515625" style="6" customWidth="1"/>
    <col min="510" max="510" width="13.5703125" style="6" customWidth="1"/>
    <col min="511" max="511" width="15.140625" style="6" customWidth="1"/>
    <col min="512" max="512" width="12.85546875" style="6" customWidth="1"/>
    <col min="513" max="513" width="12.28515625" style="6" customWidth="1"/>
    <col min="514" max="514" width="12.42578125" style="6" customWidth="1"/>
    <col min="515" max="515" width="11.7109375" style="6" customWidth="1"/>
    <col min="516" max="518" width="14.5703125" style="6" customWidth="1"/>
    <col min="519" max="519" width="13.42578125" style="6" customWidth="1"/>
    <col min="520" max="764" width="9.140625" style="6"/>
    <col min="765" max="765" width="18.28515625" style="6" customWidth="1"/>
    <col min="766" max="766" width="13.5703125" style="6" customWidth="1"/>
    <col min="767" max="767" width="15.140625" style="6" customWidth="1"/>
    <col min="768" max="768" width="12.85546875" style="6" customWidth="1"/>
    <col min="769" max="769" width="12.28515625" style="6" customWidth="1"/>
    <col min="770" max="770" width="12.42578125" style="6" customWidth="1"/>
    <col min="771" max="771" width="11.7109375" style="6" customWidth="1"/>
    <col min="772" max="774" width="14.5703125" style="6" customWidth="1"/>
    <col min="775" max="775" width="13.42578125" style="6" customWidth="1"/>
    <col min="776" max="1020" width="9.140625" style="6"/>
    <col min="1021" max="1021" width="18.28515625" style="6" customWidth="1"/>
    <col min="1022" max="1022" width="13.5703125" style="6" customWidth="1"/>
    <col min="1023" max="1023" width="15.140625" style="6" customWidth="1"/>
    <col min="1024" max="1024" width="12.85546875" style="6" customWidth="1"/>
    <col min="1025" max="1025" width="12.28515625" style="6" customWidth="1"/>
    <col min="1026" max="1026" width="12.42578125" style="6" customWidth="1"/>
    <col min="1027" max="1027" width="11.7109375" style="6" customWidth="1"/>
    <col min="1028" max="1030" width="14.5703125" style="6" customWidth="1"/>
    <col min="1031" max="1031" width="13.42578125" style="6" customWidth="1"/>
    <col min="1032" max="1276" width="9.140625" style="6"/>
    <col min="1277" max="1277" width="18.28515625" style="6" customWidth="1"/>
    <col min="1278" max="1278" width="13.5703125" style="6" customWidth="1"/>
    <col min="1279" max="1279" width="15.140625" style="6" customWidth="1"/>
    <col min="1280" max="1280" width="12.85546875" style="6" customWidth="1"/>
    <col min="1281" max="1281" width="12.28515625" style="6" customWidth="1"/>
    <col min="1282" max="1282" width="12.42578125" style="6" customWidth="1"/>
    <col min="1283" max="1283" width="11.7109375" style="6" customWidth="1"/>
    <col min="1284" max="1286" width="14.5703125" style="6" customWidth="1"/>
    <col min="1287" max="1287" width="13.42578125" style="6" customWidth="1"/>
    <col min="1288" max="1532" width="9.140625" style="6"/>
    <col min="1533" max="1533" width="18.28515625" style="6" customWidth="1"/>
    <col min="1534" max="1534" width="13.5703125" style="6" customWidth="1"/>
    <col min="1535" max="1535" width="15.140625" style="6" customWidth="1"/>
    <col min="1536" max="1536" width="12.85546875" style="6" customWidth="1"/>
    <col min="1537" max="1537" width="12.28515625" style="6" customWidth="1"/>
    <col min="1538" max="1538" width="12.42578125" style="6" customWidth="1"/>
    <col min="1539" max="1539" width="11.7109375" style="6" customWidth="1"/>
    <col min="1540" max="1542" width="14.5703125" style="6" customWidth="1"/>
    <col min="1543" max="1543" width="13.42578125" style="6" customWidth="1"/>
    <col min="1544" max="1788" width="9.140625" style="6"/>
    <col min="1789" max="1789" width="18.28515625" style="6" customWidth="1"/>
    <col min="1790" max="1790" width="13.5703125" style="6" customWidth="1"/>
    <col min="1791" max="1791" width="15.140625" style="6" customWidth="1"/>
    <col min="1792" max="1792" width="12.85546875" style="6" customWidth="1"/>
    <col min="1793" max="1793" width="12.28515625" style="6" customWidth="1"/>
    <col min="1794" max="1794" width="12.42578125" style="6" customWidth="1"/>
    <col min="1795" max="1795" width="11.7109375" style="6" customWidth="1"/>
    <col min="1796" max="1798" width="14.5703125" style="6" customWidth="1"/>
    <col min="1799" max="1799" width="13.42578125" style="6" customWidth="1"/>
    <col min="1800" max="2044" width="9.140625" style="6"/>
    <col min="2045" max="2045" width="18.28515625" style="6" customWidth="1"/>
    <col min="2046" max="2046" width="13.5703125" style="6" customWidth="1"/>
    <col min="2047" max="2047" width="15.140625" style="6" customWidth="1"/>
    <col min="2048" max="2048" width="12.85546875" style="6" customWidth="1"/>
    <col min="2049" max="2049" width="12.28515625" style="6" customWidth="1"/>
    <col min="2050" max="2050" width="12.42578125" style="6" customWidth="1"/>
    <col min="2051" max="2051" width="11.7109375" style="6" customWidth="1"/>
    <col min="2052" max="2054" width="14.5703125" style="6" customWidth="1"/>
    <col min="2055" max="2055" width="13.42578125" style="6" customWidth="1"/>
    <col min="2056" max="2300" width="9.140625" style="6"/>
    <col min="2301" max="2301" width="18.28515625" style="6" customWidth="1"/>
    <col min="2302" max="2302" width="13.5703125" style="6" customWidth="1"/>
    <col min="2303" max="2303" width="15.140625" style="6" customWidth="1"/>
    <col min="2304" max="2304" width="12.85546875" style="6" customWidth="1"/>
    <col min="2305" max="2305" width="12.28515625" style="6" customWidth="1"/>
    <col min="2306" max="2306" width="12.42578125" style="6" customWidth="1"/>
    <col min="2307" max="2307" width="11.7109375" style="6" customWidth="1"/>
    <col min="2308" max="2310" width="14.5703125" style="6" customWidth="1"/>
    <col min="2311" max="2311" width="13.42578125" style="6" customWidth="1"/>
    <col min="2312" max="2556" width="9.140625" style="6"/>
    <col min="2557" max="2557" width="18.28515625" style="6" customWidth="1"/>
    <col min="2558" max="2558" width="13.5703125" style="6" customWidth="1"/>
    <col min="2559" max="2559" width="15.140625" style="6" customWidth="1"/>
    <col min="2560" max="2560" width="12.85546875" style="6" customWidth="1"/>
    <col min="2561" max="2561" width="12.28515625" style="6" customWidth="1"/>
    <col min="2562" max="2562" width="12.42578125" style="6" customWidth="1"/>
    <col min="2563" max="2563" width="11.7109375" style="6" customWidth="1"/>
    <col min="2564" max="2566" width="14.5703125" style="6" customWidth="1"/>
    <col min="2567" max="2567" width="13.42578125" style="6" customWidth="1"/>
    <col min="2568" max="2812" width="9.140625" style="6"/>
    <col min="2813" max="2813" width="18.28515625" style="6" customWidth="1"/>
    <col min="2814" max="2814" width="13.5703125" style="6" customWidth="1"/>
    <col min="2815" max="2815" width="15.140625" style="6" customWidth="1"/>
    <col min="2816" max="2816" width="12.85546875" style="6" customWidth="1"/>
    <col min="2817" max="2817" width="12.28515625" style="6" customWidth="1"/>
    <col min="2818" max="2818" width="12.42578125" style="6" customWidth="1"/>
    <col min="2819" max="2819" width="11.7109375" style="6" customWidth="1"/>
    <col min="2820" max="2822" width="14.5703125" style="6" customWidth="1"/>
    <col min="2823" max="2823" width="13.42578125" style="6" customWidth="1"/>
    <col min="2824" max="3068" width="9.140625" style="6"/>
    <col min="3069" max="3069" width="18.28515625" style="6" customWidth="1"/>
    <col min="3070" max="3070" width="13.5703125" style="6" customWidth="1"/>
    <col min="3071" max="3071" width="15.140625" style="6" customWidth="1"/>
    <col min="3072" max="3072" width="12.85546875" style="6" customWidth="1"/>
    <col min="3073" max="3073" width="12.28515625" style="6" customWidth="1"/>
    <col min="3074" max="3074" width="12.42578125" style="6" customWidth="1"/>
    <col min="3075" max="3075" width="11.7109375" style="6" customWidth="1"/>
    <col min="3076" max="3078" width="14.5703125" style="6" customWidth="1"/>
    <col min="3079" max="3079" width="13.42578125" style="6" customWidth="1"/>
    <col min="3080" max="3324" width="9.140625" style="6"/>
    <col min="3325" max="3325" width="18.28515625" style="6" customWidth="1"/>
    <col min="3326" max="3326" width="13.5703125" style="6" customWidth="1"/>
    <col min="3327" max="3327" width="15.140625" style="6" customWidth="1"/>
    <col min="3328" max="3328" width="12.85546875" style="6" customWidth="1"/>
    <col min="3329" max="3329" width="12.28515625" style="6" customWidth="1"/>
    <col min="3330" max="3330" width="12.42578125" style="6" customWidth="1"/>
    <col min="3331" max="3331" width="11.7109375" style="6" customWidth="1"/>
    <col min="3332" max="3334" width="14.5703125" style="6" customWidth="1"/>
    <col min="3335" max="3335" width="13.42578125" style="6" customWidth="1"/>
    <col min="3336" max="3580" width="9.140625" style="6"/>
    <col min="3581" max="3581" width="18.28515625" style="6" customWidth="1"/>
    <col min="3582" max="3582" width="13.5703125" style="6" customWidth="1"/>
    <col min="3583" max="3583" width="15.140625" style="6" customWidth="1"/>
    <col min="3584" max="3584" width="12.85546875" style="6" customWidth="1"/>
    <col min="3585" max="3585" width="12.28515625" style="6" customWidth="1"/>
    <col min="3586" max="3586" width="12.42578125" style="6" customWidth="1"/>
    <col min="3587" max="3587" width="11.7109375" style="6" customWidth="1"/>
    <col min="3588" max="3590" width="14.5703125" style="6" customWidth="1"/>
    <col min="3591" max="3591" width="13.42578125" style="6" customWidth="1"/>
    <col min="3592" max="3836" width="9.140625" style="6"/>
    <col min="3837" max="3837" width="18.28515625" style="6" customWidth="1"/>
    <col min="3838" max="3838" width="13.5703125" style="6" customWidth="1"/>
    <col min="3839" max="3839" width="15.140625" style="6" customWidth="1"/>
    <col min="3840" max="3840" width="12.85546875" style="6" customWidth="1"/>
    <col min="3841" max="3841" width="12.28515625" style="6" customWidth="1"/>
    <col min="3842" max="3842" width="12.42578125" style="6" customWidth="1"/>
    <col min="3843" max="3843" width="11.7109375" style="6" customWidth="1"/>
    <col min="3844" max="3846" width="14.5703125" style="6" customWidth="1"/>
    <col min="3847" max="3847" width="13.42578125" style="6" customWidth="1"/>
    <col min="3848" max="4092" width="9.140625" style="6"/>
    <col min="4093" max="4093" width="18.28515625" style="6" customWidth="1"/>
    <col min="4094" max="4094" width="13.5703125" style="6" customWidth="1"/>
    <col min="4095" max="4095" width="15.140625" style="6" customWidth="1"/>
    <col min="4096" max="4096" width="12.85546875" style="6" customWidth="1"/>
    <col min="4097" max="4097" width="12.28515625" style="6" customWidth="1"/>
    <col min="4098" max="4098" width="12.42578125" style="6" customWidth="1"/>
    <col min="4099" max="4099" width="11.7109375" style="6" customWidth="1"/>
    <col min="4100" max="4102" width="14.5703125" style="6" customWidth="1"/>
    <col min="4103" max="4103" width="13.42578125" style="6" customWidth="1"/>
    <col min="4104" max="4348" width="9.140625" style="6"/>
    <col min="4349" max="4349" width="18.28515625" style="6" customWidth="1"/>
    <col min="4350" max="4350" width="13.5703125" style="6" customWidth="1"/>
    <col min="4351" max="4351" width="15.140625" style="6" customWidth="1"/>
    <col min="4352" max="4352" width="12.85546875" style="6" customWidth="1"/>
    <col min="4353" max="4353" width="12.28515625" style="6" customWidth="1"/>
    <col min="4354" max="4354" width="12.42578125" style="6" customWidth="1"/>
    <col min="4355" max="4355" width="11.7109375" style="6" customWidth="1"/>
    <col min="4356" max="4358" width="14.5703125" style="6" customWidth="1"/>
    <col min="4359" max="4359" width="13.42578125" style="6" customWidth="1"/>
    <col min="4360" max="4604" width="9.140625" style="6"/>
    <col min="4605" max="4605" width="18.28515625" style="6" customWidth="1"/>
    <col min="4606" max="4606" width="13.5703125" style="6" customWidth="1"/>
    <col min="4607" max="4607" width="15.140625" style="6" customWidth="1"/>
    <col min="4608" max="4608" width="12.85546875" style="6" customWidth="1"/>
    <col min="4609" max="4609" width="12.28515625" style="6" customWidth="1"/>
    <col min="4610" max="4610" width="12.42578125" style="6" customWidth="1"/>
    <col min="4611" max="4611" width="11.7109375" style="6" customWidth="1"/>
    <col min="4612" max="4614" width="14.5703125" style="6" customWidth="1"/>
    <col min="4615" max="4615" width="13.42578125" style="6" customWidth="1"/>
    <col min="4616" max="4860" width="9.140625" style="6"/>
    <col min="4861" max="4861" width="18.28515625" style="6" customWidth="1"/>
    <col min="4862" max="4862" width="13.5703125" style="6" customWidth="1"/>
    <col min="4863" max="4863" width="15.140625" style="6" customWidth="1"/>
    <col min="4864" max="4864" width="12.85546875" style="6" customWidth="1"/>
    <col min="4865" max="4865" width="12.28515625" style="6" customWidth="1"/>
    <col min="4866" max="4866" width="12.42578125" style="6" customWidth="1"/>
    <col min="4867" max="4867" width="11.7109375" style="6" customWidth="1"/>
    <col min="4868" max="4870" width="14.5703125" style="6" customWidth="1"/>
    <col min="4871" max="4871" width="13.42578125" style="6" customWidth="1"/>
    <col min="4872" max="5116" width="9.140625" style="6"/>
    <col min="5117" max="5117" width="18.28515625" style="6" customWidth="1"/>
    <col min="5118" max="5118" width="13.5703125" style="6" customWidth="1"/>
    <col min="5119" max="5119" width="15.140625" style="6" customWidth="1"/>
    <col min="5120" max="5120" width="12.85546875" style="6" customWidth="1"/>
    <col min="5121" max="5121" width="12.28515625" style="6" customWidth="1"/>
    <col min="5122" max="5122" width="12.42578125" style="6" customWidth="1"/>
    <col min="5123" max="5123" width="11.7109375" style="6" customWidth="1"/>
    <col min="5124" max="5126" width="14.5703125" style="6" customWidth="1"/>
    <col min="5127" max="5127" width="13.42578125" style="6" customWidth="1"/>
    <col min="5128" max="5372" width="9.140625" style="6"/>
    <col min="5373" max="5373" width="18.28515625" style="6" customWidth="1"/>
    <col min="5374" max="5374" width="13.5703125" style="6" customWidth="1"/>
    <col min="5375" max="5375" width="15.140625" style="6" customWidth="1"/>
    <col min="5376" max="5376" width="12.85546875" style="6" customWidth="1"/>
    <col min="5377" max="5377" width="12.28515625" style="6" customWidth="1"/>
    <col min="5378" max="5378" width="12.42578125" style="6" customWidth="1"/>
    <col min="5379" max="5379" width="11.7109375" style="6" customWidth="1"/>
    <col min="5380" max="5382" width="14.5703125" style="6" customWidth="1"/>
    <col min="5383" max="5383" width="13.42578125" style="6" customWidth="1"/>
    <col min="5384" max="5628" width="9.140625" style="6"/>
    <col min="5629" max="5629" width="18.28515625" style="6" customWidth="1"/>
    <col min="5630" max="5630" width="13.5703125" style="6" customWidth="1"/>
    <col min="5631" max="5631" width="15.140625" style="6" customWidth="1"/>
    <col min="5632" max="5632" width="12.85546875" style="6" customWidth="1"/>
    <col min="5633" max="5633" width="12.28515625" style="6" customWidth="1"/>
    <col min="5634" max="5634" width="12.42578125" style="6" customWidth="1"/>
    <col min="5635" max="5635" width="11.7109375" style="6" customWidth="1"/>
    <col min="5636" max="5638" width="14.5703125" style="6" customWidth="1"/>
    <col min="5639" max="5639" width="13.42578125" style="6" customWidth="1"/>
    <col min="5640" max="5884" width="9.140625" style="6"/>
    <col min="5885" max="5885" width="18.28515625" style="6" customWidth="1"/>
    <col min="5886" max="5886" width="13.5703125" style="6" customWidth="1"/>
    <col min="5887" max="5887" width="15.140625" style="6" customWidth="1"/>
    <col min="5888" max="5888" width="12.85546875" style="6" customWidth="1"/>
    <col min="5889" max="5889" width="12.28515625" style="6" customWidth="1"/>
    <col min="5890" max="5890" width="12.42578125" style="6" customWidth="1"/>
    <col min="5891" max="5891" width="11.7109375" style="6" customWidth="1"/>
    <col min="5892" max="5894" width="14.5703125" style="6" customWidth="1"/>
    <col min="5895" max="5895" width="13.42578125" style="6" customWidth="1"/>
    <col min="5896" max="6140" width="9.140625" style="6"/>
    <col min="6141" max="6141" width="18.28515625" style="6" customWidth="1"/>
    <col min="6142" max="6142" width="13.5703125" style="6" customWidth="1"/>
    <col min="6143" max="6143" width="15.140625" style="6" customWidth="1"/>
    <col min="6144" max="6144" width="12.85546875" style="6" customWidth="1"/>
    <col min="6145" max="6145" width="12.28515625" style="6" customWidth="1"/>
    <col min="6146" max="6146" width="12.42578125" style="6" customWidth="1"/>
    <col min="6147" max="6147" width="11.7109375" style="6" customWidth="1"/>
    <col min="6148" max="6150" width="14.5703125" style="6" customWidth="1"/>
    <col min="6151" max="6151" width="13.42578125" style="6" customWidth="1"/>
    <col min="6152" max="6396" width="9.140625" style="6"/>
    <col min="6397" max="6397" width="18.28515625" style="6" customWidth="1"/>
    <col min="6398" max="6398" width="13.5703125" style="6" customWidth="1"/>
    <col min="6399" max="6399" width="15.140625" style="6" customWidth="1"/>
    <col min="6400" max="6400" width="12.85546875" style="6" customWidth="1"/>
    <col min="6401" max="6401" width="12.28515625" style="6" customWidth="1"/>
    <col min="6402" max="6402" width="12.42578125" style="6" customWidth="1"/>
    <col min="6403" max="6403" width="11.7109375" style="6" customWidth="1"/>
    <col min="6404" max="6406" width="14.5703125" style="6" customWidth="1"/>
    <col min="6407" max="6407" width="13.42578125" style="6" customWidth="1"/>
    <col min="6408" max="6652" width="9.140625" style="6"/>
    <col min="6653" max="6653" width="18.28515625" style="6" customWidth="1"/>
    <col min="6654" max="6654" width="13.5703125" style="6" customWidth="1"/>
    <col min="6655" max="6655" width="15.140625" style="6" customWidth="1"/>
    <col min="6656" max="6656" width="12.85546875" style="6" customWidth="1"/>
    <col min="6657" max="6657" width="12.28515625" style="6" customWidth="1"/>
    <col min="6658" max="6658" width="12.42578125" style="6" customWidth="1"/>
    <col min="6659" max="6659" width="11.7109375" style="6" customWidth="1"/>
    <col min="6660" max="6662" width="14.5703125" style="6" customWidth="1"/>
    <col min="6663" max="6663" width="13.42578125" style="6" customWidth="1"/>
    <col min="6664" max="6908" width="9.140625" style="6"/>
    <col min="6909" max="6909" width="18.28515625" style="6" customWidth="1"/>
    <col min="6910" max="6910" width="13.5703125" style="6" customWidth="1"/>
    <col min="6911" max="6911" width="15.140625" style="6" customWidth="1"/>
    <col min="6912" max="6912" width="12.85546875" style="6" customWidth="1"/>
    <col min="6913" max="6913" width="12.28515625" style="6" customWidth="1"/>
    <col min="6914" max="6914" width="12.42578125" style="6" customWidth="1"/>
    <col min="6915" max="6915" width="11.7109375" style="6" customWidth="1"/>
    <col min="6916" max="6918" width="14.5703125" style="6" customWidth="1"/>
    <col min="6919" max="6919" width="13.42578125" style="6" customWidth="1"/>
    <col min="6920" max="7164" width="9.140625" style="6"/>
    <col min="7165" max="7165" width="18.28515625" style="6" customWidth="1"/>
    <col min="7166" max="7166" width="13.5703125" style="6" customWidth="1"/>
    <col min="7167" max="7167" width="15.140625" style="6" customWidth="1"/>
    <col min="7168" max="7168" width="12.85546875" style="6" customWidth="1"/>
    <col min="7169" max="7169" width="12.28515625" style="6" customWidth="1"/>
    <col min="7170" max="7170" width="12.42578125" style="6" customWidth="1"/>
    <col min="7171" max="7171" width="11.7109375" style="6" customWidth="1"/>
    <col min="7172" max="7174" width="14.5703125" style="6" customWidth="1"/>
    <col min="7175" max="7175" width="13.42578125" style="6" customWidth="1"/>
    <col min="7176" max="7420" width="9.140625" style="6"/>
    <col min="7421" max="7421" width="18.28515625" style="6" customWidth="1"/>
    <col min="7422" max="7422" width="13.5703125" style="6" customWidth="1"/>
    <col min="7423" max="7423" width="15.140625" style="6" customWidth="1"/>
    <col min="7424" max="7424" width="12.85546875" style="6" customWidth="1"/>
    <col min="7425" max="7425" width="12.28515625" style="6" customWidth="1"/>
    <col min="7426" max="7426" width="12.42578125" style="6" customWidth="1"/>
    <col min="7427" max="7427" width="11.7109375" style="6" customWidth="1"/>
    <col min="7428" max="7430" width="14.5703125" style="6" customWidth="1"/>
    <col min="7431" max="7431" width="13.42578125" style="6" customWidth="1"/>
    <col min="7432" max="7676" width="9.140625" style="6"/>
    <col min="7677" max="7677" width="18.28515625" style="6" customWidth="1"/>
    <col min="7678" max="7678" width="13.5703125" style="6" customWidth="1"/>
    <col min="7679" max="7679" width="15.140625" style="6" customWidth="1"/>
    <col min="7680" max="7680" width="12.85546875" style="6" customWidth="1"/>
    <col min="7681" max="7681" width="12.28515625" style="6" customWidth="1"/>
    <col min="7682" max="7682" width="12.42578125" style="6" customWidth="1"/>
    <col min="7683" max="7683" width="11.7109375" style="6" customWidth="1"/>
    <col min="7684" max="7686" width="14.5703125" style="6" customWidth="1"/>
    <col min="7687" max="7687" width="13.42578125" style="6" customWidth="1"/>
    <col min="7688" max="7932" width="9.140625" style="6"/>
    <col min="7933" max="7933" width="18.28515625" style="6" customWidth="1"/>
    <col min="7934" max="7934" width="13.5703125" style="6" customWidth="1"/>
    <col min="7935" max="7935" width="15.140625" style="6" customWidth="1"/>
    <col min="7936" max="7936" width="12.85546875" style="6" customWidth="1"/>
    <col min="7937" max="7937" width="12.28515625" style="6" customWidth="1"/>
    <col min="7938" max="7938" width="12.42578125" style="6" customWidth="1"/>
    <col min="7939" max="7939" width="11.7109375" style="6" customWidth="1"/>
    <col min="7940" max="7942" width="14.5703125" style="6" customWidth="1"/>
    <col min="7943" max="7943" width="13.42578125" style="6" customWidth="1"/>
    <col min="7944" max="8188" width="9.140625" style="6"/>
    <col min="8189" max="8189" width="18.28515625" style="6" customWidth="1"/>
    <col min="8190" max="8190" width="13.5703125" style="6" customWidth="1"/>
    <col min="8191" max="8191" width="15.140625" style="6" customWidth="1"/>
    <col min="8192" max="8192" width="12.85546875" style="6" customWidth="1"/>
    <col min="8193" max="8193" width="12.28515625" style="6" customWidth="1"/>
    <col min="8194" max="8194" width="12.42578125" style="6" customWidth="1"/>
    <col min="8195" max="8195" width="11.7109375" style="6" customWidth="1"/>
    <col min="8196" max="8198" width="14.5703125" style="6" customWidth="1"/>
    <col min="8199" max="8199" width="13.42578125" style="6" customWidth="1"/>
    <col min="8200" max="8444" width="9.140625" style="6"/>
    <col min="8445" max="8445" width="18.28515625" style="6" customWidth="1"/>
    <col min="8446" max="8446" width="13.5703125" style="6" customWidth="1"/>
    <col min="8447" max="8447" width="15.140625" style="6" customWidth="1"/>
    <col min="8448" max="8448" width="12.85546875" style="6" customWidth="1"/>
    <col min="8449" max="8449" width="12.28515625" style="6" customWidth="1"/>
    <col min="8450" max="8450" width="12.42578125" style="6" customWidth="1"/>
    <col min="8451" max="8451" width="11.7109375" style="6" customWidth="1"/>
    <col min="8452" max="8454" width="14.5703125" style="6" customWidth="1"/>
    <col min="8455" max="8455" width="13.42578125" style="6" customWidth="1"/>
    <col min="8456" max="8700" width="9.140625" style="6"/>
    <col min="8701" max="8701" width="18.28515625" style="6" customWidth="1"/>
    <col min="8702" max="8702" width="13.5703125" style="6" customWidth="1"/>
    <col min="8703" max="8703" width="15.140625" style="6" customWidth="1"/>
    <col min="8704" max="8704" width="12.85546875" style="6" customWidth="1"/>
    <col min="8705" max="8705" width="12.28515625" style="6" customWidth="1"/>
    <col min="8706" max="8706" width="12.42578125" style="6" customWidth="1"/>
    <col min="8707" max="8707" width="11.7109375" style="6" customWidth="1"/>
    <col min="8708" max="8710" width="14.5703125" style="6" customWidth="1"/>
    <col min="8711" max="8711" width="13.42578125" style="6" customWidth="1"/>
    <col min="8712" max="8956" width="9.140625" style="6"/>
    <col min="8957" max="8957" width="18.28515625" style="6" customWidth="1"/>
    <col min="8958" max="8958" width="13.5703125" style="6" customWidth="1"/>
    <col min="8959" max="8959" width="15.140625" style="6" customWidth="1"/>
    <col min="8960" max="8960" width="12.85546875" style="6" customWidth="1"/>
    <col min="8961" max="8961" width="12.28515625" style="6" customWidth="1"/>
    <col min="8962" max="8962" width="12.42578125" style="6" customWidth="1"/>
    <col min="8963" max="8963" width="11.7109375" style="6" customWidth="1"/>
    <col min="8964" max="8966" width="14.5703125" style="6" customWidth="1"/>
    <col min="8967" max="8967" width="13.42578125" style="6" customWidth="1"/>
    <col min="8968" max="9212" width="9.140625" style="6"/>
    <col min="9213" max="9213" width="18.28515625" style="6" customWidth="1"/>
    <col min="9214" max="9214" width="13.5703125" style="6" customWidth="1"/>
    <col min="9215" max="9215" width="15.140625" style="6" customWidth="1"/>
    <col min="9216" max="9216" width="12.85546875" style="6" customWidth="1"/>
    <col min="9217" max="9217" width="12.28515625" style="6" customWidth="1"/>
    <col min="9218" max="9218" width="12.42578125" style="6" customWidth="1"/>
    <col min="9219" max="9219" width="11.7109375" style="6" customWidth="1"/>
    <col min="9220" max="9222" width="14.5703125" style="6" customWidth="1"/>
    <col min="9223" max="9223" width="13.42578125" style="6" customWidth="1"/>
    <col min="9224" max="9468" width="9.140625" style="6"/>
    <col min="9469" max="9469" width="18.28515625" style="6" customWidth="1"/>
    <col min="9470" max="9470" width="13.5703125" style="6" customWidth="1"/>
    <col min="9471" max="9471" width="15.140625" style="6" customWidth="1"/>
    <col min="9472" max="9472" width="12.85546875" style="6" customWidth="1"/>
    <col min="9473" max="9473" width="12.28515625" style="6" customWidth="1"/>
    <col min="9474" max="9474" width="12.42578125" style="6" customWidth="1"/>
    <col min="9475" max="9475" width="11.7109375" style="6" customWidth="1"/>
    <col min="9476" max="9478" width="14.5703125" style="6" customWidth="1"/>
    <col min="9479" max="9479" width="13.42578125" style="6" customWidth="1"/>
    <col min="9480" max="9724" width="9.140625" style="6"/>
    <col min="9725" max="9725" width="18.28515625" style="6" customWidth="1"/>
    <col min="9726" max="9726" width="13.5703125" style="6" customWidth="1"/>
    <col min="9727" max="9727" width="15.140625" style="6" customWidth="1"/>
    <col min="9728" max="9728" width="12.85546875" style="6" customWidth="1"/>
    <col min="9729" max="9729" width="12.28515625" style="6" customWidth="1"/>
    <col min="9730" max="9730" width="12.42578125" style="6" customWidth="1"/>
    <col min="9731" max="9731" width="11.7109375" style="6" customWidth="1"/>
    <col min="9732" max="9734" width="14.5703125" style="6" customWidth="1"/>
    <col min="9735" max="9735" width="13.42578125" style="6" customWidth="1"/>
    <col min="9736" max="9980" width="9.140625" style="6"/>
    <col min="9981" max="9981" width="18.28515625" style="6" customWidth="1"/>
    <col min="9982" max="9982" width="13.5703125" style="6" customWidth="1"/>
    <col min="9983" max="9983" width="15.140625" style="6" customWidth="1"/>
    <col min="9984" max="9984" width="12.85546875" style="6" customWidth="1"/>
    <col min="9985" max="9985" width="12.28515625" style="6" customWidth="1"/>
    <col min="9986" max="9986" width="12.42578125" style="6" customWidth="1"/>
    <col min="9987" max="9987" width="11.7109375" style="6" customWidth="1"/>
    <col min="9988" max="9990" width="14.5703125" style="6" customWidth="1"/>
    <col min="9991" max="9991" width="13.42578125" style="6" customWidth="1"/>
    <col min="9992" max="10236" width="9.140625" style="6"/>
    <col min="10237" max="10237" width="18.28515625" style="6" customWidth="1"/>
    <col min="10238" max="10238" width="13.5703125" style="6" customWidth="1"/>
    <col min="10239" max="10239" width="15.140625" style="6" customWidth="1"/>
    <col min="10240" max="10240" width="12.85546875" style="6" customWidth="1"/>
    <col min="10241" max="10241" width="12.28515625" style="6" customWidth="1"/>
    <col min="10242" max="10242" width="12.42578125" style="6" customWidth="1"/>
    <col min="10243" max="10243" width="11.7109375" style="6" customWidth="1"/>
    <col min="10244" max="10246" width="14.5703125" style="6" customWidth="1"/>
    <col min="10247" max="10247" width="13.42578125" style="6" customWidth="1"/>
    <col min="10248" max="10492" width="9.140625" style="6"/>
    <col min="10493" max="10493" width="18.28515625" style="6" customWidth="1"/>
    <col min="10494" max="10494" width="13.5703125" style="6" customWidth="1"/>
    <col min="10495" max="10495" width="15.140625" style="6" customWidth="1"/>
    <col min="10496" max="10496" width="12.85546875" style="6" customWidth="1"/>
    <col min="10497" max="10497" width="12.28515625" style="6" customWidth="1"/>
    <col min="10498" max="10498" width="12.42578125" style="6" customWidth="1"/>
    <col min="10499" max="10499" width="11.7109375" style="6" customWidth="1"/>
    <col min="10500" max="10502" width="14.5703125" style="6" customWidth="1"/>
    <col min="10503" max="10503" width="13.42578125" style="6" customWidth="1"/>
    <col min="10504" max="10748" width="9.140625" style="6"/>
    <col min="10749" max="10749" width="18.28515625" style="6" customWidth="1"/>
    <col min="10750" max="10750" width="13.5703125" style="6" customWidth="1"/>
    <col min="10751" max="10751" width="15.140625" style="6" customWidth="1"/>
    <col min="10752" max="10752" width="12.85546875" style="6" customWidth="1"/>
    <col min="10753" max="10753" width="12.28515625" style="6" customWidth="1"/>
    <col min="10754" max="10754" width="12.42578125" style="6" customWidth="1"/>
    <col min="10755" max="10755" width="11.7109375" style="6" customWidth="1"/>
    <col min="10756" max="10758" width="14.5703125" style="6" customWidth="1"/>
    <col min="10759" max="10759" width="13.42578125" style="6" customWidth="1"/>
    <col min="10760" max="11004" width="9.140625" style="6"/>
    <col min="11005" max="11005" width="18.28515625" style="6" customWidth="1"/>
    <col min="11006" max="11006" width="13.5703125" style="6" customWidth="1"/>
    <col min="11007" max="11007" width="15.140625" style="6" customWidth="1"/>
    <col min="11008" max="11008" width="12.85546875" style="6" customWidth="1"/>
    <col min="11009" max="11009" width="12.28515625" style="6" customWidth="1"/>
    <col min="11010" max="11010" width="12.42578125" style="6" customWidth="1"/>
    <col min="11011" max="11011" width="11.7109375" style="6" customWidth="1"/>
    <col min="11012" max="11014" width="14.5703125" style="6" customWidth="1"/>
    <col min="11015" max="11015" width="13.42578125" style="6" customWidth="1"/>
    <col min="11016" max="11260" width="9.140625" style="6"/>
    <col min="11261" max="11261" width="18.28515625" style="6" customWidth="1"/>
    <col min="11262" max="11262" width="13.5703125" style="6" customWidth="1"/>
    <col min="11263" max="11263" width="15.140625" style="6" customWidth="1"/>
    <col min="11264" max="11264" width="12.85546875" style="6" customWidth="1"/>
    <col min="11265" max="11265" width="12.28515625" style="6" customWidth="1"/>
    <col min="11266" max="11266" width="12.42578125" style="6" customWidth="1"/>
    <col min="11267" max="11267" width="11.7109375" style="6" customWidth="1"/>
    <col min="11268" max="11270" width="14.5703125" style="6" customWidth="1"/>
    <col min="11271" max="11271" width="13.42578125" style="6" customWidth="1"/>
    <col min="11272" max="11516" width="9.140625" style="6"/>
    <col min="11517" max="11517" width="18.28515625" style="6" customWidth="1"/>
    <col min="11518" max="11518" width="13.5703125" style="6" customWidth="1"/>
    <col min="11519" max="11519" width="15.140625" style="6" customWidth="1"/>
    <col min="11520" max="11520" width="12.85546875" style="6" customWidth="1"/>
    <col min="11521" max="11521" width="12.28515625" style="6" customWidth="1"/>
    <col min="11522" max="11522" width="12.42578125" style="6" customWidth="1"/>
    <col min="11523" max="11523" width="11.7109375" style="6" customWidth="1"/>
    <col min="11524" max="11526" width="14.5703125" style="6" customWidth="1"/>
    <col min="11527" max="11527" width="13.42578125" style="6" customWidth="1"/>
    <col min="11528" max="11772" width="9.140625" style="6"/>
    <col min="11773" max="11773" width="18.28515625" style="6" customWidth="1"/>
    <col min="11774" max="11774" width="13.5703125" style="6" customWidth="1"/>
    <col min="11775" max="11775" width="15.140625" style="6" customWidth="1"/>
    <col min="11776" max="11776" width="12.85546875" style="6" customWidth="1"/>
    <col min="11777" max="11777" width="12.28515625" style="6" customWidth="1"/>
    <col min="11778" max="11778" width="12.42578125" style="6" customWidth="1"/>
    <col min="11779" max="11779" width="11.7109375" style="6" customWidth="1"/>
    <col min="11780" max="11782" width="14.5703125" style="6" customWidth="1"/>
    <col min="11783" max="11783" width="13.42578125" style="6" customWidth="1"/>
    <col min="11784" max="12028" width="9.140625" style="6"/>
    <col min="12029" max="12029" width="18.28515625" style="6" customWidth="1"/>
    <col min="12030" max="12030" width="13.5703125" style="6" customWidth="1"/>
    <col min="12031" max="12031" width="15.140625" style="6" customWidth="1"/>
    <col min="12032" max="12032" width="12.85546875" style="6" customWidth="1"/>
    <col min="12033" max="12033" width="12.28515625" style="6" customWidth="1"/>
    <col min="12034" max="12034" width="12.42578125" style="6" customWidth="1"/>
    <col min="12035" max="12035" width="11.7109375" style="6" customWidth="1"/>
    <col min="12036" max="12038" width="14.5703125" style="6" customWidth="1"/>
    <col min="12039" max="12039" width="13.42578125" style="6" customWidth="1"/>
    <col min="12040" max="12284" width="9.140625" style="6"/>
    <col min="12285" max="12285" width="18.28515625" style="6" customWidth="1"/>
    <col min="12286" max="12286" width="13.5703125" style="6" customWidth="1"/>
    <col min="12287" max="12287" width="15.140625" style="6" customWidth="1"/>
    <col min="12288" max="12288" width="12.85546875" style="6" customWidth="1"/>
    <col min="12289" max="12289" width="12.28515625" style="6" customWidth="1"/>
    <col min="12290" max="12290" width="12.42578125" style="6" customWidth="1"/>
    <col min="12291" max="12291" width="11.7109375" style="6" customWidth="1"/>
    <col min="12292" max="12294" width="14.5703125" style="6" customWidth="1"/>
    <col min="12295" max="12295" width="13.42578125" style="6" customWidth="1"/>
    <col min="12296" max="12540" width="9.140625" style="6"/>
    <col min="12541" max="12541" width="18.28515625" style="6" customWidth="1"/>
    <col min="12542" max="12542" width="13.5703125" style="6" customWidth="1"/>
    <col min="12543" max="12543" width="15.140625" style="6" customWidth="1"/>
    <col min="12544" max="12544" width="12.85546875" style="6" customWidth="1"/>
    <col min="12545" max="12545" width="12.28515625" style="6" customWidth="1"/>
    <col min="12546" max="12546" width="12.42578125" style="6" customWidth="1"/>
    <col min="12547" max="12547" width="11.7109375" style="6" customWidth="1"/>
    <col min="12548" max="12550" width="14.5703125" style="6" customWidth="1"/>
    <col min="12551" max="12551" width="13.42578125" style="6" customWidth="1"/>
    <col min="12552" max="12796" width="9.140625" style="6"/>
    <col min="12797" max="12797" width="18.28515625" style="6" customWidth="1"/>
    <col min="12798" max="12798" width="13.5703125" style="6" customWidth="1"/>
    <col min="12799" max="12799" width="15.140625" style="6" customWidth="1"/>
    <col min="12800" max="12800" width="12.85546875" style="6" customWidth="1"/>
    <col min="12801" max="12801" width="12.28515625" style="6" customWidth="1"/>
    <col min="12802" max="12802" width="12.42578125" style="6" customWidth="1"/>
    <col min="12803" max="12803" width="11.7109375" style="6" customWidth="1"/>
    <col min="12804" max="12806" width="14.5703125" style="6" customWidth="1"/>
    <col min="12807" max="12807" width="13.42578125" style="6" customWidth="1"/>
    <col min="12808" max="13052" width="9.140625" style="6"/>
    <col min="13053" max="13053" width="18.28515625" style="6" customWidth="1"/>
    <col min="13054" max="13054" width="13.5703125" style="6" customWidth="1"/>
    <col min="13055" max="13055" width="15.140625" style="6" customWidth="1"/>
    <col min="13056" max="13056" width="12.85546875" style="6" customWidth="1"/>
    <col min="13057" max="13057" width="12.28515625" style="6" customWidth="1"/>
    <col min="13058" max="13058" width="12.42578125" style="6" customWidth="1"/>
    <col min="13059" max="13059" width="11.7109375" style="6" customWidth="1"/>
    <col min="13060" max="13062" width="14.5703125" style="6" customWidth="1"/>
    <col min="13063" max="13063" width="13.42578125" style="6" customWidth="1"/>
    <col min="13064" max="13308" width="9.140625" style="6"/>
    <col min="13309" max="13309" width="18.28515625" style="6" customWidth="1"/>
    <col min="13310" max="13310" width="13.5703125" style="6" customWidth="1"/>
    <col min="13311" max="13311" width="15.140625" style="6" customWidth="1"/>
    <col min="13312" max="13312" width="12.85546875" style="6" customWidth="1"/>
    <col min="13313" max="13313" width="12.28515625" style="6" customWidth="1"/>
    <col min="13314" max="13314" width="12.42578125" style="6" customWidth="1"/>
    <col min="13315" max="13315" width="11.7109375" style="6" customWidth="1"/>
    <col min="13316" max="13318" width="14.5703125" style="6" customWidth="1"/>
    <col min="13319" max="13319" width="13.42578125" style="6" customWidth="1"/>
    <col min="13320" max="13564" width="9.140625" style="6"/>
    <col min="13565" max="13565" width="18.28515625" style="6" customWidth="1"/>
    <col min="13566" max="13566" width="13.5703125" style="6" customWidth="1"/>
    <col min="13567" max="13567" width="15.140625" style="6" customWidth="1"/>
    <col min="13568" max="13568" width="12.85546875" style="6" customWidth="1"/>
    <col min="13569" max="13569" width="12.28515625" style="6" customWidth="1"/>
    <col min="13570" max="13570" width="12.42578125" style="6" customWidth="1"/>
    <col min="13571" max="13571" width="11.7109375" style="6" customWidth="1"/>
    <col min="13572" max="13574" width="14.5703125" style="6" customWidth="1"/>
    <col min="13575" max="13575" width="13.42578125" style="6" customWidth="1"/>
    <col min="13576" max="13820" width="9.140625" style="6"/>
    <col min="13821" max="13821" width="18.28515625" style="6" customWidth="1"/>
    <col min="13822" max="13822" width="13.5703125" style="6" customWidth="1"/>
    <col min="13823" max="13823" width="15.140625" style="6" customWidth="1"/>
    <col min="13824" max="13824" width="12.85546875" style="6" customWidth="1"/>
    <col min="13825" max="13825" width="12.28515625" style="6" customWidth="1"/>
    <col min="13826" max="13826" width="12.42578125" style="6" customWidth="1"/>
    <col min="13827" max="13827" width="11.7109375" style="6" customWidth="1"/>
    <col min="13828" max="13830" width="14.5703125" style="6" customWidth="1"/>
    <col min="13831" max="13831" width="13.42578125" style="6" customWidth="1"/>
    <col min="13832" max="14076" width="9.140625" style="6"/>
    <col min="14077" max="14077" width="18.28515625" style="6" customWidth="1"/>
    <col min="14078" max="14078" width="13.5703125" style="6" customWidth="1"/>
    <col min="14079" max="14079" width="15.140625" style="6" customWidth="1"/>
    <col min="14080" max="14080" width="12.85546875" style="6" customWidth="1"/>
    <col min="14081" max="14081" width="12.28515625" style="6" customWidth="1"/>
    <col min="14082" max="14082" width="12.42578125" style="6" customWidth="1"/>
    <col min="14083" max="14083" width="11.7109375" style="6" customWidth="1"/>
    <col min="14084" max="14086" width="14.5703125" style="6" customWidth="1"/>
    <col min="14087" max="14087" width="13.42578125" style="6" customWidth="1"/>
    <col min="14088" max="14332" width="9.140625" style="6"/>
    <col min="14333" max="14333" width="18.28515625" style="6" customWidth="1"/>
    <col min="14334" max="14334" width="13.5703125" style="6" customWidth="1"/>
    <col min="14335" max="14335" width="15.140625" style="6" customWidth="1"/>
    <col min="14336" max="14336" width="12.85546875" style="6" customWidth="1"/>
    <col min="14337" max="14337" width="12.28515625" style="6" customWidth="1"/>
    <col min="14338" max="14338" width="12.42578125" style="6" customWidth="1"/>
    <col min="14339" max="14339" width="11.7109375" style="6" customWidth="1"/>
    <col min="14340" max="14342" width="14.5703125" style="6" customWidth="1"/>
    <col min="14343" max="14343" width="13.42578125" style="6" customWidth="1"/>
    <col min="14344" max="14588" width="9.140625" style="6"/>
    <col min="14589" max="14589" width="18.28515625" style="6" customWidth="1"/>
    <col min="14590" max="14590" width="13.5703125" style="6" customWidth="1"/>
    <col min="14591" max="14591" width="15.140625" style="6" customWidth="1"/>
    <col min="14592" max="14592" width="12.85546875" style="6" customWidth="1"/>
    <col min="14593" max="14593" width="12.28515625" style="6" customWidth="1"/>
    <col min="14594" max="14594" width="12.42578125" style="6" customWidth="1"/>
    <col min="14595" max="14595" width="11.7109375" style="6" customWidth="1"/>
    <col min="14596" max="14598" width="14.5703125" style="6" customWidth="1"/>
    <col min="14599" max="14599" width="13.42578125" style="6" customWidth="1"/>
    <col min="14600" max="14844" width="9.140625" style="6"/>
    <col min="14845" max="14845" width="18.28515625" style="6" customWidth="1"/>
    <col min="14846" max="14846" width="13.5703125" style="6" customWidth="1"/>
    <col min="14847" max="14847" width="15.140625" style="6" customWidth="1"/>
    <col min="14848" max="14848" width="12.85546875" style="6" customWidth="1"/>
    <col min="14849" max="14849" width="12.28515625" style="6" customWidth="1"/>
    <col min="14850" max="14850" width="12.42578125" style="6" customWidth="1"/>
    <col min="14851" max="14851" width="11.7109375" style="6" customWidth="1"/>
    <col min="14852" max="14854" width="14.5703125" style="6" customWidth="1"/>
    <col min="14855" max="14855" width="13.42578125" style="6" customWidth="1"/>
    <col min="14856" max="15100" width="9.140625" style="6"/>
    <col min="15101" max="15101" width="18.28515625" style="6" customWidth="1"/>
    <col min="15102" max="15102" width="13.5703125" style="6" customWidth="1"/>
    <col min="15103" max="15103" width="15.140625" style="6" customWidth="1"/>
    <col min="15104" max="15104" width="12.85546875" style="6" customWidth="1"/>
    <col min="15105" max="15105" width="12.28515625" style="6" customWidth="1"/>
    <col min="15106" max="15106" width="12.42578125" style="6" customWidth="1"/>
    <col min="15107" max="15107" width="11.7109375" style="6" customWidth="1"/>
    <col min="15108" max="15110" width="14.5703125" style="6" customWidth="1"/>
    <col min="15111" max="15111" width="13.42578125" style="6" customWidth="1"/>
    <col min="15112" max="15356" width="9.140625" style="6"/>
    <col min="15357" max="15357" width="18.28515625" style="6" customWidth="1"/>
    <col min="15358" max="15358" width="13.5703125" style="6" customWidth="1"/>
    <col min="15359" max="15359" width="15.140625" style="6" customWidth="1"/>
    <col min="15360" max="15360" width="12.85546875" style="6" customWidth="1"/>
    <col min="15361" max="15361" width="12.28515625" style="6" customWidth="1"/>
    <col min="15362" max="15362" width="12.42578125" style="6" customWidth="1"/>
    <col min="15363" max="15363" width="11.7109375" style="6" customWidth="1"/>
    <col min="15364" max="15366" width="14.5703125" style="6" customWidth="1"/>
    <col min="15367" max="15367" width="13.42578125" style="6" customWidth="1"/>
    <col min="15368" max="15612" width="9.140625" style="6"/>
    <col min="15613" max="15613" width="18.28515625" style="6" customWidth="1"/>
    <col min="15614" max="15614" width="13.5703125" style="6" customWidth="1"/>
    <col min="15615" max="15615" width="15.140625" style="6" customWidth="1"/>
    <col min="15616" max="15616" width="12.85546875" style="6" customWidth="1"/>
    <col min="15617" max="15617" width="12.28515625" style="6" customWidth="1"/>
    <col min="15618" max="15618" width="12.42578125" style="6" customWidth="1"/>
    <col min="15619" max="15619" width="11.7109375" style="6" customWidth="1"/>
    <col min="15620" max="15622" width="14.5703125" style="6" customWidth="1"/>
    <col min="15623" max="15623" width="13.42578125" style="6" customWidth="1"/>
    <col min="15624" max="15868" width="9.140625" style="6"/>
    <col min="15869" max="15869" width="18.28515625" style="6" customWidth="1"/>
    <col min="15870" max="15870" width="13.5703125" style="6" customWidth="1"/>
    <col min="15871" max="15871" width="15.140625" style="6" customWidth="1"/>
    <col min="15872" max="15872" width="12.85546875" style="6" customWidth="1"/>
    <col min="15873" max="15873" width="12.28515625" style="6" customWidth="1"/>
    <col min="15874" max="15874" width="12.42578125" style="6" customWidth="1"/>
    <col min="15875" max="15875" width="11.7109375" style="6" customWidth="1"/>
    <col min="15876" max="15878" width="14.5703125" style="6" customWidth="1"/>
    <col min="15879" max="15879" width="13.42578125" style="6" customWidth="1"/>
    <col min="15880" max="16124" width="9.140625" style="6"/>
    <col min="16125" max="16125" width="18.28515625" style="6" customWidth="1"/>
    <col min="16126" max="16126" width="13.5703125" style="6" customWidth="1"/>
    <col min="16127" max="16127" width="15.140625" style="6" customWidth="1"/>
    <col min="16128" max="16128" width="12.85546875" style="6" customWidth="1"/>
    <col min="16129" max="16129" width="12.28515625" style="6" customWidth="1"/>
    <col min="16130" max="16130" width="12.42578125" style="6" customWidth="1"/>
    <col min="16131" max="16131" width="11.7109375" style="6" customWidth="1"/>
    <col min="16132" max="16134" width="14.5703125" style="6" customWidth="1"/>
    <col min="16135" max="16135" width="13.42578125" style="6" customWidth="1"/>
    <col min="16136" max="16384" width="9.140625" style="6"/>
  </cols>
  <sheetData>
    <row r="1" spans="1:13" ht="15.75">
      <c r="A1" s="454" t="str">
        <f xml:space="preserve"> "Psychological Therapies Waiting Times - Number of patients seen during the month by Health Board, "&amp;TEXT(A25,"mmm yyyy")&amp;" - "&amp;TEXT(A11,"mmm yyyy")</f>
        <v>Psychological Therapies Waiting Times - Number of patients seen during the month by Health Board, Apr 2020 - Jun 2021</v>
      </c>
      <c r="B1" s="454"/>
      <c r="C1" s="454"/>
      <c r="D1" s="454"/>
      <c r="E1" s="454"/>
      <c r="F1" s="454"/>
      <c r="G1" s="454"/>
      <c r="H1" s="454"/>
      <c r="I1" s="454"/>
      <c r="J1" s="454"/>
      <c r="K1" s="454"/>
    </row>
    <row r="2" spans="1:13">
      <c r="A2" s="447" t="s">
        <v>454</v>
      </c>
      <c r="B2" s="453"/>
      <c r="C2" s="453"/>
      <c r="D2" s="453"/>
    </row>
    <row r="3" spans="1:13">
      <c r="A3" s="202" t="s">
        <v>186</v>
      </c>
    </row>
    <row r="4" spans="1:13">
      <c r="A4" s="66"/>
      <c r="B4" s="65"/>
      <c r="C4" s="65"/>
      <c r="D4" s="65"/>
      <c r="E4" s="65"/>
      <c r="F4" s="65"/>
      <c r="G4" s="65"/>
    </row>
    <row r="5" spans="1:13">
      <c r="A5" s="199" t="s">
        <v>453</v>
      </c>
      <c r="B5" s="65"/>
      <c r="C5" s="65"/>
      <c r="D5" s="65"/>
      <c r="E5" s="65"/>
      <c r="F5" s="65"/>
      <c r="G5" s="65"/>
    </row>
    <row r="6" spans="1:13" ht="16.5" thickBot="1">
      <c r="A6" s="203" t="s">
        <v>455</v>
      </c>
      <c r="B6" s="200"/>
      <c r="C6" s="200"/>
      <c r="D6" s="200"/>
      <c r="E6" s="67"/>
      <c r="F6" s="67"/>
      <c r="G6" s="67"/>
    </row>
    <row r="7" spans="1:13" ht="15.75" thickBot="1">
      <c r="A7" s="6" t="s">
        <v>180</v>
      </c>
      <c r="B7" s="9"/>
      <c r="C7" s="440" t="s">
        <v>28</v>
      </c>
      <c r="D7" s="441"/>
      <c r="E7" s="67"/>
      <c r="F7" s="67"/>
      <c r="G7" s="67"/>
    </row>
    <row r="8" spans="1:13">
      <c r="A8" s="220" t="s">
        <v>1301</v>
      </c>
      <c r="B8" s="33" t="s">
        <v>183</v>
      </c>
      <c r="C8" s="9"/>
      <c r="D8" s="9"/>
      <c r="E8" s="34"/>
      <c r="F8" s="34"/>
      <c r="G8" s="34"/>
      <c r="H8" s="28"/>
    </row>
    <row r="9" spans="1:13" ht="21.75" customHeight="1">
      <c r="A9" s="442" t="s">
        <v>31</v>
      </c>
      <c r="B9" s="444" t="s">
        <v>329</v>
      </c>
      <c r="C9" s="445" t="s">
        <v>32</v>
      </c>
      <c r="D9" s="446" t="s">
        <v>330</v>
      </c>
      <c r="E9" s="446"/>
      <c r="F9" s="449" t="s">
        <v>187</v>
      </c>
      <c r="G9" s="446"/>
      <c r="H9" s="69" t="s">
        <v>181</v>
      </c>
      <c r="I9" s="70" t="s">
        <v>182</v>
      </c>
      <c r="J9" s="67"/>
    </row>
    <row r="10" spans="1:13" ht="16.5" customHeight="1">
      <c r="A10" s="442"/>
      <c r="B10" s="444"/>
      <c r="C10" s="445"/>
      <c r="D10" s="151" t="s">
        <v>34</v>
      </c>
      <c r="E10" s="348" t="s">
        <v>362</v>
      </c>
      <c r="F10" s="164" t="s">
        <v>34</v>
      </c>
      <c r="G10" s="277" t="s">
        <v>362</v>
      </c>
      <c r="H10" s="278" t="s">
        <v>332</v>
      </c>
      <c r="I10" s="279" t="s">
        <v>332</v>
      </c>
      <c r="J10" s="67"/>
    </row>
    <row r="11" spans="1:13">
      <c r="A11" s="359">
        <f>REPORT_raw_dataseen!R1</f>
        <v>44348</v>
      </c>
      <c r="B11" s="255" t="str">
        <f>IF(VLOOKUP($C$7,'Type of adjust'!$A$1:$P$18,MATCH($A11,'Type of adjust'!$A$1:$P$1,0),FALSE)="", "..", VLOOKUP($C$7,'Type of adjust'!$A$1:$P$18,MATCH($A11,'Type of adjust'!$A$1:$P$1,0),FALSE))</f>
        <v>..</v>
      </c>
      <c r="C11" s="260">
        <f>VLOOKUP($C$7&amp;"Adjusted seen "&amp;$C$9,REPORT_raw_dataseen!$A$1:$R$817,MATCH($A11,REPORT_raw_dataseen!$D$1:$R$1,1)+3, FALSE)</f>
        <v>6719</v>
      </c>
      <c r="D11" s="260">
        <f>IF(VLOOKUP($C$7&amp;"Adjusted seen "&amp;$D$10,REPORT_raw_dataseen!$A$1:$R$817,MATCH($A11,REPORT_raw_dataseen!$D$1:$R$1,1)+3, FALSE)=0,"-",VLOOKUP($C$7&amp;"Adjusted seen "&amp;$D$10,REPORT_raw_dataseen!$A$1:$R$817,MATCH($A11,REPORT_raw_dataseen!$D$1:$R$1,1)+3, FALSE))</f>
        <v>5664</v>
      </c>
      <c r="E11" s="261">
        <f>IF(C11="..","..",IF(D11="-",C11, IF((C11-D11)=0, "-",C11-D11)))</f>
        <v>1055</v>
      </c>
      <c r="F11" s="263">
        <f t="shared" ref="F11:G25" si="0">IF(D11="-","-",IF(D11="..","..",IF(D11=0,"-",IF((D11/$C11%)=0,"-",ROUND(D11/$C11%,2)))))</f>
        <v>84.3</v>
      </c>
      <c r="G11" s="263">
        <f t="shared" si="0"/>
        <v>15.7</v>
      </c>
      <c r="H11" s="288">
        <f>+VLOOKUP($C$7&amp;"Adjusted seen median",REPORT_raw_dataseen!$A$1:$R$817,MATCH($A11,REPORT_raw_dataseen!$D$1:$R$1,1)+3,FALSE)</f>
        <v>3</v>
      </c>
      <c r="I11" s="280">
        <f>+VLOOKUP($C$7&amp;"Adjusted seen 90percent",REPORT_raw_dataseen!$A$1:$R$817,MATCH($A11,REPORT_raw_dataseen!$D$1:$R$1,1)+3,FALSE)</f>
        <v>30</v>
      </c>
      <c r="J11" s="75"/>
    </row>
    <row r="12" spans="1:13">
      <c r="A12" s="360">
        <f>DATE(YEAR(A11),MONTH(A11)-1,DAY(A11))</f>
        <v>44317</v>
      </c>
      <c r="B12" s="256" t="str">
        <f>IF(VLOOKUP($C$7,'Type of adjust'!$A$1:$P$18,MATCH($A12,'Type of adjust'!$A$1:$P$1,0),FALSE)="", "..", VLOOKUP($C$7,'Type of adjust'!$A$1:$P$18,MATCH($A12,'Type of adjust'!$A$1:$P$1,0),FALSE))</f>
        <v>..</v>
      </c>
      <c r="C12" s="261">
        <f>VLOOKUP($C$7&amp;"Adjusted seen "&amp;$C$9,REPORT_raw_dataseen!$A$1:$R$817,MATCH($A12,REPORT_raw_dataseen!$D$1:$R$1,1)+3, FALSE)</f>
        <v>6483</v>
      </c>
      <c r="D12" s="261">
        <f>IF(VLOOKUP($C$7&amp;"Adjusted seen "&amp;$D$10,REPORT_raw_dataseen!$A$1:$R$817,MATCH($A12,REPORT_raw_dataseen!$D$1:$R$1,1)+3, FALSE)=0,"-",VLOOKUP($C$7&amp;"Adjusted seen "&amp;$D$10,REPORT_raw_dataseen!$A$1:$R$817,MATCH($A12,REPORT_raw_dataseen!$D$1:$R$1,1)+3, FALSE))</f>
        <v>5346</v>
      </c>
      <c r="E12" s="261">
        <f>IF(C12="..","..",IF(D12="-",C12, IF((C12-D12)=0, "-",C12-D12)))</f>
        <v>1137</v>
      </c>
      <c r="F12" s="264">
        <f t="shared" si="0"/>
        <v>82.46</v>
      </c>
      <c r="G12" s="264">
        <f t="shared" si="0"/>
        <v>17.54</v>
      </c>
      <c r="H12" s="229">
        <f>+VLOOKUP($C$7&amp;"Adjusted seen median",REPORT_raw_dataseen!$A$1:$R$817,MATCH($A12,REPORT_raw_dataseen!$D$1:$R$1,1)+3,FALSE)</f>
        <v>3</v>
      </c>
      <c r="I12" s="281">
        <f>+VLOOKUP($C$7&amp;"Adjusted seen 90percent",REPORT_raw_dataseen!$A$1:$R$817,MATCH($A12,REPORT_raw_dataseen!$D$1:$R$1,1)+3,FALSE)</f>
        <v>31</v>
      </c>
      <c r="J12" s="75"/>
    </row>
    <row r="13" spans="1:13">
      <c r="A13" s="360">
        <f>DATE(YEAR(A12),MONTH(A12)-1,DAY(A12))</f>
        <v>44287</v>
      </c>
      <c r="B13" s="256" t="str">
        <f>IF(VLOOKUP($C$7,'Type of adjust'!$A$1:$P$18,MATCH($A13,'Type of adjust'!$A$1:$P$1,0),FALSE)="", "..", VLOOKUP($C$7,'Type of adjust'!$A$1:$P$18,MATCH($A13,'Type of adjust'!$A$1:$P$1,0),FALSE))</f>
        <v>..</v>
      </c>
      <c r="C13" s="261">
        <f>VLOOKUP($C$7&amp;"Adjusted seen "&amp;$C$9,REPORT_raw_dataseen!$A$1:$R$817,MATCH($A13,REPORT_raw_dataseen!$D$1:$R$1,1)+3, FALSE)</f>
        <v>6385</v>
      </c>
      <c r="D13" s="261">
        <f>IF(VLOOKUP($C$7&amp;"Adjusted seen "&amp;$D$10,REPORT_raw_dataseen!$A$1:$R$817,MATCH($A13,REPORT_raw_dataseen!$D$1:$R$1,1)+3, FALSE)=0,"-",VLOOKUP($C$7&amp;"Adjusted seen "&amp;$D$10,REPORT_raw_dataseen!$A$1:$R$817,MATCH($A13,REPORT_raw_dataseen!$D$1:$R$1,1)+3, FALSE))</f>
        <v>5191</v>
      </c>
      <c r="E13" s="261">
        <f t="shared" ref="E13:E25" si="1">IF(C13="..","..",IF(D13="-",C13, IF((C13-D13)=0, "-",C13-D13)))</f>
        <v>1194</v>
      </c>
      <c r="F13" s="264">
        <f t="shared" si="0"/>
        <v>81.3</v>
      </c>
      <c r="G13" s="264">
        <f t="shared" si="0"/>
        <v>18.7</v>
      </c>
      <c r="H13" s="229">
        <f>+VLOOKUP($C$7&amp;"Adjusted seen median",REPORT_raw_dataseen!$A$1:$R$817,MATCH($A13,REPORT_raw_dataseen!$D$1:$R$1,1)+3,FALSE)</f>
        <v>2</v>
      </c>
      <c r="I13" s="281">
        <f>+VLOOKUP($C$7&amp;"Adjusted seen 90percent",REPORT_raw_dataseen!$A$1:$R$817,MATCH($A13,REPORT_raw_dataseen!$D$1:$R$1,1)+3,FALSE)</f>
        <v>34</v>
      </c>
      <c r="J13" s="75"/>
      <c r="K13" s="150"/>
      <c r="M13" s="40"/>
    </row>
    <row r="14" spans="1:13">
      <c r="A14" s="360">
        <f>DATE(YEAR(A13),MONTH(A13)-1,DAY(A13))</f>
        <v>44256</v>
      </c>
      <c r="B14" s="256" t="str">
        <f>IF(VLOOKUP($C$7,'Type of adjust'!$A$1:$P$18,MATCH($A14,'Type of adjust'!$A$1:$P$1,0),FALSE)="", "..", VLOOKUP($C$7,'Type of adjust'!$A$1:$P$18,MATCH($A14,'Type of adjust'!$A$1:$P$1,0),FALSE))</f>
        <v>..</v>
      </c>
      <c r="C14" s="261">
        <f>IF(VLOOKUP($C$7&amp;"Adjusted seen "&amp;$C$9,REPORT_raw_dataseen!$A$1:$R$817,MATCH($A14,REPORT_raw_dataseen!$D$1:$R$1,1)+3, FALSE)=0,"-",VLOOKUP($C$7&amp;"Adjusted seen "&amp;$C$9,REPORT_raw_dataseen!$A$1:$R$817,MATCH($A14,REPORT_raw_dataseen!$D$1:$R$1,1)+3, FALSE))</f>
        <v>6523</v>
      </c>
      <c r="D14" s="261">
        <f>IF(VLOOKUP($C$7&amp;"Adjusted seen "&amp;$D$10,REPORT_raw_dataseen!$A$1:$R$817,MATCH($A14,REPORT_raw_dataseen!$D$1:$R$1,1)+3, FALSE)=0,"-",VLOOKUP($C$7&amp;"Adjusted seen "&amp;$D$10,REPORT_raw_dataseen!$A$1:$R$817,MATCH($A14,REPORT_raw_dataseen!$D$1:$R$1,1)+3, FALSE))</f>
        <v>5276</v>
      </c>
      <c r="E14" s="261">
        <f t="shared" si="1"/>
        <v>1247</v>
      </c>
      <c r="F14" s="264">
        <f t="shared" si="0"/>
        <v>80.88</v>
      </c>
      <c r="G14" s="264">
        <f t="shared" si="0"/>
        <v>19.12</v>
      </c>
      <c r="H14" s="229">
        <f>+VLOOKUP($C$7&amp;"Adjusted seen median",REPORT_raw_dataseen!$A$1:$R$817,MATCH($A14,REPORT_raw_dataseen!$D$1:$R$1,1)+3,FALSE)</f>
        <v>2</v>
      </c>
      <c r="I14" s="281">
        <f>+VLOOKUP($C$7&amp;"Adjusted seen 90percent",REPORT_raw_dataseen!$A$1:$R$817,MATCH($A14,REPORT_raw_dataseen!$D$1:$R$1,1)+3,FALSE)</f>
        <v>36</v>
      </c>
      <c r="J14" s="75"/>
    </row>
    <row r="15" spans="1:13">
      <c r="A15" s="360">
        <f>DATE(YEAR(A14),MONTH(A14)-1,DAY(A14))</f>
        <v>44228</v>
      </c>
      <c r="B15" s="256" t="str">
        <f>IF(VLOOKUP($C$7,'Type of adjust'!$A$1:$P$18,MATCH($A15,'Type of adjust'!$A$1:$P$1,0),FALSE)="", "..", VLOOKUP($C$7,'Type of adjust'!$A$1:$P$18,MATCH($A15,'Type of adjust'!$A$1:$P$1,0),FALSE))</f>
        <v>..</v>
      </c>
      <c r="C15" s="261">
        <f>VLOOKUP($C$7&amp;"Adjusted seen "&amp;$C$9,REPORT_raw_dataseen!$A$1:$R$817,MATCH($A15,REPORT_raw_dataseen!$D$1:$R$1,1)+3, FALSE)</f>
        <v>5855</v>
      </c>
      <c r="D15" s="261">
        <f>IF(VLOOKUP($C$7&amp;"Adjusted seen "&amp;$D$10,REPORT_raw_dataseen!$A$1:$R$817,MATCH($A15,REPORT_raw_dataseen!$D$1:$R$1,1)+3, FALSE)=0,"-",VLOOKUP($C$7&amp;"Adjusted seen "&amp;$D$10,REPORT_raw_dataseen!$A$1:$R$817,MATCH($A15,REPORT_raw_dataseen!$D$1:$R$1,1)+3, FALSE))</f>
        <v>4752</v>
      </c>
      <c r="E15" s="261">
        <f t="shared" si="1"/>
        <v>1103</v>
      </c>
      <c r="F15" s="264">
        <f t="shared" si="0"/>
        <v>81.16</v>
      </c>
      <c r="G15" s="264">
        <f t="shared" si="0"/>
        <v>18.84</v>
      </c>
      <c r="H15" s="229">
        <f>+VLOOKUP($C$7&amp;"Adjusted seen median",REPORT_raw_dataseen!$A$1:$R$817,MATCH($A15,REPORT_raw_dataseen!$D$1:$R$1,1)+3,FALSE)</f>
        <v>2</v>
      </c>
      <c r="I15" s="281">
        <f>+VLOOKUP($C$7&amp;"Adjusted seen 90percent",REPORT_raw_dataseen!$A$1:$R$817,MATCH($A15,REPORT_raw_dataseen!$D$1:$R$1,1)+3,FALSE)</f>
        <v>41</v>
      </c>
      <c r="J15" s="75"/>
    </row>
    <row r="16" spans="1:13">
      <c r="A16" s="360">
        <f>DATE(YEAR(A15),MONTH(A15)-1,DAY(A15))</f>
        <v>44197</v>
      </c>
      <c r="B16" s="256" t="str">
        <f>IF(VLOOKUP($C$7,'Type of adjust'!$A$1:$P$18,MATCH($A16,'Type of adjust'!$A$1:$P$1,0),FALSE)="", "..", VLOOKUP($C$7,'Type of adjust'!$A$1:$P$18,MATCH($A16,'Type of adjust'!$A$1:$P$1,0),FALSE))</f>
        <v>..</v>
      </c>
      <c r="C16" s="261">
        <f>VLOOKUP($C$7&amp;"Adjusted seen "&amp;$C$9,REPORT_raw_dataseen!$A$1:$R$817,MATCH($A16,REPORT_raw_dataseen!$D$1:$R$1,1)+3, FALSE)</f>
        <v>5745</v>
      </c>
      <c r="D16" s="261">
        <f>IF(VLOOKUP($C$7&amp;"Adjusted seen "&amp;$D$10,REPORT_raw_dataseen!$A$1:$R$817,MATCH($A16,REPORT_raw_dataseen!$D$1:$R$1,1)+3, FALSE)=0,"-",VLOOKUP($C$7&amp;"Adjusted seen "&amp;$D$10,REPORT_raw_dataseen!$A$1:$R$817,MATCH($A16,REPORT_raw_dataseen!$D$1:$R$1,1)+3, FALSE))</f>
        <v>4564</v>
      </c>
      <c r="E16" s="261">
        <f t="shared" si="1"/>
        <v>1181</v>
      </c>
      <c r="F16" s="264">
        <f t="shared" si="0"/>
        <v>79.44</v>
      </c>
      <c r="G16" s="264">
        <f t="shared" si="0"/>
        <v>20.56</v>
      </c>
      <c r="H16" s="229">
        <f>+VLOOKUP($C$7&amp;"Adjusted seen median",REPORT_raw_dataseen!$A$1:$R$817,MATCH($A16,REPORT_raw_dataseen!$D$1:$R$1,1)+3,FALSE)</f>
        <v>4</v>
      </c>
      <c r="I16" s="281">
        <f>+VLOOKUP($C$7&amp;"Adjusted seen 90percent",REPORT_raw_dataseen!$A$1:$R$817,MATCH($A16,REPORT_raw_dataseen!$D$1:$R$1,1)+3,FALSE)</f>
        <v>47</v>
      </c>
      <c r="J16" s="75"/>
    </row>
    <row r="17" spans="1:10">
      <c r="A17" s="360">
        <f t="shared" ref="A17:A25" si="2">DATE(YEAR(A16),MONTH(A16)-1,DAY(A16))</f>
        <v>44166</v>
      </c>
      <c r="B17" s="256" t="str">
        <f>IF(VLOOKUP($C$7,'Type of adjust'!$A$1:$P$18,MATCH($A17,'Type of adjust'!$A$1:$P$1,0),FALSE)="", "..", VLOOKUP($C$7,'Type of adjust'!$A$1:$P$18,MATCH($A17,'Type of adjust'!$A$1:$P$1,0),FALSE))</f>
        <v>..</v>
      </c>
      <c r="C17" s="261">
        <f>VLOOKUP($C$7&amp;"Adjusted seen "&amp;$C$9,REPORT_raw_dataseen!$A$1:$R$817,MATCH($A17,REPORT_raw_dataseen!$D$1:$R$1,1)+3, FALSE)</f>
        <v>5049</v>
      </c>
      <c r="D17" s="261">
        <f>IF(VLOOKUP($C$7&amp;"Adjusted seen "&amp;$D$10,REPORT_raw_dataseen!$A$1:$R$817,MATCH($A17,REPORT_raw_dataseen!$D$1:$R$1,1)+3, FALSE)=0,"-",VLOOKUP($C$7&amp;"Adjusted seen "&amp;$D$10,REPORT_raw_dataseen!$A$1:$R$817,MATCH($A17,REPORT_raw_dataseen!$D$1:$R$1,1)+3, FALSE))</f>
        <v>4201</v>
      </c>
      <c r="E17" s="261">
        <f t="shared" si="1"/>
        <v>848</v>
      </c>
      <c r="F17" s="264">
        <f t="shared" si="0"/>
        <v>83.2</v>
      </c>
      <c r="G17" s="264">
        <f t="shared" si="0"/>
        <v>16.8</v>
      </c>
      <c r="H17" s="229">
        <f>+VLOOKUP($C$7&amp;"Adjusted seen median",REPORT_raw_dataseen!$A$1:$R$817,MATCH($A17,REPORT_raw_dataseen!$D$1:$R$1,1)+3,FALSE)</f>
        <v>2</v>
      </c>
      <c r="I17" s="281">
        <f>+VLOOKUP($C$7&amp;"Adjusted seen 90percent",REPORT_raw_dataseen!$A$1:$R$817,MATCH($A17,REPORT_raw_dataseen!$D$1:$R$1,1)+3,FALSE)</f>
        <v>42</v>
      </c>
      <c r="J17" s="75"/>
    </row>
    <row r="18" spans="1:10">
      <c r="A18" s="360">
        <f t="shared" si="2"/>
        <v>44136</v>
      </c>
      <c r="B18" s="256" t="str">
        <f>IF(VLOOKUP($C$7,'Type of adjust'!$A$1:$P$18,MATCH($A18,'Type of adjust'!$A$1:$P$1,0),FALSE)="", "..", VLOOKUP($C$7,'Type of adjust'!$A$1:$P$18,MATCH($A18,'Type of adjust'!$A$1:$P$1,0),FALSE))</f>
        <v>..</v>
      </c>
      <c r="C18" s="261">
        <f>VLOOKUP($C$7&amp;"Adjusted seen "&amp;$C$9,REPORT_raw_dataseen!$A$1:$R$817,MATCH($A18,REPORT_raw_dataseen!$D$1:$R$1,1)+3, FALSE)</f>
        <v>6450</v>
      </c>
      <c r="D18" s="261">
        <f>IF(VLOOKUP($C$7&amp;"Adjusted seen "&amp;$D$10,REPORT_raw_dataseen!$A$1:$R$817,MATCH($A18,REPORT_raw_dataseen!$D$1:$R$1,1)+3, FALSE)=0,"-",VLOOKUP($C$7&amp;"Adjusted seen "&amp;$D$10,REPORT_raw_dataseen!$A$1:$R$817,MATCH($A18,REPORT_raw_dataseen!$D$1:$R$1,1)+3, FALSE))</f>
        <v>5040</v>
      </c>
      <c r="E18" s="261">
        <f t="shared" si="1"/>
        <v>1410</v>
      </c>
      <c r="F18" s="264">
        <f t="shared" si="0"/>
        <v>78.14</v>
      </c>
      <c r="G18" s="264">
        <f t="shared" si="0"/>
        <v>21.86</v>
      </c>
      <c r="H18" s="229">
        <f>+VLOOKUP($C$7&amp;"Adjusted seen median",REPORT_raw_dataseen!$A$1:$R$817,MATCH($A18,REPORT_raw_dataseen!$D$1:$R$1,1)+3,FALSE)</f>
        <v>2</v>
      </c>
      <c r="I18" s="281">
        <f>+VLOOKUP($C$7&amp;"Adjusted seen 90percent",REPORT_raw_dataseen!$A$1:$R$817,MATCH($A18,REPORT_raw_dataseen!$D$1:$R$1,1)+3,FALSE)</f>
        <v>47</v>
      </c>
      <c r="J18" s="75"/>
    </row>
    <row r="19" spans="1:10">
      <c r="A19" s="360">
        <f t="shared" si="2"/>
        <v>44105</v>
      </c>
      <c r="B19" s="256" t="str">
        <f>IF(VLOOKUP($C$7,'Type of adjust'!$A$1:$P$18,MATCH($A19,'Type of adjust'!$A$1:$P$1,0),FALSE)="", "..", VLOOKUP($C$7,'Type of adjust'!$A$1:$P$18,MATCH($A19,'Type of adjust'!$A$1:$P$1,0),FALSE))</f>
        <v>..</v>
      </c>
      <c r="C19" s="261">
        <f>VLOOKUP($C$7&amp;"Adjusted seen "&amp;$C$9,REPORT_raw_dataseen!$A$1:$R$817,MATCH($A19,REPORT_raw_dataseen!$D$1:$R$1,1)+3, FALSE)</f>
        <v>5524</v>
      </c>
      <c r="D19" s="261">
        <f>IF(VLOOKUP($C$7&amp;"Adjusted seen "&amp;$D$10,REPORT_raw_dataseen!$A$1:$R$817,MATCH($A19,REPORT_raw_dataseen!$D$1:$R$1,1)+3, FALSE)=0,"-",VLOOKUP($C$7&amp;"Adjusted seen "&amp;$D$10,REPORT_raw_dataseen!$A$1:$R$817,MATCH($A19,REPORT_raw_dataseen!$D$1:$R$1,1)+3, FALSE))</f>
        <v>4384</v>
      </c>
      <c r="E19" s="261">
        <f t="shared" si="1"/>
        <v>1140</v>
      </c>
      <c r="F19" s="264">
        <f t="shared" si="0"/>
        <v>79.36</v>
      </c>
      <c r="G19" s="264">
        <f t="shared" si="0"/>
        <v>20.64</v>
      </c>
      <c r="H19" s="229">
        <f>+VLOOKUP($C$7&amp;"Adjusted seen median",REPORT_raw_dataseen!$A$1:$R$817,MATCH($A19,REPORT_raw_dataseen!$D$1:$R$1,1)+3,FALSE)</f>
        <v>2</v>
      </c>
      <c r="I19" s="281">
        <f>+VLOOKUP($C$7&amp;"Adjusted seen 90percent",REPORT_raw_dataseen!$A$1:$R$817,MATCH($A19,REPORT_raw_dataseen!$D$1:$R$1,1)+3,FALSE)</f>
        <v>43</v>
      </c>
      <c r="J19" s="75"/>
    </row>
    <row r="20" spans="1:10">
      <c r="A20" s="360">
        <f t="shared" si="2"/>
        <v>44075</v>
      </c>
      <c r="B20" s="256" t="str">
        <f>IF(VLOOKUP($C$7,'Type of adjust'!$A$1:$P$18,MATCH($A20,'Type of adjust'!$A$1:$P$1,0),FALSE)="", "..", VLOOKUP($C$7,'Type of adjust'!$A$1:$P$18,MATCH($A20,'Type of adjust'!$A$1:$P$1,0),FALSE))</f>
        <v>..</v>
      </c>
      <c r="C20" s="261">
        <f>VLOOKUP($C$7&amp;"Adjusted seen "&amp;$C$9,REPORT_raw_dataseen!$A$1:$R$817,MATCH($A20,REPORT_raw_dataseen!$D$1:$R$1,1)+3, FALSE)</f>
        <v>5311</v>
      </c>
      <c r="D20" s="261">
        <f>IF(VLOOKUP($C$7&amp;"Adjusted seen "&amp;$D$10,REPORT_raw_dataseen!$A$1:$R$817,MATCH($A20,REPORT_raw_dataseen!$D$1:$R$1,1)+3, FALSE)=0,"-",VLOOKUP($C$7&amp;"Adjusted seen "&amp;$D$10,REPORT_raw_dataseen!$A$1:$R$817,MATCH($A20,REPORT_raw_dataseen!$D$1:$R$1,1)+3, FALSE))</f>
        <v>4032</v>
      </c>
      <c r="E20" s="261">
        <f t="shared" si="1"/>
        <v>1279</v>
      </c>
      <c r="F20" s="264">
        <f t="shared" si="0"/>
        <v>75.92</v>
      </c>
      <c r="G20" s="264">
        <f t="shared" si="0"/>
        <v>24.08</v>
      </c>
      <c r="H20" s="229">
        <f>+VLOOKUP($C$7&amp;"Adjusted seen median",REPORT_raw_dataseen!$A$1:$R$817,MATCH($A20,REPORT_raw_dataseen!$D$1:$R$1,1)+3,FALSE)</f>
        <v>2</v>
      </c>
      <c r="I20" s="281">
        <f>+VLOOKUP($C$7&amp;"Adjusted seen 90percent",REPORT_raw_dataseen!$A$1:$R$817,MATCH($A20,REPORT_raw_dataseen!$D$1:$R$1,1)+3,FALSE)</f>
        <v>40</v>
      </c>
      <c r="J20" s="75"/>
    </row>
    <row r="21" spans="1:10">
      <c r="A21" s="360">
        <f t="shared" si="2"/>
        <v>44044</v>
      </c>
      <c r="B21" s="256" t="str">
        <f>IF(VLOOKUP($C$7,'Type of adjust'!$A$1:$P$18,MATCH($A21,'Type of adjust'!$A$1:$P$1,0),FALSE)="", "..", VLOOKUP($C$7,'Type of adjust'!$A$1:$P$18,MATCH($A21,'Type of adjust'!$A$1:$P$1,0),FALSE))</f>
        <v>..</v>
      </c>
      <c r="C21" s="261">
        <f>VLOOKUP($C$7&amp;"Adjusted seen "&amp;$C$9,REPORT_raw_dataseen!$A$1:$R$817,MATCH($A21,REPORT_raw_dataseen!$D$1:$R$1,1)+3, FALSE)</f>
        <v>4777</v>
      </c>
      <c r="D21" s="261">
        <f>IF(VLOOKUP($C$7&amp;"Adjusted seen "&amp;$D$10,REPORT_raw_dataseen!$A$1:$R$817,MATCH($A21,REPORT_raw_dataseen!$D$1:$R$1,1)+3, FALSE)=0,"-",VLOOKUP($C$7&amp;"Adjusted seen "&amp;$D$10,REPORT_raw_dataseen!$A$1:$R$817,MATCH($A21,REPORT_raw_dataseen!$D$1:$R$1,1)+3, FALSE))</f>
        <v>3598</v>
      </c>
      <c r="E21" s="261">
        <f t="shared" si="1"/>
        <v>1179</v>
      </c>
      <c r="F21" s="264">
        <f t="shared" si="0"/>
        <v>75.319999999999993</v>
      </c>
      <c r="G21" s="264">
        <f t="shared" si="0"/>
        <v>24.68</v>
      </c>
      <c r="H21" s="229">
        <f>+VLOOKUP($C$7&amp;"Adjusted seen median",REPORT_raw_dataseen!$A$1:$R$817,MATCH($A21,REPORT_raw_dataseen!$D$1:$R$1,1)+3,FALSE)</f>
        <v>2</v>
      </c>
      <c r="I21" s="281">
        <f>+VLOOKUP($C$7&amp;"Adjusted seen 90percent",REPORT_raw_dataseen!$A$1:$R$817,MATCH($A21,REPORT_raw_dataseen!$D$1:$R$1,1)+3,FALSE)</f>
        <v>37</v>
      </c>
      <c r="J21" s="75"/>
    </row>
    <row r="22" spans="1:10">
      <c r="A22" s="360">
        <f t="shared" si="2"/>
        <v>44013</v>
      </c>
      <c r="B22" s="256" t="str">
        <f>IF(VLOOKUP($C$7,'Type of adjust'!$A$1:$P$18,MATCH($A22,'Type of adjust'!$A$1:$P$1,0),FALSE)="", "..", VLOOKUP($C$7,'Type of adjust'!$A$1:$P$18,MATCH($A22,'Type of adjust'!$A$1:$P$1,0),FALSE))</f>
        <v>..</v>
      </c>
      <c r="C22" s="261">
        <f>VLOOKUP($C$7&amp;"Adjusted seen "&amp;$C$9,REPORT_raw_dataseen!$A$1:$R$817,MATCH($A22,REPORT_raw_dataseen!$D$1:$R$1,1)+3, FALSE)</f>
        <v>4930</v>
      </c>
      <c r="D22" s="261">
        <f>IF(VLOOKUP($C$7&amp;"Adjusted seen "&amp;$D$10,REPORT_raw_dataseen!$A$1:$R$817,MATCH($A22,REPORT_raw_dataseen!$D$1:$R$1,1)+3, FALSE)=0,"-",VLOOKUP($C$7&amp;"Adjusted seen "&amp;$D$10,REPORT_raw_dataseen!$A$1:$R$817,MATCH($A22,REPORT_raw_dataseen!$D$1:$R$1,1)+3, FALSE))</f>
        <v>3668</v>
      </c>
      <c r="E22" s="261">
        <f t="shared" si="1"/>
        <v>1262</v>
      </c>
      <c r="F22" s="264">
        <f t="shared" si="0"/>
        <v>74.400000000000006</v>
      </c>
      <c r="G22" s="264">
        <f>IF(E22="-","-",IF(E22="..","..",IF(E22=0,"-",IF((E22/$C22%)=0,"-",ROUND(E22/$C22%,2)))))</f>
        <v>25.6</v>
      </c>
      <c r="H22" s="229">
        <f>+VLOOKUP($C$7&amp;"Adjusted seen median",REPORT_raw_dataseen!$A$1:$R$817,MATCH($A22,REPORT_raw_dataseen!$D$1:$R$1,1)+3,FALSE)</f>
        <v>2</v>
      </c>
      <c r="I22" s="281">
        <f>+VLOOKUP($C$7&amp;"Adjusted seen 90percent",REPORT_raw_dataseen!$A$1:$R$817,MATCH($A22,REPORT_raw_dataseen!$D$1:$R$1,1)+3,FALSE)</f>
        <v>37</v>
      </c>
      <c r="J22" s="75"/>
    </row>
    <row r="23" spans="1:10">
      <c r="A23" s="360">
        <f t="shared" si="2"/>
        <v>43983</v>
      </c>
      <c r="B23" s="256" t="str">
        <f>IF(VLOOKUP($C$7,'Type of adjust'!$A$1:$P$18,MATCH($A23,'Type of adjust'!$A$1:$P$1,0),FALSE)="", "..", VLOOKUP($C$7,'Type of adjust'!$A$1:$P$18,MATCH($A23,'Type of adjust'!$A$1:$P$1,0),FALSE))</f>
        <v>..</v>
      </c>
      <c r="C23" s="261">
        <f>VLOOKUP($C$7&amp;"Adjusted seen "&amp;$C$9,REPORT_raw_dataseen!$A$1:$R$817,MATCH($A23,REPORT_raw_dataseen!$D$1:$R$1,1)+3, FALSE)</f>
        <v>4332</v>
      </c>
      <c r="D23" s="261">
        <f>IF(VLOOKUP($C$7&amp;"Adjusted seen "&amp;$D$10,REPORT_raw_dataseen!$A$1:$R$817,MATCH($A23,REPORT_raw_dataseen!$D$1:$R$1,1)+3, FALSE)=0,"-",VLOOKUP($C$7&amp;"Adjusted seen "&amp;$D$10,REPORT_raw_dataseen!$A$1:$R$817,MATCH($A23,REPORT_raw_dataseen!$D$1:$R$1,1)+3, FALSE))</f>
        <v>3157</v>
      </c>
      <c r="E23" s="261">
        <f t="shared" si="1"/>
        <v>1175</v>
      </c>
      <c r="F23" s="264">
        <f t="shared" si="0"/>
        <v>72.88</v>
      </c>
      <c r="G23" s="264">
        <f t="shared" si="0"/>
        <v>27.12</v>
      </c>
      <c r="H23" s="229">
        <f>+VLOOKUP($C$7&amp;"Adjusted seen median",REPORT_raw_dataseen!$A$1:$R$817,MATCH($A23,REPORT_raw_dataseen!$D$1:$R$1,1)+3,FALSE)</f>
        <v>2</v>
      </c>
      <c r="I23" s="281">
        <f>+VLOOKUP($C$7&amp;"Adjusted seen 90percent",REPORT_raw_dataseen!$A$1:$R$817,MATCH($A23,REPORT_raw_dataseen!$D$1:$R$1,1)+3,FALSE)</f>
        <v>37</v>
      </c>
    </row>
    <row r="24" spans="1:10">
      <c r="A24" s="360">
        <f t="shared" si="2"/>
        <v>43952</v>
      </c>
      <c r="B24" s="256" t="str">
        <f>IF(VLOOKUP($C$7,'Type of adjust'!$A$1:$P$18,MATCH($A24,'Type of adjust'!$A$1:$P$1,0),FALSE)="", "..", VLOOKUP($C$7,'Type of adjust'!$A$1:$P$18,MATCH($A24,'Type of adjust'!$A$1:$P$1,0),FALSE))</f>
        <v>..</v>
      </c>
      <c r="C24" s="261">
        <f>VLOOKUP($C$7&amp;"Adjusted seen "&amp;$C$9,REPORT_raw_dataseen!$A$1:$R$817,MATCH($A24,REPORT_raw_dataseen!$D$1:$R$1,1)+3, FALSE)</f>
        <v>3446</v>
      </c>
      <c r="D24" s="261">
        <f>IF(VLOOKUP($C$7&amp;"Adjusted seen "&amp;$D$10,REPORT_raw_dataseen!$A$1:$R$817,MATCH($A24,REPORT_raw_dataseen!$D$1:$R$1,1)+3, FALSE)=0,"-",VLOOKUP($C$7&amp;"Adjusted seen "&amp;$D$10,REPORT_raw_dataseen!$A$1:$R$817,MATCH($A24,REPORT_raw_dataseen!$D$1:$R$1,1)+3, FALSE))</f>
        <v>2635</v>
      </c>
      <c r="E24" s="261">
        <f t="shared" si="1"/>
        <v>811</v>
      </c>
      <c r="F24" s="264">
        <f t="shared" si="0"/>
        <v>76.47</v>
      </c>
      <c r="G24" s="264">
        <f t="shared" si="0"/>
        <v>23.53</v>
      </c>
      <c r="H24" s="229">
        <f>+VLOOKUP($C$7&amp;"Adjusted seen median",REPORT_raw_dataseen!$A$1:$R$817,MATCH($A24,REPORT_raw_dataseen!$D$1:$R$1,1)+3,FALSE)</f>
        <v>2</v>
      </c>
      <c r="I24" s="281">
        <f>+VLOOKUP($C$7&amp;"Adjusted seen 90percent",REPORT_raw_dataseen!$A$1:$R$817,MATCH($A24,REPORT_raw_dataseen!$D$1:$R$1,1)+3,FALSE)</f>
        <v>38</v>
      </c>
    </row>
    <row r="25" spans="1:10">
      <c r="A25" s="360">
        <f t="shared" si="2"/>
        <v>43922</v>
      </c>
      <c r="B25" s="256" t="str">
        <f>IF(VLOOKUP($C$7,'Type of adjust'!$A$1:$P$18,MATCH($A25,'Type of adjust'!$A$1:$P$1,0),FALSE)="", "..", VLOOKUP($C$7,'Type of adjust'!$A$1:$P$18,MATCH($A25,'Type of adjust'!$A$1:$P$1,0),FALSE))</f>
        <v>..</v>
      </c>
      <c r="C25" s="261">
        <f>VLOOKUP($C$7&amp;"Adjusted seen "&amp;$C$9,REPORT_raw_dataseen!$A$1:$R$817,MATCH($A25,REPORT_raw_dataseen!$D$1:$R$1,1)+3, FALSE)</f>
        <v>3042</v>
      </c>
      <c r="D25" s="261">
        <f>IF(VLOOKUP($C$7&amp;"Adjusted seen "&amp;$D$10,REPORT_raw_dataseen!$A$1:$R$817,MATCH($A25,REPORT_raw_dataseen!$D$1:$R$1,1)+3, FALSE)=0,"-",VLOOKUP($C$7&amp;"Adjusted seen "&amp;$D$10,REPORT_raw_dataseen!$A$1:$R$817,MATCH($A25,REPORT_raw_dataseen!$D$1:$R$1,1)+3, FALSE))</f>
        <v>2293</v>
      </c>
      <c r="E25" s="261">
        <f t="shared" si="1"/>
        <v>749</v>
      </c>
      <c r="F25" s="264">
        <f t="shared" si="0"/>
        <v>75.38</v>
      </c>
      <c r="G25" s="264">
        <f t="shared" si="0"/>
        <v>24.62</v>
      </c>
      <c r="H25" s="229">
        <f>+VLOOKUP($C$7&amp;"Adjusted seen median",REPORT_raw_dataseen!$A$1:$R$817,MATCH($A25,REPORT_raw_dataseen!$D$1:$R$1,1)+3,FALSE)</f>
        <v>6</v>
      </c>
      <c r="I25" s="281">
        <f>+VLOOKUP($C$7&amp;"Adjusted seen 90percent",REPORT_raw_dataseen!$A$1:$R$817,MATCH($A25,REPORT_raw_dataseen!$D$1:$R$1,1)+3,FALSE)</f>
        <v>35</v>
      </c>
    </row>
    <row r="26" spans="1:10">
      <c r="A26" s="362"/>
      <c r="B26" s="266"/>
      <c r="C26" s="266"/>
      <c r="D26" s="266"/>
      <c r="E26" s="261"/>
      <c r="F26" s="271"/>
      <c r="G26" s="271"/>
      <c r="H26" s="229"/>
      <c r="I26" s="282"/>
    </row>
    <row r="27" spans="1:10">
      <c r="A27" s="274" t="str">
        <f>"quarter ending "&amp;TEXT(A11,"mmm yyyy")</f>
        <v>quarter ending Jun 2021</v>
      </c>
      <c r="B27" s="267" t="str">
        <f>B12</f>
        <v>..</v>
      </c>
      <c r="C27" s="285">
        <f>IF(OR(C11="*", C12="*", C13="*"),"*", IF(COUNTIF(C11:C13,"..")=3,"..",IF(SUM(C11:C13)=0,"-",SUM(C11:C13))))</f>
        <v>19587</v>
      </c>
      <c r="D27" s="285">
        <f>IF(OR(D11="*", D12="*", D13="*"),"*", IF(COUNTIF(D11:D13,"..")=3,"..",IF(SUM(D11:D13)=0,"-",SUM(D11:D13))))</f>
        <v>16201</v>
      </c>
      <c r="E27" s="287">
        <f>IF((C27-D27)=0,"-",C27-D27)</f>
        <v>3386</v>
      </c>
      <c r="F27" s="272">
        <f>IF(D27="-", "-", ROUND(D27/$C27%,3))</f>
        <v>82.712999999999994</v>
      </c>
      <c r="G27" s="272">
        <f>IF(E27="-", "-", ROUND(E27/$C27%,3))</f>
        <v>17.286999999999999</v>
      </c>
      <c r="H27" s="289">
        <f>+VLOOKUP($C$7&amp;"Adjusted seen Quartmedian",REPORT_raw_dataseen!$A$1:$R$817,MATCH($A11,REPORT_raw_dataseen!$D$1:$R$1,1)+1,FALSE)</f>
        <v>2</v>
      </c>
      <c r="I27" s="283">
        <f>+VLOOKUP($C$7&amp;"Adjusted seen Quart90perc",REPORT_raw_dataseen!$A$1:$R$817,MATCH($A11,REPORT_raw_dataseen!$D$1:$R$1,1)+1,FALSE)</f>
        <v>31</v>
      </c>
    </row>
    <row r="28" spans="1:10">
      <c r="A28" s="274" t="str">
        <f>"quarter ending "&amp;TEXT(A14,"mmm yyyy")</f>
        <v>quarter ending Mar 2021</v>
      </c>
      <c r="B28" s="267" t="str">
        <f>B14</f>
        <v>..</v>
      </c>
      <c r="C28" s="285">
        <f>IF(OR(C14="*", C15="*", C16="*"),"*", IF(COUNTIF(C14:C16,"..")=3,"..",IF(SUM(C14:C16)=0,"-",SUM(C14:C16))))</f>
        <v>18123</v>
      </c>
      <c r="D28" s="285">
        <f>IF(OR(D14="*", D15="*", D16="*"),"*", IF(COUNTIF(D14:D16,"..")=3,"..",IF(SUM(D14:D16)=0,"-",SUM(D14:D16))))</f>
        <v>14592</v>
      </c>
      <c r="E28" s="285">
        <f>IF(OR(E14="*", E15="*", E16="*"),"*", IF(COUNTIF(E14:E16,"..")=3,"..",IF(SUM(E14:E16)=0,"-",SUM(E14:E16))))</f>
        <v>3531</v>
      </c>
      <c r="F28" s="272">
        <f t="shared" ref="F28:G31" si="3">IF(D28="-", "-", ROUND(D28/$C28%,2))</f>
        <v>80.52</v>
      </c>
      <c r="G28" s="272">
        <f t="shared" si="3"/>
        <v>19.48</v>
      </c>
      <c r="H28" s="289">
        <f>+VLOOKUP($C$7&amp;"Adjusted seen Quartmedian",REPORT_raw_dataseen!$A$1:$R$817,MATCH($A14,REPORT_raw_dataseen!$D$1:$R$1,1)+1,FALSE)</f>
        <v>3</v>
      </c>
      <c r="I28" s="283">
        <f>+VLOOKUP($C$7&amp;"Adjusted seen Quart90perc",REPORT_raw_dataseen!$A$1:$R$817,MATCH($A14,REPORT_raw_dataseen!$D$1:$R$1,1)+1,FALSE)</f>
        <v>43</v>
      </c>
    </row>
    <row r="29" spans="1:10">
      <c r="A29" s="274" t="str">
        <f>"quarter ending "&amp;TEXT(A17,"mmm yyyy")</f>
        <v>quarter ending Dec 2020</v>
      </c>
      <c r="B29" s="267" t="str">
        <f>B18</f>
        <v>..</v>
      </c>
      <c r="C29" s="285">
        <f>IF(OR(C17="*", C18="*", C19="*"),"*", IF(COUNTIF(C17:C19,"..")=3,"..",IF(SUM(C17:C19)=0,"-",SUM(C17:C19))))</f>
        <v>17023</v>
      </c>
      <c r="D29" s="285">
        <f>IF(OR(D17="*", D18="*", D19="*"),"*", IF(COUNTIF(D17:D19,"..")=3,"..",IF(SUM(D17:D19)=0,"-",SUM(D17:D19))))</f>
        <v>13625</v>
      </c>
      <c r="E29" s="285">
        <f>IF(OR(E17="*", E18="*", E19="*"),"*", IF(COUNTIF(E17:E19,"..")=3,"..",IF(SUM(E17:E19)=0,"-",SUM(E17:E19))))</f>
        <v>3398</v>
      </c>
      <c r="F29" s="272">
        <f t="shared" si="3"/>
        <v>80.040000000000006</v>
      </c>
      <c r="G29" s="272">
        <f t="shared" si="3"/>
        <v>19.96</v>
      </c>
      <c r="H29" s="289">
        <f>+VLOOKUP($C$7&amp;"Adjusted seen Quartmedian",REPORT_raw_dataseen!$A$1:$R$817,MATCH($A17,REPORT_raw_dataseen!$D$1:$R$1,1)+1,FALSE)</f>
        <v>2</v>
      </c>
      <c r="I29" s="283">
        <f>+VLOOKUP($C$7&amp;"Adjusted seen Quart90perc",REPORT_raw_dataseen!$A$1:$R$817,MATCH($A17,REPORT_raw_dataseen!$D$1:$R$1,1)+1,FALSE)</f>
        <v>44</v>
      </c>
    </row>
    <row r="30" spans="1:10">
      <c r="A30" s="274" t="str">
        <f>"quarter ending "&amp;TEXT(A20,"mmm yyyy")</f>
        <v>quarter ending Sep 2020</v>
      </c>
      <c r="B30" s="267" t="str">
        <f>B21</f>
        <v>..</v>
      </c>
      <c r="C30" s="285">
        <f>IF(OR(C20="*", C21="*", C22="*"),"*", IF(COUNTIF(C20:C22,"..")=3,"..",IF(SUM(C20:C22)=0,"-",SUM(C20:C22))))</f>
        <v>15018</v>
      </c>
      <c r="D30" s="285">
        <f>IF(OR(D20="*", D21="*", D22="*"),"*", IF(COUNTIF(D20:D22,"..")=3,"..",IF(SUM(D20:D22)=0,"-",SUM(D20:D22))))</f>
        <v>11298</v>
      </c>
      <c r="E30" s="285">
        <f>IF(OR(E20="*", E21="*", E22="*"),"*", IF(COUNTIF(E20:E22,"..")=3,"..",IF(SUM(E20:E22)=0,"-",SUM(E20:E22))))</f>
        <v>3720</v>
      </c>
      <c r="F30" s="272">
        <f>IF(D30="-", "-", ROUND(D30/$C30%,2))</f>
        <v>75.23</v>
      </c>
      <c r="G30" s="272">
        <f t="shared" si="3"/>
        <v>24.77</v>
      </c>
      <c r="H30" s="289">
        <f>+VLOOKUP($C$7&amp;"Adjusted seen Quartmedian",REPORT_raw_dataseen!$A$1:$R$817,MATCH($A20,REPORT_raw_dataseen!$D$1:$R$1,1)+1,FALSE)</f>
        <v>2</v>
      </c>
      <c r="I30" s="283">
        <f>+VLOOKUP($C$7&amp;"Adjusted seen Quart90perc",REPORT_raw_dataseen!$A$1:$R$817,MATCH($A20,REPORT_raw_dataseen!$D$1:$R$1,1)+1,FALSE)</f>
        <v>38</v>
      </c>
    </row>
    <row r="31" spans="1:10">
      <c r="A31" s="363" t="str">
        <f>"quarter ending "&amp;TEXT(A23,"mmm yyyy")</f>
        <v>quarter ending Jun 2020</v>
      </c>
      <c r="B31" s="268" t="str">
        <f>B24</f>
        <v>..</v>
      </c>
      <c r="C31" s="286">
        <f>IF(OR(C23="*", C24="*", C25="*"),"*", IF(COUNTIF(C23:C25,"..")=3,"..",IF(SUM(C23:C25)=0,"-",SUM(C23:C25))))</f>
        <v>10820</v>
      </c>
      <c r="D31" s="286">
        <f>IF(OR(D23="*", D24="*", D25="*"),"*", IF(COUNTIF(D23:D25,"..")=3,"..",IF(SUM(D23:D25)=0,"-",SUM(D23:D25))))</f>
        <v>8085</v>
      </c>
      <c r="E31" s="286">
        <f>IF(OR(E23="*", E24="*", E25="*"),"*", IF(COUNTIF(E23:E25,"..")=3,"..",IF(SUM(E23:E25)=0,"-",SUM(E23:E25))))</f>
        <v>2735</v>
      </c>
      <c r="F31" s="273">
        <f>IF(D31="-", "-", ROUND(D31/$C31%,2))</f>
        <v>74.72</v>
      </c>
      <c r="G31" s="273">
        <f t="shared" si="3"/>
        <v>25.28</v>
      </c>
      <c r="H31" s="290">
        <f>+VLOOKUP($C$7&amp;"Adjusted seen Quartmedian",REPORT_raw_dataseen!$A$1:$R$817,MATCH($A23,REPORT_raw_dataseen!$D$1:$R$1,1)+1,FALSE)</f>
        <v>3</v>
      </c>
      <c r="I31" s="284">
        <f>+VLOOKUP($C$7&amp;"Adjusted seen Quart90perc",REPORT_raw_dataseen!$A$1:$R$817,MATCH($A23,REPORT_raw_dataseen!$D$1:$R$1,1)+1,FALSE)</f>
        <v>37</v>
      </c>
    </row>
    <row r="32" spans="1:10">
      <c r="B32" s="16"/>
      <c r="C32" s="16"/>
      <c r="D32" s="16"/>
      <c r="E32" s="16"/>
      <c r="F32" s="17"/>
      <c r="G32" s="17"/>
    </row>
    <row r="33" spans="1:7">
      <c r="B33" s="16"/>
      <c r="C33" s="16"/>
      <c r="D33" s="16"/>
      <c r="E33" s="16"/>
      <c r="F33" s="17"/>
      <c r="G33" s="17"/>
    </row>
    <row r="34" spans="1:7" ht="20.25">
      <c r="A34" s="76" t="s">
        <v>337</v>
      </c>
      <c r="B34" s="16"/>
      <c r="C34" s="16"/>
      <c r="D34" s="16"/>
      <c r="E34" s="16"/>
      <c r="F34" s="17"/>
      <c r="G34" s="17"/>
    </row>
    <row r="35" spans="1:7" ht="29.25" customHeight="1">
      <c r="A35" s="77" t="s">
        <v>338</v>
      </c>
      <c r="B35" s="77" t="s">
        <v>339</v>
      </c>
      <c r="C35" s="78"/>
      <c r="D35" s="450" t="s">
        <v>340</v>
      </c>
      <c r="E35" s="450"/>
      <c r="F35" s="450"/>
      <c r="G35" s="450"/>
    </row>
    <row r="36" spans="1:7" ht="27" customHeight="1">
      <c r="A36" s="79" t="s">
        <v>55</v>
      </c>
      <c r="B36" s="80" t="s">
        <v>341</v>
      </c>
      <c r="C36" s="81"/>
      <c r="D36" s="451" t="s">
        <v>342</v>
      </c>
      <c r="E36" s="451"/>
      <c r="F36" s="451"/>
      <c r="G36" s="451"/>
    </row>
    <row r="37" spans="1:7" ht="39" customHeight="1">
      <c r="A37" s="82" t="s">
        <v>343</v>
      </c>
      <c r="B37" s="83" t="s">
        <v>344</v>
      </c>
      <c r="C37" s="84"/>
      <c r="D37" s="452" t="s">
        <v>345</v>
      </c>
      <c r="E37" s="452"/>
      <c r="F37" s="452"/>
      <c r="G37" s="452"/>
    </row>
    <row r="38" spans="1:7">
      <c r="A38" s="85" t="s">
        <v>27</v>
      </c>
      <c r="B38" s="86"/>
      <c r="C38" s="87"/>
      <c r="D38" s="439" t="s">
        <v>346</v>
      </c>
      <c r="E38" s="439"/>
      <c r="F38" s="439"/>
      <c r="G38" s="439"/>
    </row>
    <row r="39" spans="1:7">
      <c r="A39" s="88"/>
      <c r="B39" s="89"/>
      <c r="C39" s="89"/>
      <c r="D39" s="19"/>
      <c r="E39" s="89"/>
      <c r="F39" s="90"/>
      <c r="G39" s="15"/>
    </row>
    <row r="40" spans="1:7">
      <c r="A40" s="88"/>
      <c r="B40" s="89"/>
      <c r="C40" s="89"/>
      <c r="D40" s="19"/>
      <c r="E40" s="89"/>
      <c r="F40" s="90"/>
      <c r="G40" s="15"/>
    </row>
    <row r="41" spans="1:7">
      <c r="A41" s="88"/>
      <c r="B41" s="89"/>
      <c r="C41" s="89"/>
      <c r="D41" s="19"/>
      <c r="E41" s="89"/>
      <c r="F41" s="90"/>
      <c r="G41" s="15"/>
    </row>
    <row r="42" spans="1:7">
      <c r="A42" s="91" t="s">
        <v>190</v>
      </c>
      <c r="B42" s="89"/>
      <c r="C42" s="89"/>
      <c r="D42" s="89"/>
      <c r="E42" s="89"/>
      <c r="F42" s="90"/>
      <c r="G42" s="15"/>
    </row>
    <row r="43" spans="1:7">
      <c r="A43" s="91" t="s">
        <v>191</v>
      </c>
      <c r="B43" s="89"/>
      <c r="C43" s="89"/>
      <c r="D43" s="89"/>
      <c r="E43" s="89"/>
      <c r="F43" s="90"/>
      <c r="G43" s="15"/>
    </row>
    <row r="44" spans="1:7">
      <c r="B44" s="16"/>
      <c r="C44" s="16"/>
      <c r="D44" s="16"/>
      <c r="E44" s="16"/>
      <c r="F44" s="18"/>
      <c r="G44" s="18"/>
    </row>
    <row r="45" spans="1:7">
      <c r="A45" s="43" t="s">
        <v>410</v>
      </c>
      <c r="B45" s="12"/>
      <c r="C45" s="12"/>
      <c r="D45" s="12"/>
      <c r="E45" s="12"/>
      <c r="F45" s="13"/>
      <c r="G45" s="13"/>
    </row>
    <row r="46" spans="1:7" ht="2.25" customHeight="1">
      <c r="B46" s="7"/>
      <c r="C46" s="7"/>
      <c r="D46" s="7"/>
      <c r="E46" s="7"/>
      <c r="F46" s="14"/>
      <c r="G46" s="14"/>
    </row>
    <row r="47" spans="1:7" ht="2.25" customHeight="1">
      <c r="A47" s="8"/>
      <c r="B47" s="7"/>
      <c r="C47" s="7"/>
      <c r="D47" s="7"/>
      <c r="E47" s="7"/>
      <c r="F47" s="15"/>
      <c r="G47" s="15"/>
    </row>
    <row r="48" spans="1:7">
      <c r="B48" s="16"/>
      <c r="C48" s="16"/>
      <c r="D48" s="16"/>
      <c r="E48" s="16"/>
      <c r="F48" s="18"/>
      <c r="G48" s="18"/>
    </row>
    <row r="49" spans="1:7">
      <c r="B49" s="12"/>
      <c r="C49" s="12"/>
      <c r="D49" s="12"/>
      <c r="E49" s="12"/>
      <c r="F49" s="13"/>
      <c r="G49" s="13"/>
    </row>
    <row r="50" spans="1:7">
      <c r="B50" s="12"/>
      <c r="C50" s="12"/>
      <c r="D50" s="7"/>
      <c r="E50" s="7"/>
      <c r="F50" s="14"/>
      <c r="G50" s="14"/>
    </row>
    <row r="51" spans="1:7">
      <c r="B51" s="12"/>
      <c r="C51" s="12"/>
      <c r="D51" s="7"/>
      <c r="E51" s="7"/>
      <c r="F51" s="15"/>
      <c r="G51" s="15"/>
    </row>
    <row r="52" spans="1:7">
      <c r="B52" s="16"/>
      <c r="C52" s="16"/>
      <c r="D52" s="7"/>
      <c r="E52" s="7"/>
      <c r="F52" s="15"/>
      <c r="G52" s="15"/>
    </row>
    <row r="53" spans="1:7" ht="6" customHeight="1">
      <c r="A53" s="29" t="str">
        <f>"Percentage of patients waiting less than 18 weeks for adjusted waits - "&amp;C7</f>
        <v>Percentage of patients waiting less than 18 weeks for adjusted waits - Scotland</v>
      </c>
      <c r="B53" s="16"/>
      <c r="C53" s="16"/>
      <c r="D53" s="16"/>
      <c r="E53" s="16"/>
      <c r="F53" s="15"/>
      <c r="G53" s="15"/>
    </row>
    <row r="54" spans="1:7" ht="6" customHeight="1">
      <c r="A54" s="28"/>
      <c r="B54" s="16"/>
      <c r="C54" s="16"/>
      <c r="D54" s="16"/>
      <c r="E54" s="16"/>
      <c r="F54" s="18"/>
      <c r="G54" s="18"/>
    </row>
    <row r="55" spans="1:7">
      <c r="B55" s="12"/>
      <c r="C55" s="12"/>
      <c r="D55" s="12"/>
      <c r="E55" s="12"/>
      <c r="F55" s="13"/>
      <c r="G55" s="13"/>
    </row>
    <row r="56" spans="1:7" ht="12" customHeight="1">
      <c r="B56" s="7"/>
      <c r="C56" s="7"/>
      <c r="D56" s="7"/>
      <c r="E56" s="7"/>
      <c r="F56" s="14"/>
      <c r="G56" s="14"/>
    </row>
    <row r="57" spans="1:7">
      <c r="A57" s="29" t="str">
        <f>"Patients seen - adjusted waits - "&amp;C7</f>
        <v>Patients seen - adjusted waits - Scotland</v>
      </c>
      <c r="B57" s="16"/>
      <c r="C57" s="16"/>
      <c r="D57" s="16"/>
      <c r="E57" s="16"/>
      <c r="F57" s="15"/>
      <c r="G57" s="15"/>
    </row>
    <row r="58" spans="1:7">
      <c r="A58" s="29" t="str">
        <f>"Percentage of patients seen 0-18 weeks for adjusted waits - "&amp;C7</f>
        <v>Percentage of patients seen 0-18 weeks for adjusted waits - Scotland</v>
      </c>
      <c r="B58" s="16"/>
      <c r="C58" s="16"/>
      <c r="D58" s="16"/>
      <c r="E58" s="16"/>
      <c r="F58" s="15"/>
      <c r="G58" s="15"/>
    </row>
    <row r="59" spans="1:7">
      <c r="A59" s="29" t="str">
        <f>"Percentage of patients seen - adjusted waits - "&amp;C7</f>
        <v>Percentage of patients seen - adjusted waits - Scotland</v>
      </c>
      <c r="B59" s="16"/>
      <c r="C59" s="16"/>
      <c r="D59" s="16"/>
      <c r="E59" s="16"/>
      <c r="F59" s="17"/>
      <c r="G59" s="17"/>
    </row>
    <row r="60" spans="1:7">
      <c r="B60" s="12"/>
      <c r="C60" s="12"/>
      <c r="D60" s="12"/>
      <c r="E60" s="12"/>
      <c r="F60" s="13"/>
      <c r="G60" s="13"/>
    </row>
    <row r="61" spans="1:7" s="20" customFormat="1" ht="12.75" customHeight="1">
      <c r="B61" s="21"/>
      <c r="C61" s="21"/>
      <c r="D61" s="21"/>
      <c r="E61" s="21"/>
      <c r="F61" s="22"/>
      <c r="G61" s="22"/>
    </row>
    <row r="62" spans="1:7">
      <c r="B62" s="8"/>
      <c r="C62" s="8"/>
      <c r="D62" s="8"/>
      <c r="E62" s="8"/>
      <c r="F62" s="24"/>
      <c r="G62" s="24"/>
    </row>
    <row r="63" spans="1:7">
      <c r="B63" s="8"/>
      <c r="C63" s="8"/>
      <c r="D63" s="8"/>
      <c r="E63" s="8"/>
      <c r="F63" s="24"/>
      <c r="G63" s="24"/>
    </row>
    <row r="64" spans="1:7">
      <c r="B64" s="8"/>
      <c r="C64" s="8"/>
      <c r="D64" s="8"/>
      <c r="E64" s="8"/>
      <c r="F64" s="24"/>
      <c r="G64" s="24"/>
    </row>
    <row r="65" spans="1:7">
      <c r="A65" s="16"/>
      <c r="B65" s="16"/>
      <c r="C65" s="16"/>
      <c r="D65" s="16"/>
      <c r="E65" s="16"/>
      <c r="F65" s="26"/>
      <c r="G65" s="26"/>
    </row>
    <row r="66" spans="1:7">
      <c r="B66" s="16"/>
      <c r="C66" s="16"/>
      <c r="D66" s="16"/>
      <c r="E66" s="16"/>
      <c r="F66" s="18"/>
      <c r="G66" s="18"/>
    </row>
    <row r="67" spans="1:7">
      <c r="B67" s="12"/>
      <c r="C67" s="12"/>
      <c r="D67" s="12"/>
      <c r="E67" s="12"/>
      <c r="F67" s="13"/>
      <c r="G67" s="13"/>
    </row>
    <row r="68" spans="1:7">
      <c r="B68" s="7"/>
      <c r="C68" s="7"/>
      <c r="D68" s="7"/>
      <c r="E68" s="7"/>
      <c r="F68" s="14"/>
      <c r="G68" s="14"/>
    </row>
    <row r="69" spans="1:7">
      <c r="B69" s="7"/>
      <c r="C69" s="7"/>
      <c r="D69" s="7"/>
      <c r="E69" s="7"/>
      <c r="F69" s="15"/>
      <c r="G69" s="15"/>
    </row>
    <row r="70" spans="1:7">
      <c r="B70" s="7"/>
      <c r="C70" s="7"/>
      <c r="D70" s="7"/>
      <c r="E70" s="7"/>
      <c r="F70" s="15"/>
      <c r="G70" s="15"/>
    </row>
    <row r="71" spans="1:7">
      <c r="B71" s="16"/>
      <c r="C71" s="16"/>
      <c r="D71" s="16"/>
      <c r="E71" s="16"/>
      <c r="F71" s="18"/>
      <c r="G71" s="18"/>
    </row>
    <row r="72" spans="1:7">
      <c r="B72" s="27"/>
      <c r="C72" s="27"/>
      <c r="D72" s="27"/>
      <c r="E72" s="27"/>
      <c r="F72" s="13"/>
      <c r="G72" s="13"/>
    </row>
    <row r="73" spans="1:7">
      <c r="B73" s="28"/>
      <c r="C73" s="28"/>
      <c r="D73" s="28"/>
      <c r="E73" s="28"/>
      <c r="F73" s="14"/>
      <c r="G73" s="14"/>
    </row>
    <row r="74" spans="1:7">
      <c r="F74" s="15"/>
      <c r="G74" s="15"/>
    </row>
    <row r="75" spans="1:7">
      <c r="F75" s="15"/>
      <c r="G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sheetProtection algorithmName="SHA-512" hashValue="fD/YMD9rjQaFD/j8JKyT/MmA7O2M6Ic6EuUtAfVSyfWZVxLKS6+CsHMzmxETxebspV3mxVFqwsisGRHm6MfU9w==" saltValue="a8OlF2Mbet+UCJRa2OmFtg==" spinCount="100000" sheet="1" objects="1" scenarios="1"/>
  <mergeCells count="12">
    <mergeCell ref="D35:G35"/>
    <mergeCell ref="D36:G36"/>
    <mergeCell ref="D37:G37"/>
    <mergeCell ref="D38:G38"/>
    <mergeCell ref="A1:K1"/>
    <mergeCell ref="A2:D2"/>
    <mergeCell ref="C7:D7"/>
    <mergeCell ref="A9:A10"/>
    <mergeCell ref="B9:B10"/>
    <mergeCell ref="C9:C10"/>
    <mergeCell ref="D9:E9"/>
    <mergeCell ref="F9:G9"/>
  </mergeCells>
  <dataValidations count="2">
    <dataValidation type="list" allowBlank="1" showInputMessage="1" showErrorMessage="1" sqref="C7:D7">
      <formula1>ISLANDBOARDS</formula1>
    </dataValidation>
    <dataValidation type="list" allowBlank="1" showInputMessage="1" showErrorMessage="1" sqref="WVG983026:WVH983026 IU65522:IV65522 SQ65522:SR65522 ACM65522:ACN65522 AMI65522:AMJ65522 AWE65522:AWF65522 BGA65522:BGB65522 BPW65522:BPX65522 BZS65522:BZT65522 CJO65522:CJP65522 CTK65522:CTL65522 DDG65522:DDH65522 DNC65522:DND65522 DWY65522:DWZ65522 EGU65522:EGV65522 EQQ65522:EQR65522 FAM65522:FAN65522 FKI65522:FKJ65522 FUE65522:FUF65522 GEA65522:GEB65522 GNW65522:GNX65522 GXS65522:GXT65522 HHO65522:HHP65522 HRK65522:HRL65522 IBG65522:IBH65522 ILC65522:ILD65522 IUY65522:IUZ65522 JEU65522:JEV65522 JOQ65522:JOR65522 JYM65522:JYN65522 KII65522:KIJ65522 KSE65522:KSF65522 LCA65522:LCB65522 LLW65522:LLX65522 LVS65522:LVT65522 MFO65522:MFP65522 MPK65522:MPL65522 MZG65522:MZH65522 NJC65522:NJD65522 NSY65522:NSZ65522 OCU65522:OCV65522 OMQ65522:OMR65522 OWM65522:OWN65522 PGI65522:PGJ65522 PQE65522:PQF65522 QAA65522:QAB65522 QJW65522:QJX65522 QTS65522:QTT65522 RDO65522:RDP65522 RNK65522:RNL65522 RXG65522:RXH65522 SHC65522:SHD65522 SQY65522:SQZ65522 TAU65522:TAV65522 TKQ65522:TKR65522 TUM65522:TUN65522 UEI65522:UEJ65522 UOE65522:UOF65522 UYA65522:UYB65522 VHW65522:VHX65522 VRS65522:VRT65522 WBO65522:WBP65522 WLK65522:WLL65522 WVG65522:WVH65522 IU131058:IV131058 SQ131058:SR131058 ACM131058:ACN131058 AMI131058:AMJ131058 AWE131058:AWF131058 BGA131058:BGB131058 BPW131058:BPX131058 BZS131058:BZT131058 CJO131058:CJP131058 CTK131058:CTL131058 DDG131058:DDH131058 DNC131058:DND131058 DWY131058:DWZ131058 EGU131058:EGV131058 EQQ131058:EQR131058 FAM131058:FAN131058 FKI131058:FKJ131058 FUE131058:FUF131058 GEA131058:GEB131058 GNW131058:GNX131058 GXS131058:GXT131058 HHO131058:HHP131058 HRK131058:HRL131058 IBG131058:IBH131058 ILC131058:ILD131058 IUY131058:IUZ131058 JEU131058:JEV131058 JOQ131058:JOR131058 JYM131058:JYN131058 KII131058:KIJ131058 KSE131058:KSF131058 LCA131058:LCB131058 LLW131058:LLX131058 LVS131058:LVT131058 MFO131058:MFP131058 MPK131058:MPL131058 MZG131058:MZH131058 NJC131058:NJD131058 NSY131058:NSZ131058 OCU131058:OCV131058 OMQ131058:OMR131058 OWM131058:OWN131058 PGI131058:PGJ131058 PQE131058:PQF131058 QAA131058:QAB131058 QJW131058:QJX131058 QTS131058:QTT131058 RDO131058:RDP131058 RNK131058:RNL131058 RXG131058:RXH131058 SHC131058:SHD131058 SQY131058:SQZ131058 TAU131058:TAV131058 TKQ131058:TKR131058 TUM131058:TUN131058 UEI131058:UEJ131058 UOE131058:UOF131058 UYA131058:UYB131058 VHW131058:VHX131058 VRS131058:VRT131058 WBO131058:WBP131058 WLK131058:WLL131058 WVG131058:WVH131058 IU196594:IV196594 SQ196594:SR196594 ACM196594:ACN196594 AMI196594:AMJ196594 AWE196594:AWF196594 BGA196594:BGB196594 BPW196594:BPX196594 BZS196594:BZT196594 CJO196594:CJP196594 CTK196594:CTL196594 DDG196594:DDH196594 DNC196594:DND196594 DWY196594:DWZ196594 EGU196594:EGV196594 EQQ196594:EQR196594 FAM196594:FAN196594 FKI196594:FKJ196594 FUE196594:FUF196594 GEA196594:GEB196594 GNW196594:GNX196594 GXS196594:GXT196594 HHO196594:HHP196594 HRK196594:HRL196594 IBG196594:IBH196594 ILC196594:ILD196594 IUY196594:IUZ196594 JEU196594:JEV196594 JOQ196594:JOR196594 JYM196594:JYN196594 KII196594:KIJ196594 KSE196594:KSF196594 LCA196594:LCB196594 LLW196594:LLX196594 LVS196594:LVT196594 MFO196594:MFP196594 MPK196594:MPL196594 MZG196594:MZH196594 NJC196594:NJD196594 NSY196594:NSZ196594 OCU196594:OCV196594 OMQ196594:OMR196594 OWM196594:OWN196594 PGI196594:PGJ196594 PQE196594:PQF196594 QAA196594:QAB196594 QJW196594:QJX196594 QTS196594:QTT196594 RDO196594:RDP196594 RNK196594:RNL196594 RXG196594:RXH196594 SHC196594:SHD196594 SQY196594:SQZ196594 TAU196594:TAV196594 TKQ196594:TKR196594 TUM196594:TUN196594 UEI196594:UEJ196594 UOE196594:UOF196594 UYA196594:UYB196594 VHW196594:VHX196594 VRS196594:VRT196594 WBO196594:WBP196594 WLK196594:WLL196594 WVG196594:WVH196594 IU262130:IV262130 SQ262130:SR262130 ACM262130:ACN262130 AMI262130:AMJ262130 AWE262130:AWF262130 BGA262130:BGB262130 BPW262130:BPX262130 BZS262130:BZT262130 CJO262130:CJP262130 CTK262130:CTL262130 DDG262130:DDH262130 DNC262130:DND262130 DWY262130:DWZ262130 EGU262130:EGV262130 EQQ262130:EQR262130 FAM262130:FAN262130 FKI262130:FKJ262130 FUE262130:FUF262130 GEA262130:GEB262130 GNW262130:GNX262130 GXS262130:GXT262130 HHO262130:HHP262130 HRK262130:HRL262130 IBG262130:IBH262130 ILC262130:ILD262130 IUY262130:IUZ262130 JEU262130:JEV262130 JOQ262130:JOR262130 JYM262130:JYN262130 KII262130:KIJ262130 KSE262130:KSF262130 LCA262130:LCB262130 LLW262130:LLX262130 LVS262130:LVT262130 MFO262130:MFP262130 MPK262130:MPL262130 MZG262130:MZH262130 NJC262130:NJD262130 NSY262130:NSZ262130 OCU262130:OCV262130 OMQ262130:OMR262130 OWM262130:OWN262130 PGI262130:PGJ262130 PQE262130:PQF262130 QAA262130:QAB262130 QJW262130:QJX262130 QTS262130:QTT262130 RDO262130:RDP262130 RNK262130:RNL262130 RXG262130:RXH262130 SHC262130:SHD262130 SQY262130:SQZ262130 TAU262130:TAV262130 TKQ262130:TKR262130 TUM262130:TUN262130 UEI262130:UEJ262130 UOE262130:UOF262130 UYA262130:UYB262130 VHW262130:VHX262130 VRS262130:VRT262130 WBO262130:WBP262130 WLK262130:WLL262130 WVG262130:WVH262130 IU327666:IV327666 SQ327666:SR327666 ACM327666:ACN327666 AMI327666:AMJ327666 AWE327666:AWF327666 BGA327666:BGB327666 BPW327666:BPX327666 BZS327666:BZT327666 CJO327666:CJP327666 CTK327666:CTL327666 DDG327666:DDH327666 DNC327666:DND327666 DWY327666:DWZ327666 EGU327666:EGV327666 EQQ327666:EQR327666 FAM327666:FAN327666 FKI327666:FKJ327666 FUE327666:FUF327666 GEA327666:GEB327666 GNW327666:GNX327666 GXS327666:GXT327666 HHO327666:HHP327666 HRK327666:HRL327666 IBG327666:IBH327666 ILC327666:ILD327666 IUY327666:IUZ327666 JEU327666:JEV327666 JOQ327666:JOR327666 JYM327666:JYN327666 KII327666:KIJ327666 KSE327666:KSF327666 LCA327666:LCB327666 LLW327666:LLX327666 LVS327666:LVT327666 MFO327666:MFP327666 MPK327666:MPL327666 MZG327666:MZH327666 NJC327666:NJD327666 NSY327666:NSZ327666 OCU327666:OCV327666 OMQ327666:OMR327666 OWM327666:OWN327666 PGI327666:PGJ327666 PQE327666:PQF327666 QAA327666:QAB327666 QJW327666:QJX327666 QTS327666:QTT327666 RDO327666:RDP327666 RNK327666:RNL327666 RXG327666:RXH327666 SHC327666:SHD327666 SQY327666:SQZ327666 TAU327666:TAV327666 TKQ327666:TKR327666 TUM327666:TUN327666 UEI327666:UEJ327666 UOE327666:UOF327666 UYA327666:UYB327666 VHW327666:VHX327666 VRS327666:VRT327666 WBO327666:WBP327666 WLK327666:WLL327666 WVG327666:WVH327666 IU393202:IV393202 SQ393202:SR393202 ACM393202:ACN393202 AMI393202:AMJ393202 AWE393202:AWF393202 BGA393202:BGB393202 BPW393202:BPX393202 BZS393202:BZT393202 CJO393202:CJP393202 CTK393202:CTL393202 DDG393202:DDH393202 DNC393202:DND393202 DWY393202:DWZ393202 EGU393202:EGV393202 EQQ393202:EQR393202 FAM393202:FAN393202 FKI393202:FKJ393202 FUE393202:FUF393202 GEA393202:GEB393202 GNW393202:GNX393202 GXS393202:GXT393202 HHO393202:HHP393202 HRK393202:HRL393202 IBG393202:IBH393202 ILC393202:ILD393202 IUY393202:IUZ393202 JEU393202:JEV393202 JOQ393202:JOR393202 JYM393202:JYN393202 KII393202:KIJ393202 KSE393202:KSF393202 LCA393202:LCB393202 LLW393202:LLX393202 LVS393202:LVT393202 MFO393202:MFP393202 MPK393202:MPL393202 MZG393202:MZH393202 NJC393202:NJD393202 NSY393202:NSZ393202 OCU393202:OCV393202 OMQ393202:OMR393202 OWM393202:OWN393202 PGI393202:PGJ393202 PQE393202:PQF393202 QAA393202:QAB393202 QJW393202:QJX393202 QTS393202:QTT393202 RDO393202:RDP393202 RNK393202:RNL393202 RXG393202:RXH393202 SHC393202:SHD393202 SQY393202:SQZ393202 TAU393202:TAV393202 TKQ393202:TKR393202 TUM393202:TUN393202 UEI393202:UEJ393202 UOE393202:UOF393202 UYA393202:UYB393202 VHW393202:VHX393202 VRS393202:VRT393202 WBO393202:WBP393202 WLK393202:WLL393202 WVG393202:WVH393202 IU458738:IV458738 SQ458738:SR458738 ACM458738:ACN458738 AMI458738:AMJ458738 AWE458738:AWF458738 BGA458738:BGB458738 BPW458738:BPX458738 BZS458738:BZT458738 CJO458738:CJP458738 CTK458738:CTL458738 DDG458738:DDH458738 DNC458738:DND458738 DWY458738:DWZ458738 EGU458738:EGV458738 EQQ458738:EQR458738 FAM458738:FAN458738 FKI458738:FKJ458738 FUE458738:FUF458738 GEA458738:GEB458738 GNW458738:GNX458738 GXS458738:GXT458738 HHO458738:HHP458738 HRK458738:HRL458738 IBG458738:IBH458738 ILC458738:ILD458738 IUY458738:IUZ458738 JEU458738:JEV458738 JOQ458738:JOR458738 JYM458738:JYN458738 KII458738:KIJ458738 KSE458738:KSF458738 LCA458738:LCB458738 LLW458738:LLX458738 LVS458738:LVT458738 MFO458738:MFP458738 MPK458738:MPL458738 MZG458738:MZH458738 NJC458738:NJD458738 NSY458738:NSZ458738 OCU458738:OCV458738 OMQ458738:OMR458738 OWM458738:OWN458738 PGI458738:PGJ458738 PQE458738:PQF458738 QAA458738:QAB458738 QJW458738:QJX458738 QTS458738:QTT458738 RDO458738:RDP458738 RNK458738:RNL458738 RXG458738:RXH458738 SHC458738:SHD458738 SQY458738:SQZ458738 TAU458738:TAV458738 TKQ458738:TKR458738 TUM458738:TUN458738 UEI458738:UEJ458738 UOE458738:UOF458738 UYA458738:UYB458738 VHW458738:VHX458738 VRS458738:VRT458738 WBO458738:WBP458738 WLK458738:WLL458738 WVG458738:WVH458738 IU524274:IV524274 SQ524274:SR524274 ACM524274:ACN524274 AMI524274:AMJ524274 AWE524274:AWF524274 BGA524274:BGB524274 BPW524274:BPX524274 BZS524274:BZT524274 CJO524274:CJP524274 CTK524274:CTL524274 DDG524274:DDH524274 DNC524274:DND524274 DWY524274:DWZ524274 EGU524274:EGV524274 EQQ524274:EQR524274 FAM524274:FAN524274 FKI524274:FKJ524274 FUE524274:FUF524274 GEA524274:GEB524274 GNW524274:GNX524274 GXS524274:GXT524274 HHO524274:HHP524274 HRK524274:HRL524274 IBG524274:IBH524274 ILC524274:ILD524274 IUY524274:IUZ524274 JEU524274:JEV524274 JOQ524274:JOR524274 JYM524274:JYN524274 KII524274:KIJ524274 KSE524274:KSF524274 LCA524274:LCB524274 LLW524274:LLX524274 LVS524274:LVT524274 MFO524274:MFP524274 MPK524274:MPL524274 MZG524274:MZH524274 NJC524274:NJD524274 NSY524274:NSZ524274 OCU524274:OCV524274 OMQ524274:OMR524274 OWM524274:OWN524274 PGI524274:PGJ524274 PQE524274:PQF524274 QAA524274:QAB524274 QJW524274:QJX524274 QTS524274:QTT524274 RDO524274:RDP524274 RNK524274:RNL524274 RXG524274:RXH524274 SHC524274:SHD524274 SQY524274:SQZ524274 TAU524274:TAV524274 TKQ524274:TKR524274 TUM524274:TUN524274 UEI524274:UEJ524274 UOE524274:UOF524274 UYA524274:UYB524274 VHW524274:VHX524274 VRS524274:VRT524274 WBO524274:WBP524274 WLK524274:WLL524274 WVG524274:WVH524274 IU589810:IV589810 SQ589810:SR589810 ACM589810:ACN589810 AMI589810:AMJ589810 AWE589810:AWF589810 BGA589810:BGB589810 BPW589810:BPX589810 BZS589810:BZT589810 CJO589810:CJP589810 CTK589810:CTL589810 DDG589810:DDH589810 DNC589810:DND589810 DWY589810:DWZ589810 EGU589810:EGV589810 EQQ589810:EQR589810 FAM589810:FAN589810 FKI589810:FKJ589810 FUE589810:FUF589810 GEA589810:GEB589810 GNW589810:GNX589810 GXS589810:GXT589810 HHO589810:HHP589810 HRK589810:HRL589810 IBG589810:IBH589810 ILC589810:ILD589810 IUY589810:IUZ589810 JEU589810:JEV589810 JOQ589810:JOR589810 JYM589810:JYN589810 KII589810:KIJ589810 KSE589810:KSF589810 LCA589810:LCB589810 LLW589810:LLX589810 LVS589810:LVT589810 MFO589810:MFP589810 MPK589810:MPL589810 MZG589810:MZH589810 NJC589810:NJD589810 NSY589810:NSZ589810 OCU589810:OCV589810 OMQ589810:OMR589810 OWM589810:OWN589810 PGI589810:PGJ589810 PQE589810:PQF589810 QAA589810:QAB589810 QJW589810:QJX589810 QTS589810:QTT589810 RDO589810:RDP589810 RNK589810:RNL589810 RXG589810:RXH589810 SHC589810:SHD589810 SQY589810:SQZ589810 TAU589810:TAV589810 TKQ589810:TKR589810 TUM589810:TUN589810 UEI589810:UEJ589810 UOE589810:UOF589810 UYA589810:UYB589810 VHW589810:VHX589810 VRS589810:VRT589810 WBO589810:WBP589810 WLK589810:WLL589810 WVG589810:WVH589810 IU655346:IV655346 SQ655346:SR655346 ACM655346:ACN655346 AMI655346:AMJ655346 AWE655346:AWF655346 BGA655346:BGB655346 BPW655346:BPX655346 BZS655346:BZT655346 CJO655346:CJP655346 CTK655346:CTL655346 DDG655346:DDH655346 DNC655346:DND655346 DWY655346:DWZ655346 EGU655346:EGV655346 EQQ655346:EQR655346 FAM655346:FAN655346 FKI655346:FKJ655346 FUE655346:FUF655346 GEA655346:GEB655346 GNW655346:GNX655346 GXS655346:GXT655346 HHO655346:HHP655346 HRK655346:HRL655346 IBG655346:IBH655346 ILC655346:ILD655346 IUY655346:IUZ655346 JEU655346:JEV655346 JOQ655346:JOR655346 JYM655346:JYN655346 KII655346:KIJ655346 KSE655346:KSF655346 LCA655346:LCB655346 LLW655346:LLX655346 LVS655346:LVT655346 MFO655346:MFP655346 MPK655346:MPL655346 MZG655346:MZH655346 NJC655346:NJD655346 NSY655346:NSZ655346 OCU655346:OCV655346 OMQ655346:OMR655346 OWM655346:OWN655346 PGI655346:PGJ655346 PQE655346:PQF655346 QAA655346:QAB655346 QJW655346:QJX655346 QTS655346:QTT655346 RDO655346:RDP655346 RNK655346:RNL655346 RXG655346:RXH655346 SHC655346:SHD655346 SQY655346:SQZ655346 TAU655346:TAV655346 TKQ655346:TKR655346 TUM655346:TUN655346 UEI655346:UEJ655346 UOE655346:UOF655346 UYA655346:UYB655346 VHW655346:VHX655346 VRS655346:VRT655346 WBO655346:WBP655346 WLK655346:WLL655346 WVG655346:WVH655346 IU720882:IV720882 SQ720882:SR720882 ACM720882:ACN720882 AMI720882:AMJ720882 AWE720882:AWF720882 BGA720882:BGB720882 BPW720882:BPX720882 BZS720882:BZT720882 CJO720882:CJP720882 CTK720882:CTL720882 DDG720882:DDH720882 DNC720882:DND720882 DWY720882:DWZ720882 EGU720882:EGV720882 EQQ720882:EQR720882 FAM720882:FAN720882 FKI720882:FKJ720882 FUE720882:FUF720882 GEA720882:GEB720882 GNW720882:GNX720882 GXS720882:GXT720882 HHO720882:HHP720882 HRK720882:HRL720882 IBG720882:IBH720882 ILC720882:ILD720882 IUY720882:IUZ720882 JEU720882:JEV720882 JOQ720882:JOR720882 JYM720882:JYN720882 KII720882:KIJ720882 KSE720882:KSF720882 LCA720882:LCB720882 LLW720882:LLX720882 LVS720882:LVT720882 MFO720882:MFP720882 MPK720882:MPL720882 MZG720882:MZH720882 NJC720882:NJD720882 NSY720882:NSZ720882 OCU720882:OCV720882 OMQ720882:OMR720882 OWM720882:OWN720882 PGI720882:PGJ720882 PQE720882:PQF720882 QAA720882:QAB720882 QJW720882:QJX720882 QTS720882:QTT720882 RDO720882:RDP720882 RNK720882:RNL720882 RXG720882:RXH720882 SHC720882:SHD720882 SQY720882:SQZ720882 TAU720882:TAV720882 TKQ720882:TKR720882 TUM720882:TUN720882 UEI720882:UEJ720882 UOE720882:UOF720882 UYA720882:UYB720882 VHW720882:VHX720882 VRS720882:VRT720882 WBO720882:WBP720882 WLK720882:WLL720882 WVG720882:WVH720882 IU786418:IV786418 SQ786418:SR786418 ACM786418:ACN786418 AMI786418:AMJ786418 AWE786418:AWF786418 BGA786418:BGB786418 BPW786418:BPX786418 BZS786418:BZT786418 CJO786418:CJP786418 CTK786418:CTL786418 DDG786418:DDH786418 DNC786418:DND786418 DWY786418:DWZ786418 EGU786418:EGV786418 EQQ786418:EQR786418 FAM786418:FAN786418 FKI786418:FKJ786418 FUE786418:FUF786418 GEA786418:GEB786418 GNW786418:GNX786418 GXS786418:GXT786418 HHO786418:HHP786418 HRK786418:HRL786418 IBG786418:IBH786418 ILC786418:ILD786418 IUY786418:IUZ786418 JEU786418:JEV786418 JOQ786418:JOR786418 JYM786418:JYN786418 KII786418:KIJ786418 KSE786418:KSF786418 LCA786418:LCB786418 LLW786418:LLX786418 LVS786418:LVT786418 MFO786418:MFP786418 MPK786418:MPL786418 MZG786418:MZH786418 NJC786418:NJD786418 NSY786418:NSZ786418 OCU786418:OCV786418 OMQ786418:OMR786418 OWM786418:OWN786418 PGI786418:PGJ786418 PQE786418:PQF786418 QAA786418:QAB786418 QJW786418:QJX786418 QTS786418:QTT786418 RDO786418:RDP786418 RNK786418:RNL786418 RXG786418:RXH786418 SHC786418:SHD786418 SQY786418:SQZ786418 TAU786418:TAV786418 TKQ786418:TKR786418 TUM786418:TUN786418 UEI786418:UEJ786418 UOE786418:UOF786418 UYA786418:UYB786418 VHW786418:VHX786418 VRS786418:VRT786418 WBO786418:WBP786418 WLK786418:WLL786418 WVG786418:WVH786418 IU851954:IV851954 SQ851954:SR851954 ACM851954:ACN851954 AMI851954:AMJ851954 AWE851954:AWF851954 BGA851954:BGB851954 BPW851954:BPX851954 BZS851954:BZT851954 CJO851954:CJP851954 CTK851954:CTL851954 DDG851954:DDH851954 DNC851954:DND851954 DWY851954:DWZ851954 EGU851954:EGV851954 EQQ851954:EQR851954 FAM851954:FAN851954 FKI851954:FKJ851954 FUE851954:FUF851954 GEA851954:GEB851954 GNW851954:GNX851954 GXS851954:GXT851954 HHO851954:HHP851954 HRK851954:HRL851954 IBG851954:IBH851954 ILC851954:ILD851954 IUY851954:IUZ851954 JEU851954:JEV851954 JOQ851954:JOR851954 JYM851954:JYN851954 KII851954:KIJ851954 KSE851954:KSF851954 LCA851954:LCB851954 LLW851954:LLX851954 LVS851954:LVT851954 MFO851954:MFP851954 MPK851954:MPL851954 MZG851954:MZH851954 NJC851954:NJD851954 NSY851954:NSZ851954 OCU851954:OCV851954 OMQ851954:OMR851954 OWM851954:OWN851954 PGI851954:PGJ851954 PQE851954:PQF851954 QAA851954:QAB851954 QJW851954:QJX851954 QTS851954:QTT851954 RDO851954:RDP851954 RNK851954:RNL851954 RXG851954:RXH851954 SHC851954:SHD851954 SQY851954:SQZ851954 TAU851954:TAV851954 TKQ851954:TKR851954 TUM851954:TUN851954 UEI851954:UEJ851954 UOE851954:UOF851954 UYA851954:UYB851954 VHW851954:VHX851954 VRS851954:VRT851954 WBO851954:WBP851954 WLK851954:WLL851954 WVG851954:WVH851954 IU917490:IV917490 SQ917490:SR917490 ACM917490:ACN917490 AMI917490:AMJ917490 AWE917490:AWF917490 BGA917490:BGB917490 BPW917490:BPX917490 BZS917490:BZT917490 CJO917490:CJP917490 CTK917490:CTL917490 DDG917490:DDH917490 DNC917490:DND917490 DWY917490:DWZ917490 EGU917490:EGV917490 EQQ917490:EQR917490 FAM917490:FAN917490 FKI917490:FKJ917490 FUE917490:FUF917490 GEA917490:GEB917490 GNW917490:GNX917490 GXS917490:GXT917490 HHO917490:HHP917490 HRK917490:HRL917490 IBG917490:IBH917490 ILC917490:ILD917490 IUY917490:IUZ917490 JEU917490:JEV917490 JOQ917490:JOR917490 JYM917490:JYN917490 KII917490:KIJ917490 KSE917490:KSF917490 LCA917490:LCB917490 LLW917490:LLX917490 LVS917490:LVT917490 MFO917490:MFP917490 MPK917490:MPL917490 MZG917490:MZH917490 NJC917490:NJD917490 NSY917490:NSZ917490 OCU917490:OCV917490 OMQ917490:OMR917490 OWM917490:OWN917490 PGI917490:PGJ917490 PQE917490:PQF917490 QAA917490:QAB917490 QJW917490:QJX917490 QTS917490:QTT917490 RDO917490:RDP917490 RNK917490:RNL917490 RXG917490:RXH917490 SHC917490:SHD917490 SQY917490:SQZ917490 TAU917490:TAV917490 TKQ917490:TKR917490 TUM917490:TUN917490 UEI917490:UEJ917490 UOE917490:UOF917490 UYA917490:UYB917490 VHW917490:VHX917490 VRS917490:VRT917490 WBO917490:WBP917490 WLK917490:WLL917490 WVG917490:WVH917490 IU983026:IV983026 SQ983026:SR983026 ACM983026:ACN983026 AMI983026:AMJ983026 AWE983026:AWF983026 BGA983026:BGB983026 BPW983026:BPX983026 BZS983026:BZT983026 CJO983026:CJP983026 CTK983026:CTL983026 DDG983026:DDH983026 DNC983026:DND983026 DWY983026:DWZ983026 EGU983026:EGV983026 EQQ983026:EQR983026 FAM983026:FAN983026 FKI983026:FKJ983026 FUE983026:FUF983026 GEA983026:GEB983026 GNW983026:GNX983026 GXS983026:GXT983026 HHO983026:HHP983026 HRK983026:HRL983026 IBG983026:IBH983026 ILC983026:ILD983026 IUY983026:IUZ983026 JEU983026:JEV983026 JOQ983026:JOR983026 JYM983026:JYN983026 KII983026:KIJ983026 KSE983026:KSF983026 LCA983026:LCB983026 LLW983026:LLX983026 LVS983026:LVT983026 MFO983026:MFP983026 MPK983026:MPL983026 MZG983026:MZH983026 NJC983026:NJD983026 NSY983026:NSZ983026 OCU983026:OCV983026 OMQ983026:OMR983026 OWM983026:OWN983026 PGI983026:PGJ983026 PQE983026:PQF983026 QAA983026:QAB983026 QJW983026:QJX983026 QTS983026:QTT983026 RDO983026:RDP983026 RNK983026:RNL983026 RXG983026:RXH983026 SHC983026:SHD983026 SQY983026:SQZ983026 TAU983026:TAV983026 TKQ983026:TKR983026 TUM983026:TUN983026 UEI983026:UEJ983026 UOE983026:UOF983026 UYA983026:UYB983026 VHW983026:VHX983026 VRS983026:VRT983026 WBO983026:WBP983026 WLK983026:WLL983026 IU7:IV7 SQ7:SR7 ACM7:ACN7 AMI7:AMJ7 AWE7:AWF7 BGA7:BGB7 BPW7:BPX7 BZS7:BZT7 CJO7:CJP7 CTK7:CTL7 DDG7:DDH7 DNC7:DND7 DWY7:DWZ7 EGU7:EGV7 EQQ7:EQR7 FAM7:FAN7 FKI7:FKJ7 FUE7:FUF7 GEA7:GEB7 GNW7:GNX7 GXS7:GXT7 HHO7:HHP7 HRK7:HRL7 IBG7:IBH7 ILC7:ILD7 IUY7:IUZ7 JEU7:JEV7 JOQ7:JOR7 JYM7:JYN7 KII7:KIJ7 KSE7:KSF7 LCA7:LCB7 LLW7:LLX7 LVS7:LVT7 MFO7:MFP7 MPK7:MPL7 MZG7:MZH7 NJC7:NJD7 NSY7:NSZ7 OCU7:OCV7 OMQ7:OMR7 OWM7:OWN7 PGI7:PGJ7 PQE7:PQF7 QAA7:QAB7 QJW7:QJX7 QTS7:QTT7 RDO7:RDP7 RNK7:RNL7 RXG7:RXH7 SHC7:SHD7 SQY7:SQZ7 TAU7:TAV7 TKQ7:TKR7 TUM7:TUN7 UEI7:UEJ7 UOE7:UOF7 UYA7:UYB7 VHW7:VHX7 VRS7:VRT7 WBO7:WBP7 WLK7:WLL7 WVG7:WVH7 C65522:D65522 C131058:D131058 C196594:D196594 C262130:D262130 C327666:D327666 C393202:D393202 C458738:D458738 C524274:D524274 C589810:D589810 C655346:D655346 C720882:D720882 C786418:D786418 C851954:D851954 C917490:D917490 C983026:D983026">
      <formula1>NHSBOARDS11</formula1>
    </dataValidation>
  </dataValidations>
  <hyperlinks>
    <hyperlink ref="A5" r:id="rId1"/>
  </hyperlinks>
  <pageMargins left="0.7" right="0.7" top="0.75" bottom="0.75" header="0.3" footer="0.3"/>
  <pageSetup paperSize="9" orientation="portrait" r:id="rId2"/>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K117"/>
  <sheetViews>
    <sheetView workbookViewId="0">
      <selection sqref="A1:K1"/>
    </sheetView>
  </sheetViews>
  <sheetFormatPr defaultRowHeight="15"/>
  <cols>
    <col min="1" max="1" width="18.28515625" style="6" customWidth="1"/>
    <col min="2" max="2" width="13.5703125" style="6" customWidth="1"/>
    <col min="3" max="3" width="15.140625" style="6" customWidth="1"/>
    <col min="4" max="5" width="12.85546875" style="6" customWidth="1"/>
    <col min="6" max="7" width="14.5703125" style="6" customWidth="1"/>
    <col min="8" max="252" width="9.140625" style="6"/>
    <col min="253" max="253" width="18.28515625" style="6" customWidth="1"/>
    <col min="254" max="254" width="13.5703125" style="6" customWidth="1"/>
    <col min="255" max="255" width="15.140625" style="6" customWidth="1"/>
    <col min="256" max="257" width="12.85546875" style="6" customWidth="1"/>
    <col min="258" max="258" width="12.5703125" style="6" customWidth="1"/>
    <col min="259" max="259" width="10.85546875" style="6" customWidth="1"/>
    <col min="260" max="262" width="14.5703125" style="6" customWidth="1"/>
    <col min="263" max="263" width="12.85546875" style="6" customWidth="1"/>
    <col min="264" max="508" width="9.140625" style="6"/>
    <col min="509" max="509" width="18.28515625" style="6" customWidth="1"/>
    <col min="510" max="510" width="13.5703125" style="6" customWidth="1"/>
    <col min="511" max="511" width="15.140625" style="6" customWidth="1"/>
    <col min="512" max="513" width="12.85546875" style="6" customWidth="1"/>
    <col min="514" max="514" width="12.5703125" style="6" customWidth="1"/>
    <col min="515" max="515" width="10.85546875" style="6" customWidth="1"/>
    <col min="516" max="518" width="14.5703125" style="6" customWidth="1"/>
    <col min="519" max="519" width="12.85546875" style="6" customWidth="1"/>
    <col min="520" max="764" width="9.140625" style="6"/>
    <col min="765" max="765" width="18.28515625" style="6" customWidth="1"/>
    <col min="766" max="766" width="13.5703125" style="6" customWidth="1"/>
    <col min="767" max="767" width="15.140625" style="6" customWidth="1"/>
    <col min="768" max="769" width="12.85546875" style="6" customWidth="1"/>
    <col min="770" max="770" width="12.5703125" style="6" customWidth="1"/>
    <col min="771" max="771" width="10.85546875" style="6" customWidth="1"/>
    <col min="772" max="774" width="14.5703125" style="6" customWidth="1"/>
    <col min="775" max="775" width="12.85546875" style="6" customWidth="1"/>
    <col min="776" max="1020" width="9.140625" style="6"/>
    <col min="1021" max="1021" width="18.28515625" style="6" customWidth="1"/>
    <col min="1022" max="1022" width="13.5703125" style="6" customWidth="1"/>
    <col min="1023" max="1023" width="15.140625" style="6" customWidth="1"/>
    <col min="1024" max="1025" width="12.85546875" style="6" customWidth="1"/>
    <col min="1026" max="1026" width="12.5703125" style="6" customWidth="1"/>
    <col min="1027" max="1027" width="10.85546875" style="6" customWidth="1"/>
    <col min="1028" max="1030" width="14.5703125" style="6" customWidth="1"/>
    <col min="1031" max="1031" width="12.85546875" style="6" customWidth="1"/>
    <col min="1032" max="1276" width="9.140625" style="6"/>
    <col min="1277" max="1277" width="18.28515625" style="6" customWidth="1"/>
    <col min="1278" max="1278" width="13.5703125" style="6" customWidth="1"/>
    <col min="1279" max="1279" width="15.140625" style="6" customWidth="1"/>
    <col min="1280" max="1281" width="12.85546875" style="6" customWidth="1"/>
    <col min="1282" max="1282" width="12.5703125" style="6" customWidth="1"/>
    <col min="1283" max="1283" width="10.85546875" style="6" customWidth="1"/>
    <col min="1284" max="1286" width="14.5703125" style="6" customWidth="1"/>
    <col min="1287" max="1287" width="12.85546875" style="6" customWidth="1"/>
    <col min="1288" max="1532" width="9.140625" style="6"/>
    <col min="1533" max="1533" width="18.28515625" style="6" customWidth="1"/>
    <col min="1534" max="1534" width="13.5703125" style="6" customWidth="1"/>
    <col min="1535" max="1535" width="15.140625" style="6" customWidth="1"/>
    <col min="1536" max="1537" width="12.85546875" style="6" customWidth="1"/>
    <col min="1538" max="1538" width="12.5703125" style="6" customWidth="1"/>
    <col min="1539" max="1539" width="10.85546875" style="6" customWidth="1"/>
    <col min="1540" max="1542" width="14.5703125" style="6" customWidth="1"/>
    <col min="1543" max="1543" width="12.85546875" style="6" customWidth="1"/>
    <col min="1544" max="1788" width="9.140625" style="6"/>
    <col min="1789" max="1789" width="18.28515625" style="6" customWidth="1"/>
    <col min="1790" max="1790" width="13.5703125" style="6" customWidth="1"/>
    <col min="1791" max="1791" width="15.140625" style="6" customWidth="1"/>
    <col min="1792" max="1793" width="12.85546875" style="6" customWidth="1"/>
    <col min="1794" max="1794" width="12.5703125" style="6" customWidth="1"/>
    <col min="1795" max="1795" width="10.85546875" style="6" customWidth="1"/>
    <col min="1796" max="1798" width="14.5703125" style="6" customWidth="1"/>
    <col min="1799" max="1799" width="12.85546875" style="6" customWidth="1"/>
    <col min="1800" max="2044" width="9.140625" style="6"/>
    <col min="2045" max="2045" width="18.28515625" style="6" customWidth="1"/>
    <col min="2046" max="2046" width="13.5703125" style="6" customWidth="1"/>
    <col min="2047" max="2047" width="15.140625" style="6" customWidth="1"/>
    <col min="2048" max="2049" width="12.85546875" style="6" customWidth="1"/>
    <col min="2050" max="2050" width="12.5703125" style="6" customWidth="1"/>
    <col min="2051" max="2051" width="10.85546875" style="6" customWidth="1"/>
    <col min="2052" max="2054" width="14.5703125" style="6" customWidth="1"/>
    <col min="2055" max="2055" width="12.85546875" style="6" customWidth="1"/>
    <col min="2056" max="2300" width="9.140625" style="6"/>
    <col min="2301" max="2301" width="18.28515625" style="6" customWidth="1"/>
    <col min="2302" max="2302" width="13.5703125" style="6" customWidth="1"/>
    <col min="2303" max="2303" width="15.140625" style="6" customWidth="1"/>
    <col min="2304" max="2305" width="12.85546875" style="6" customWidth="1"/>
    <col min="2306" max="2306" width="12.5703125" style="6" customWidth="1"/>
    <col min="2307" max="2307" width="10.85546875" style="6" customWidth="1"/>
    <col min="2308" max="2310" width="14.5703125" style="6" customWidth="1"/>
    <col min="2311" max="2311" width="12.85546875" style="6" customWidth="1"/>
    <col min="2312" max="2556" width="9.140625" style="6"/>
    <col min="2557" max="2557" width="18.28515625" style="6" customWidth="1"/>
    <col min="2558" max="2558" width="13.5703125" style="6" customWidth="1"/>
    <col min="2559" max="2559" width="15.140625" style="6" customWidth="1"/>
    <col min="2560" max="2561" width="12.85546875" style="6" customWidth="1"/>
    <col min="2562" max="2562" width="12.5703125" style="6" customWidth="1"/>
    <col min="2563" max="2563" width="10.85546875" style="6" customWidth="1"/>
    <col min="2564" max="2566" width="14.5703125" style="6" customWidth="1"/>
    <col min="2567" max="2567" width="12.85546875" style="6" customWidth="1"/>
    <col min="2568" max="2812" width="9.140625" style="6"/>
    <col min="2813" max="2813" width="18.28515625" style="6" customWidth="1"/>
    <col min="2814" max="2814" width="13.5703125" style="6" customWidth="1"/>
    <col min="2815" max="2815" width="15.140625" style="6" customWidth="1"/>
    <col min="2816" max="2817" width="12.85546875" style="6" customWidth="1"/>
    <col min="2818" max="2818" width="12.5703125" style="6" customWidth="1"/>
    <col min="2819" max="2819" width="10.85546875" style="6" customWidth="1"/>
    <col min="2820" max="2822" width="14.5703125" style="6" customWidth="1"/>
    <col min="2823" max="2823" width="12.85546875" style="6" customWidth="1"/>
    <col min="2824" max="3068" width="9.140625" style="6"/>
    <col min="3069" max="3069" width="18.28515625" style="6" customWidth="1"/>
    <col min="3070" max="3070" width="13.5703125" style="6" customWidth="1"/>
    <col min="3071" max="3071" width="15.140625" style="6" customWidth="1"/>
    <col min="3072" max="3073" width="12.85546875" style="6" customWidth="1"/>
    <col min="3074" max="3074" width="12.5703125" style="6" customWidth="1"/>
    <col min="3075" max="3075" width="10.85546875" style="6" customWidth="1"/>
    <col min="3076" max="3078" width="14.5703125" style="6" customWidth="1"/>
    <col min="3079" max="3079" width="12.85546875" style="6" customWidth="1"/>
    <col min="3080" max="3324" width="9.140625" style="6"/>
    <col min="3325" max="3325" width="18.28515625" style="6" customWidth="1"/>
    <col min="3326" max="3326" width="13.5703125" style="6" customWidth="1"/>
    <col min="3327" max="3327" width="15.140625" style="6" customWidth="1"/>
    <col min="3328" max="3329" width="12.85546875" style="6" customWidth="1"/>
    <col min="3330" max="3330" width="12.5703125" style="6" customWidth="1"/>
    <col min="3331" max="3331" width="10.85546875" style="6" customWidth="1"/>
    <col min="3332" max="3334" width="14.5703125" style="6" customWidth="1"/>
    <col min="3335" max="3335" width="12.85546875" style="6" customWidth="1"/>
    <col min="3336" max="3580" width="9.140625" style="6"/>
    <col min="3581" max="3581" width="18.28515625" style="6" customWidth="1"/>
    <col min="3582" max="3582" width="13.5703125" style="6" customWidth="1"/>
    <col min="3583" max="3583" width="15.140625" style="6" customWidth="1"/>
    <col min="3584" max="3585" width="12.85546875" style="6" customWidth="1"/>
    <col min="3586" max="3586" width="12.5703125" style="6" customWidth="1"/>
    <col min="3587" max="3587" width="10.85546875" style="6" customWidth="1"/>
    <col min="3588" max="3590" width="14.5703125" style="6" customWidth="1"/>
    <col min="3591" max="3591" width="12.85546875" style="6" customWidth="1"/>
    <col min="3592" max="3836" width="9.140625" style="6"/>
    <col min="3837" max="3837" width="18.28515625" style="6" customWidth="1"/>
    <col min="3838" max="3838" width="13.5703125" style="6" customWidth="1"/>
    <col min="3839" max="3839" width="15.140625" style="6" customWidth="1"/>
    <col min="3840" max="3841" width="12.85546875" style="6" customWidth="1"/>
    <col min="3842" max="3842" width="12.5703125" style="6" customWidth="1"/>
    <col min="3843" max="3843" width="10.85546875" style="6" customWidth="1"/>
    <col min="3844" max="3846" width="14.5703125" style="6" customWidth="1"/>
    <col min="3847" max="3847" width="12.85546875" style="6" customWidth="1"/>
    <col min="3848" max="4092" width="9.140625" style="6"/>
    <col min="4093" max="4093" width="18.28515625" style="6" customWidth="1"/>
    <col min="4094" max="4094" width="13.5703125" style="6" customWidth="1"/>
    <col min="4095" max="4095" width="15.140625" style="6" customWidth="1"/>
    <col min="4096" max="4097" width="12.85546875" style="6" customWidth="1"/>
    <col min="4098" max="4098" width="12.5703125" style="6" customWidth="1"/>
    <col min="4099" max="4099" width="10.85546875" style="6" customWidth="1"/>
    <col min="4100" max="4102" width="14.5703125" style="6" customWidth="1"/>
    <col min="4103" max="4103" width="12.85546875" style="6" customWidth="1"/>
    <col min="4104" max="4348" width="9.140625" style="6"/>
    <col min="4349" max="4349" width="18.28515625" style="6" customWidth="1"/>
    <col min="4350" max="4350" width="13.5703125" style="6" customWidth="1"/>
    <col min="4351" max="4351" width="15.140625" style="6" customWidth="1"/>
    <col min="4352" max="4353" width="12.85546875" style="6" customWidth="1"/>
    <col min="4354" max="4354" width="12.5703125" style="6" customWidth="1"/>
    <col min="4355" max="4355" width="10.85546875" style="6" customWidth="1"/>
    <col min="4356" max="4358" width="14.5703125" style="6" customWidth="1"/>
    <col min="4359" max="4359" width="12.85546875" style="6" customWidth="1"/>
    <col min="4360" max="4604" width="9.140625" style="6"/>
    <col min="4605" max="4605" width="18.28515625" style="6" customWidth="1"/>
    <col min="4606" max="4606" width="13.5703125" style="6" customWidth="1"/>
    <col min="4607" max="4607" width="15.140625" style="6" customWidth="1"/>
    <col min="4608" max="4609" width="12.85546875" style="6" customWidth="1"/>
    <col min="4610" max="4610" width="12.5703125" style="6" customWidth="1"/>
    <col min="4611" max="4611" width="10.85546875" style="6" customWidth="1"/>
    <col min="4612" max="4614" width="14.5703125" style="6" customWidth="1"/>
    <col min="4615" max="4615" width="12.85546875" style="6" customWidth="1"/>
    <col min="4616" max="4860" width="9.140625" style="6"/>
    <col min="4861" max="4861" width="18.28515625" style="6" customWidth="1"/>
    <col min="4862" max="4862" width="13.5703125" style="6" customWidth="1"/>
    <col min="4863" max="4863" width="15.140625" style="6" customWidth="1"/>
    <col min="4864" max="4865" width="12.85546875" style="6" customWidth="1"/>
    <col min="4866" max="4866" width="12.5703125" style="6" customWidth="1"/>
    <col min="4867" max="4867" width="10.85546875" style="6" customWidth="1"/>
    <col min="4868" max="4870" width="14.5703125" style="6" customWidth="1"/>
    <col min="4871" max="4871" width="12.85546875" style="6" customWidth="1"/>
    <col min="4872" max="5116" width="9.140625" style="6"/>
    <col min="5117" max="5117" width="18.28515625" style="6" customWidth="1"/>
    <col min="5118" max="5118" width="13.5703125" style="6" customWidth="1"/>
    <col min="5119" max="5119" width="15.140625" style="6" customWidth="1"/>
    <col min="5120" max="5121" width="12.85546875" style="6" customWidth="1"/>
    <col min="5122" max="5122" width="12.5703125" style="6" customWidth="1"/>
    <col min="5123" max="5123" width="10.85546875" style="6" customWidth="1"/>
    <col min="5124" max="5126" width="14.5703125" style="6" customWidth="1"/>
    <col min="5127" max="5127" width="12.85546875" style="6" customWidth="1"/>
    <col min="5128" max="5372" width="9.140625" style="6"/>
    <col min="5373" max="5373" width="18.28515625" style="6" customWidth="1"/>
    <col min="5374" max="5374" width="13.5703125" style="6" customWidth="1"/>
    <col min="5375" max="5375" width="15.140625" style="6" customWidth="1"/>
    <col min="5376" max="5377" width="12.85546875" style="6" customWidth="1"/>
    <col min="5378" max="5378" width="12.5703125" style="6" customWidth="1"/>
    <col min="5379" max="5379" width="10.85546875" style="6" customWidth="1"/>
    <col min="5380" max="5382" width="14.5703125" style="6" customWidth="1"/>
    <col min="5383" max="5383" width="12.85546875" style="6" customWidth="1"/>
    <col min="5384" max="5628" width="9.140625" style="6"/>
    <col min="5629" max="5629" width="18.28515625" style="6" customWidth="1"/>
    <col min="5630" max="5630" width="13.5703125" style="6" customWidth="1"/>
    <col min="5631" max="5631" width="15.140625" style="6" customWidth="1"/>
    <col min="5632" max="5633" width="12.85546875" style="6" customWidth="1"/>
    <col min="5634" max="5634" width="12.5703125" style="6" customWidth="1"/>
    <col min="5635" max="5635" width="10.85546875" style="6" customWidth="1"/>
    <col min="5636" max="5638" width="14.5703125" style="6" customWidth="1"/>
    <col min="5639" max="5639" width="12.85546875" style="6" customWidth="1"/>
    <col min="5640" max="5884" width="9.140625" style="6"/>
    <col min="5885" max="5885" width="18.28515625" style="6" customWidth="1"/>
    <col min="5886" max="5886" width="13.5703125" style="6" customWidth="1"/>
    <col min="5887" max="5887" width="15.140625" style="6" customWidth="1"/>
    <col min="5888" max="5889" width="12.85546875" style="6" customWidth="1"/>
    <col min="5890" max="5890" width="12.5703125" style="6" customWidth="1"/>
    <col min="5891" max="5891" width="10.85546875" style="6" customWidth="1"/>
    <col min="5892" max="5894" width="14.5703125" style="6" customWidth="1"/>
    <col min="5895" max="5895" width="12.85546875" style="6" customWidth="1"/>
    <col min="5896" max="6140" width="9.140625" style="6"/>
    <col min="6141" max="6141" width="18.28515625" style="6" customWidth="1"/>
    <col min="6142" max="6142" width="13.5703125" style="6" customWidth="1"/>
    <col min="6143" max="6143" width="15.140625" style="6" customWidth="1"/>
    <col min="6144" max="6145" width="12.85546875" style="6" customWidth="1"/>
    <col min="6146" max="6146" width="12.5703125" style="6" customWidth="1"/>
    <col min="6147" max="6147" width="10.85546875" style="6" customWidth="1"/>
    <col min="6148" max="6150" width="14.5703125" style="6" customWidth="1"/>
    <col min="6151" max="6151" width="12.85546875" style="6" customWidth="1"/>
    <col min="6152" max="6396" width="9.140625" style="6"/>
    <col min="6397" max="6397" width="18.28515625" style="6" customWidth="1"/>
    <col min="6398" max="6398" width="13.5703125" style="6" customWidth="1"/>
    <col min="6399" max="6399" width="15.140625" style="6" customWidth="1"/>
    <col min="6400" max="6401" width="12.85546875" style="6" customWidth="1"/>
    <col min="6402" max="6402" width="12.5703125" style="6" customWidth="1"/>
    <col min="6403" max="6403" width="10.85546875" style="6" customWidth="1"/>
    <col min="6404" max="6406" width="14.5703125" style="6" customWidth="1"/>
    <col min="6407" max="6407" width="12.85546875" style="6" customWidth="1"/>
    <col min="6408" max="6652" width="9.140625" style="6"/>
    <col min="6653" max="6653" width="18.28515625" style="6" customWidth="1"/>
    <col min="6654" max="6654" width="13.5703125" style="6" customWidth="1"/>
    <col min="6655" max="6655" width="15.140625" style="6" customWidth="1"/>
    <col min="6656" max="6657" width="12.85546875" style="6" customWidth="1"/>
    <col min="6658" max="6658" width="12.5703125" style="6" customWidth="1"/>
    <col min="6659" max="6659" width="10.85546875" style="6" customWidth="1"/>
    <col min="6660" max="6662" width="14.5703125" style="6" customWidth="1"/>
    <col min="6663" max="6663" width="12.85546875" style="6" customWidth="1"/>
    <col min="6664" max="6908" width="9.140625" style="6"/>
    <col min="6909" max="6909" width="18.28515625" style="6" customWidth="1"/>
    <col min="6910" max="6910" width="13.5703125" style="6" customWidth="1"/>
    <col min="6911" max="6911" width="15.140625" style="6" customWidth="1"/>
    <col min="6912" max="6913" width="12.85546875" style="6" customWidth="1"/>
    <col min="6914" max="6914" width="12.5703125" style="6" customWidth="1"/>
    <col min="6915" max="6915" width="10.85546875" style="6" customWidth="1"/>
    <col min="6916" max="6918" width="14.5703125" style="6" customWidth="1"/>
    <col min="6919" max="6919" width="12.85546875" style="6" customWidth="1"/>
    <col min="6920" max="7164" width="9.140625" style="6"/>
    <col min="7165" max="7165" width="18.28515625" style="6" customWidth="1"/>
    <col min="7166" max="7166" width="13.5703125" style="6" customWidth="1"/>
    <col min="7167" max="7167" width="15.140625" style="6" customWidth="1"/>
    <col min="7168" max="7169" width="12.85546875" style="6" customWidth="1"/>
    <col min="7170" max="7170" width="12.5703125" style="6" customWidth="1"/>
    <col min="7171" max="7171" width="10.85546875" style="6" customWidth="1"/>
    <col min="7172" max="7174" width="14.5703125" style="6" customWidth="1"/>
    <col min="7175" max="7175" width="12.85546875" style="6" customWidth="1"/>
    <col min="7176" max="7420" width="9.140625" style="6"/>
    <col min="7421" max="7421" width="18.28515625" style="6" customWidth="1"/>
    <col min="7422" max="7422" width="13.5703125" style="6" customWidth="1"/>
    <col min="7423" max="7423" width="15.140625" style="6" customWidth="1"/>
    <col min="7424" max="7425" width="12.85546875" style="6" customWidth="1"/>
    <col min="7426" max="7426" width="12.5703125" style="6" customWidth="1"/>
    <col min="7427" max="7427" width="10.85546875" style="6" customWidth="1"/>
    <col min="7428" max="7430" width="14.5703125" style="6" customWidth="1"/>
    <col min="7431" max="7431" width="12.85546875" style="6" customWidth="1"/>
    <col min="7432" max="7676" width="9.140625" style="6"/>
    <col min="7677" max="7677" width="18.28515625" style="6" customWidth="1"/>
    <col min="7678" max="7678" width="13.5703125" style="6" customWidth="1"/>
    <col min="7679" max="7679" width="15.140625" style="6" customWidth="1"/>
    <col min="7680" max="7681" width="12.85546875" style="6" customWidth="1"/>
    <col min="7682" max="7682" width="12.5703125" style="6" customWidth="1"/>
    <col min="7683" max="7683" width="10.85546875" style="6" customWidth="1"/>
    <col min="7684" max="7686" width="14.5703125" style="6" customWidth="1"/>
    <col min="7687" max="7687" width="12.85546875" style="6" customWidth="1"/>
    <col min="7688" max="7932" width="9.140625" style="6"/>
    <col min="7933" max="7933" width="18.28515625" style="6" customWidth="1"/>
    <col min="7934" max="7934" width="13.5703125" style="6" customWidth="1"/>
    <col min="7935" max="7935" width="15.140625" style="6" customWidth="1"/>
    <col min="7936" max="7937" width="12.85546875" style="6" customWidth="1"/>
    <col min="7938" max="7938" width="12.5703125" style="6" customWidth="1"/>
    <col min="7939" max="7939" width="10.85546875" style="6" customWidth="1"/>
    <col min="7940" max="7942" width="14.5703125" style="6" customWidth="1"/>
    <col min="7943" max="7943" width="12.85546875" style="6" customWidth="1"/>
    <col min="7944" max="8188" width="9.140625" style="6"/>
    <col min="8189" max="8189" width="18.28515625" style="6" customWidth="1"/>
    <col min="8190" max="8190" width="13.5703125" style="6" customWidth="1"/>
    <col min="8191" max="8191" width="15.140625" style="6" customWidth="1"/>
    <col min="8192" max="8193" width="12.85546875" style="6" customWidth="1"/>
    <col min="8194" max="8194" width="12.5703125" style="6" customWidth="1"/>
    <col min="8195" max="8195" width="10.85546875" style="6" customWidth="1"/>
    <col min="8196" max="8198" width="14.5703125" style="6" customWidth="1"/>
    <col min="8199" max="8199" width="12.85546875" style="6" customWidth="1"/>
    <col min="8200" max="8444" width="9.140625" style="6"/>
    <col min="8445" max="8445" width="18.28515625" style="6" customWidth="1"/>
    <col min="8446" max="8446" width="13.5703125" style="6" customWidth="1"/>
    <col min="8447" max="8447" width="15.140625" style="6" customWidth="1"/>
    <col min="8448" max="8449" width="12.85546875" style="6" customWidth="1"/>
    <col min="8450" max="8450" width="12.5703125" style="6" customWidth="1"/>
    <col min="8451" max="8451" width="10.85546875" style="6" customWidth="1"/>
    <col min="8452" max="8454" width="14.5703125" style="6" customWidth="1"/>
    <col min="8455" max="8455" width="12.85546875" style="6" customWidth="1"/>
    <col min="8456" max="8700" width="9.140625" style="6"/>
    <col min="8701" max="8701" width="18.28515625" style="6" customWidth="1"/>
    <col min="8702" max="8702" width="13.5703125" style="6" customWidth="1"/>
    <col min="8703" max="8703" width="15.140625" style="6" customWidth="1"/>
    <col min="8704" max="8705" width="12.85546875" style="6" customWidth="1"/>
    <col min="8706" max="8706" width="12.5703125" style="6" customWidth="1"/>
    <col min="8707" max="8707" width="10.85546875" style="6" customWidth="1"/>
    <col min="8708" max="8710" width="14.5703125" style="6" customWidth="1"/>
    <col min="8711" max="8711" width="12.85546875" style="6" customWidth="1"/>
    <col min="8712" max="8956" width="9.140625" style="6"/>
    <col min="8957" max="8957" width="18.28515625" style="6" customWidth="1"/>
    <col min="8958" max="8958" width="13.5703125" style="6" customWidth="1"/>
    <col min="8959" max="8959" width="15.140625" style="6" customWidth="1"/>
    <col min="8960" max="8961" width="12.85546875" style="6" customWidth="1"/>
    <col min="8962" max="8962" width="12.5703125" style="6" customWidth="1"/>
    <col min="8963" max="8963" width="10.85546875" style="6" customWidth="1"/>
    <col min="8964" max="8966" width="14.5703125" style="6" customWidth="1"/>
    <col min="8967" max="8967" width="12.85546875" style="6" customWidth="1"/>
    <col min="8968" max="9212" width="9.140625" style="6"/>
    <col min="9213" max="9213" width="18.28515625" style="6" customWidth="1"/>
    <col min="9214" max="9214" width="13.5703125" style="6" customWidth="1"/>
    <col min="9215" max="9215" width="15.140625" style="6" customWidth="1"/>
    <col min="9216" max="9217" width="12.85546875" style="6" customWidth="1"/>
    <col min="9218" max="9218" width="12.5703125" style="6" customWidth="1"/>
    <col min="9219" max="9219" width="10.85546875" style="6" customWidth="1"/>
    <col min="9220" max="9222" width="14.5703125" style="6" customWidth="1"/>
    <col min="9223" max="9223" width="12.85546875" style="6" customWidth="1"/>
    <col min="9224" max="9468" width="9.140625" style="6"/>
    <col min="9469" max="9469" width="18.28515625" style="6" customWidth="1"/>
    <col min="9470" max="9470" width="13.5703125" style="6" customWidth="1"/>
    <col min="9471" max="9471" width="15.140625" style="6" customWidth="1"/>
    <col min="9472" max="9473" width="12.85546875" style="6" customWidth="1"/>
    <col min="9474" max="9474" width="12.5703125" style="6" customWidth="1"/>
    <col min="9475" max="9475" width="10.85546875" style="6" customWidth="1"/>
    <col min="9476" max="9478" width="14.5703125" style="6" customWidth="1"/>
    <col min="9479" max="9479" width="12.85546875" style="6" customWidth="1"/>
    <col min="9480" max="9724" width="9.140625" style="6"/>
    <col min="9725" max="9725" width="18.28515625" style="6" customWidth="1"/>
    <col min="9726" max="9726" width="13.5703125" style="6" customWidth="1"/>
    <col min="9727" max="9727" width="15.140625" style="6" customWidth="1"/>
    <col min="9728" max="9729" width="12.85546875" style="6" customWidth="1"/>
    <col min="9730" max="9730" width="12.5703125" style="6" customWidth="1"/>
    <col min="9731" max="9731" width="10.85546875" style="6" customWidth="1"/>
    <col min="9732" max="9734" width="14.5703125" style="6" customWidth="1"/>
    <col min="9735" max="9735" width="12.85546875" style="6" customWidth="1"/>
    <col min="9736" max="9980" width="9.140625" style="6"/>
    <col min="9981" max="9981" width="18.28515625" style="6" customWidth="1"/>
    <col min="9982" max="9982" width="13.5703125" style="6" customWidth="1"/>
    <col min="9983" max="9983" width="15.140625" style="6" customWidth="1"/>
    <col min="9984" max="9985" width="12.85546875" style="6" customWidth="1"/>
    <col min="9986" max="9986" width="12.5703125" style="6" customWidth="1"/>
    <col min="9987" max="9987" width="10.85546875" style="6" customWidth="1"/>
    <col min="9988" max="9990" width="14.5703125" style="6" customWidth="1"/>
    <col min="9991" max="9991" width="12.85546875" style="6" customWidth="1"/>
    <col min="9992" max="10236" width="9.140625" style="6"/>
    <col min="10237" max="10237" width="18.28515625" style="6" customWidth="1"/>
    <col min="10238" max="10238" width="13.5703125" style="6" customWidth="1"/>
    <col min="10239" max="10239" width="15.140625" style="6" customWidth="1"/>
    <col min="10240" max="10241" width="12.85546875" style="6" customWidth="1"/>
    <col min="10242" max="10242" width="12.5703125" style="6" customWidth="1"/>
    <col min="10243" max="10243" width="10.85546875" style="6" customWidth="1"/>
    <col min="10244" max="10246" width="14.5703125" style="6" customWidth="1"/>
    <col min="10247" max="10247" width="12.85546875" style="6" customWidth="1"/>
    <col min="10248" max="10492" width="9.140625" style="6"/>
    <col min="10493" max="10493" width="18.28515625" style="6" customWidth="1"/>
    <col min="10494" max="10494" width="13.5703125" style="6" customWidth="1"/>
    <col min="10495" max="10495" width="15.140625" style="6" customWidth="1"/>
    <col min="10496" max="10497" width="12.85546875" style="6" customWidth="1"/>
    <col min="10498" max="10498" width="12.5703125" style="6" customWidth="1"/>
    <col min="10499" max="10499" width="10.85546875" style="6" customWidth="1"/>
    <col min="10500" max="10502" width="14.5703125" style="6" customWidth="1"/>
    <col min="10503" max="10503" width="12.85546875" style="6" customWidth="1"/>
    <col min="10504" max="10748" width="9.140625" style="6"/>
    <col min="10749" max="10749" width="18.28515625" style="6" customWidth="1"/>
    <col min="10750" max="10750" width="13.5703125" style="6" customWidth="1"/>
    <col min="10751" max="10751" width="15.140625" style="6" customWidth="1"/>
    <col min="10752" max="10753" width="12.85546875" style="6" customWidth="1"/>
    <col min="10754" max="10754" width="12.5703125" style="6" customWidth="1"/>
    <col min="10755" max="10755" width="10.85546875" style="6" customWidth="1"/>
    <col min="10756" max="10758" width="14.5703125" style="6" customWidth="1"/>
    <col min="10759" max="10759" width="12.85546875" style="6" customWidth="1"/>
    <col min="10760" max="11004" width="9.140625" style="6"/>
    <col min="11005" max="11005" width="18.28515625" style="6" customWidth="1"/>
    <col min="11006" max="11006" width="13.5703125" style="6" customWidth="1"/>
    <col min="11007" max="11007" width="15.140625" style="6" customWidth="1"/>
    <col min="11008" max="11009" width="12.85546875" style="6" customWidth="1"/>
    <col min="11010" max="11010" width="12.5703125" style="6" customWidth="1"/>
    <col min="11011" max="11011" width="10.85546875" style="6" customWidth="1"/>
    <col min="11012" max="11014" width="14.5703125" style="6" customWidth="1"/>
    <col min="11015" max="11015" width="12.85546875" style="6" customWidth="1"/>
    <col min="11016" max="11260" width="9.140625" style="6"/>
    <col min="11261" max="11261" width="18.28515625" style="6" customWidth="1"/>
    <col min="11262" max="11262" width="13.5703125" style="6" customWidth="1"/>
    <col min="11263" max="11263" width="15.140625" style="6" customWidth="1"/>
    <col min="11264" max="11265" width="12.85546875" style="6" customWidth="1"/>
    <col min="11266" max="11266" width="12.5703125" style="6" customWidth="1"/>
    <col min="11267" max="11267" width="10.85546875" style="6" customWidth="1"/>
    <col min="11268" max="11270" width="14.5703125" style="6" customWidth="1"/>
    <col min="11271" max="11271" width="12.85546875" style="6" customWidth="1"/>
    <col min="11272" max="11516" width="9.140625" style="6"/>
    <col min="11517" max="11517" width="18.28515625" style="6" customWidth="1"/>
    <col min="11518" max="11518" width="13.5703125" style="6" customWidth="1"/>
    <col min="11519" max="11519" width="15.140625" style="6" customWidth="1"/>
    <col min="11520" max="11521" width="12.85546875" style="6" customWidth="1"/>
    <col min="11522" max="11522" width="12.5703125" style="6" customWidth="1"/>
    <col min="11523" max="11523" width="10.85546875" style="6" customWidth="1"/>
    <col min="11524" max="11526" width="14.5703125" style="6" customWidth="1"/>
    <col min="11527" max="11527" width="12.85546875" style="6" customWidth="1"/>
    <col min="11528" max="11772" width="9.140625" style="6"/>
    <col min="11773" max="11773" width="18.28515625" style="6" customWidth="1"/>
    <col min="11774" max="11774" width="13.5703125" style="6" customWidth="1"/>
    <col min="11775" max="11775" width="15.140625" style="6" customWidth="1"/>
    <col min="11776" max="11777" width="12.85546875" style="6" customWidth="1"/>
    <col min="11778" max="11778" width="12.5703125" style="6" customWidth="1"/>
    <col min="11779" max="11779" width="10.85546875" style="6" customWidth="1"/>
    <col min="11780" max="11782" width="14.5703125" style="6" customWidth="1"/>
    <col min="11783" max="11783" width="12.85546875" style="6" customWidth="1"/>
    <col min="11784" max="12028" width="9.140625" style="6"/>
    <col min="12029" max="12029" width="18.28515625" style="6" customWidth="1"/>
    <col min="12030" max="12030" width="13.5703125" style="6" customWidth="1"/>
    <col min="12031" max="12031" width="15.140625" style="6" customWidth="1"/>
    <col min="12032" max="12033" width="12.85546875" style="6" customWidth="1"/>
    <col min="12034" max="12034" width="12.5703125" style="6" customWidth="1"/>
    <col min="12035" max="12035" width="10.85546875" style="6" customWidth="1"/>
    <col min="12036" max="12038" width="14.5703125" style="6" customWidth="1"/>
    <col min="12039" max="12039" width="12.85546875" style="6" customWidth="1"/>
    <col min="12040" max="12284" width="9.140625" style="6"/>
    <col min="12285" max="12285" width="18.28515625" style="6" customWidth="1"/>
    <col min="12286" max="12286" width="13.5703125" style="6" customWidth="1"/>
    <col min="12287" max="12287" width="15.140625" style="6" customWidth="1"/>
    <col min="12288" max="12289" width="12.85546875" style="6" customWidth="1"/>
    <col min="12290" max="12290" width="12.5703125" style="6" customWidth="1"/>
    <col min="12291" max="12291" width="10.85546875" style="6" customWidth="1"/>
    <col min="12292" max="12294" width="14.5703125" style="6" customWidth="1"/>
    <col min="12295" max="12295" width="12.85546875" style="6" customWidth="1"/>
    <col min="12296" max="12540" width="9.140625" style="6"/>
    <col min="12541" max="12541" width="18.28515625" style="6" customWidth="1"/>
    <col min="12542" max="12542" width="13.5703125" style="6" customWidth="1"/>
    <col min="12543" max="12543" width="15.140625" style="6" customWidth="1"/>
    <col min="12544" max="12545" width="12.85546875" style="6" customWidth="1"/>
    <col min="12546" max="12546" width="12.5703125" style="6" customWidth="1"/>
    <col min="12547" max="12547" width="10.85546875" style="6" customWidth="1"/>
    <col min="12548" max="12550" width="14.5703125" style="6" customWidth="1"/>
    <col min="12551" max="12551" width="12.85546875" style="6" customWidth="1"/>
    <col min="12552" max="12796" width="9.140625" style="6"/>
    <col min="12797" max="12797" width="18.28515625" style="6" customWidth="1"/>
    <col min="12798" max="12798" width="13.5703125" style="6" customWidth="1"/>
    <col min="12799" max="12799" width="15.140625" style="6" customWidth="1"/>
    <col min="12800" max="12801" width="12.85546875" style="6" customWidth="1"/>
    <col min="12802" max="12802" width="12.5703125" style="6" customWidth="1"/>
    <col min="12803" max="12803" width="10.85546875" style="6" customWidth="1"/>
    <col min="12804" max="12806" width="14.5703125" style="6" customWidth="1"/>
    <col min="12807" max="12807" width="12.85546875" style="6" customWidth="1"/>
    <col min="12808" max="13052" width="9.140625" style="6"/>
    <col min="13053" max="13053" width="18.28515625" style="6" customWidth="1"/>
    <col min="13054" max="13054" width="13.5703125" style="6" customWidth="1"/>
    <col min="13055" max="13055" width="15.140625" style="6" customWidth="1"/>
    <col min="13056" max="13057" width="12.85546875" style="6" customWidth="1"/>
    <col min="13058" max="13058" width="12.5703125" style="6" customWidth="1"/>
    <col min="13059" max="13059" width="10.85546875" style="6" customWidth="1"/>
    <col min="13060" max="13062" width="14.5703125" style="6" customWidth="1"/>
    <col min="13063" max="13063" width="12.85546875" style="6" customWidth="1"/>
    <col min="13064" max="13308" width="9.140625" style="6"/>
    <col min="13309" max="13309" width="18.28515625" style="6" customWidth="1"/>
    <col min="13310" max="13310" width="13.5703125" style="6" customWidth="1"/>
    <col min="13311" max="13311" width="15.140625" style="6" customWidth="1"/>
    <col min="13312" max="13313" width="12.85546875" style="6" customWidth="1"/>
    <col min="13314" max="13314" width="12.5703125" style="6" customWidth="1"/>
    <col min="13315" max="13315" width="10.85546875" style="6" customWidth="1"/>
    <col min="13316" max="13318" width="14.5703125" style="6" customWidth="1"/>
    <col min="13319" max="13319" width="12.85546875" style="6" customWidth="1"/>
    <col min="13320" max="13564" width="9.140625" style="6"/>
    <col min="13565" max="13565" width="18.28515625" style="6" customWidth="1"/>
    <col min="13566" max="13566" width="13.5703125" style="6" customWidth="1"/>
    <col min="13567" max="13567" width="15.140625" style="6" customWidth="1"/>
    <col min="13568" max="13569" width="12.85546875" style="6" customWidth="1"/>
    <col min="13570" max="13570" width="12.5703125" style="6" customWidth="1"/>
    <col min="13571" max="13571" width="10.85546875" style="6" customWidth="1"/>
    <col min="13572" max="13574" width="14.5703125" style="6" customWidth="1"/>
    <col min="13575" max="13575" width="12.85546875" style="6" customWidth="1"/>
    <col min="13576" max="13820" width="9.140625" style="6"/>
    <col min="13821" max="13821" width="18.28515625" style="6" customWidth="1"/>
    <col min="13822" max="13822" width="13.5703125" style="6" customWidth="1"/>
    <col min="13823" max="13823" width="15.140625" style="6" customWidth="1"/>
    <col min="13824" max="13825" width="12.85546875" style="6" customWidth="1"/>
    <col min="13826" max="13826" width="12.5703125" style="6" customWidth="1"/>
    <col min="13827" max="13827" width="10.85546875" style="6" customWidth="1"/>
    <col min="13828" max="13830" width="14.5703125" style="6" customWidth="1"/>
    <col min="13831" max="13831" width="12.85546875" style="6" customWidth="1"/>
    <col min="13832" max="14076" width="9.140625" style="6"/>
    <col min="14077" max="14077" width="18.28515625" style="6" customWidth="1"/>
    <col min="14078" max="14078" width="13.5703125" style="6" customWidth="1"/>
    <col min="14079" max="14079" width="15.140625" style="6" customWidth="1"/>
    <col min="14080" max="14081" width="12.85546875" style="6" customWidth="1"/>
    <col min="14082" max="14082" width="12.5703125" style="6" customWidth="1"/>
    <col min="14083" max="14083" width="10.85546875" style="6" customWidth="1"/>
    <col min="14084" max="14086" width="14.5703125" style="6" customWidth="1"/>
    <col min="14087" max="14087" width="12.85546875" style="6" customWidth="1"/>
    <col min="14088" max="14332" width="9.140625" style="6"/>
    <col min="14333" max="14333" width="18.28515625" style="6" customWidth="1"/>
    <col min="14334" max="14334" width="13.5703125" style="6" customWidth="1"/>
    <col min="14335" max="14335" width="15.140625" style="6" customWidth="1"/>
    <col min="14336" max="14337" width="12.85546875" style="6" customWidth="1"/>
    <col min="14338" max="14338" width="12.5703125" style="6" customWidth="1"/>
    <col min="14339" max="14339" width="10.85546875" style="6" customWidth="1"/>
    <col min="14340" max="14342" width="14.5703125" style="6" customWidth="1"/>
    <col min="14343" max="14343" width="12.85546875" style="6" customWidth="1"/>
    <col min="14344" max="14588" width="9.140625" style="6"/>
    <col min="14589" max="14589" width="18.28515625" style="6" customWidth="1"/>
    <col min="14590" max="14590" width="13.5703125" style="6" customWidth="1"/>
    <col min="14591" max="14591" width="15.140625" style="6" customWidth="1"/>
    <col min="14592" max="14593" width="12.85546875" style="6" customWidth="1"/>
    <col min="14594" max="14594" width="12.5703125" style="6" customWidth="1"/>
    <col min="14595" max="14595" width="10.85546875" style="6" customWidth="1"/>
    <col min="14596" max="14598" width="14.5703125" style="6" customWidth="1"/>
    <col min="14599" max="14599" width="12.85546875" style="6" customWidth="1"/>
    <col min="14600" max="14844" width="9.140625" style="6"/>
    <col min="14845" max="14845" width="18.28515625" style="6" customWidth="1"/>
    <col min="14846" max="14846" width="13.5703125" style="6" customWidth="1"/>
    <col min="14847" max="14847" width="15.140625" style="6" customWidth="1"/>
    <col min="14848" max="14849" width="12.85546875" style="6" customWidth="1"/>
    <col min="14850" max="14850" width="12.5703125" style="6" customWidth="1"/>
    <col min="14851" max="14851" width="10.85546875" style="6" customWidth="1"/>
    <col min="14852" max="14854" width="14.5703125" style="6" customWidth="1"/>
    <col min="14855" max="14855" width="12.85546875" style="6" customWidth="1"/>
    <col min="14856" max="15100" width="9.140625" style="6"/>
    <col min="15101" max="15101" width="18.28515625" style="6" customWidth="1"/>
    <col min="15102" max="15102" width="13.5703125" style="6" customWidth="1"/>
    <col min="15103" max="15103" width="15.140625" style="6" customWidth="1"/>
    <col min="15104" max="15105" width="12.85546875" style="6" customWidth="1"/>
    <col min="15106" max="15106" width="12.5703125" style="6" customWidth="1"/>
    <col min="15107" max="15107" width="10.85546875" style="6" customWidth="1"/>
    <col min="15108" max="15110" width="14.5703125" style="6" customWidth="1"/>
    <col min="15111" max="15111" width="12.85546875" style="6" customWidth="1"/>
    <col min="15112" max="15356" width="9.140625" style="6"/>
    <col min="15357" max="15357" width="18.28515625" style="6" customWidth="1"/>
    <col min="15358" max="15358" width="13.5703125" style="6" customWidth="1"/>
    <col min="15359" max="15359" width="15.140625" style="6" customWidth="1"/>
    <col min="15360" max="15361" width="12.85546875" style="6" customWidth="1"/>
    <col min="15362" max="15362" width="12.5703125" style="6" customWidth="1"/>
    <col min="15363" max="15363" width="10.85546875" style="6" customWidth="1"/>
    <col min="15364" max="15366" width="14.5703125" style="6" customWidth="1"/>
    <col min="15367" max="15367" width="12.85546875" style="6" customWidth="1"/>
    <col min="15368" max="15612" width="9.140625" style="6"/>
    <col min="15613" max="15613" width="18.28515625" style="6" customWidth="1"/>
    <col min="15614" max="15614" width="13.5703125" style="6" customWidth="1"/>
    <col min="15615" max="15615" width="15.140625" style="6" customWidth="1"/>
    <col min="15616" max="15617" width="12.85546875" style="6" customWidth="1"/>
    <col min="15618" max="15618" width="12.5703125" style="6" customWidth="1"/>
    <col min="15619" max="15619" width="10.85546875" style="6" customWidth="1"/>
    <col min="15620" max="15622" width="14.5703125" style="6" customWidth="1"/>
    <col min="15623" max="15623" width="12.85546875" style="6" customWidth="1"/>
    <col min="15624" max="15868" width="9.140625" style="6"/>
    <col min="15869" max="15869" width="18.28515625" style="6" customWidth="1"/>
    <col min="15870" max="15870" width="13.5703125" style="6" customWidth="1"/>
    <col min="15871" max="15871" width="15.140625" style="6" customWidth="1"/>
    <col min="15872" max="15873" width="12.85546875" style="6" customWidth="1"/>
    <col min="15874" max="15874" width="12.5703125" style="6" customWidth="1"/>
    <col min="15875" max="15875" width="10.85546875" style="6" customWidth="1"/>
    <col min="15876" max="15878" width="14.5703125" style="6" customWidth="1"/>
    <col min="15879" max="15879" width="12.85546875" style="6" customWidth="1"/>
    <col min="15880" max="16124" width="9.140625" style="6"/>
    <col min="16125" max="16125" width="18.28515625" style="6" customWidth="1"/>
    <col min="16126" max="16126" width="13.5703125" style="6" customWidth="1"/>
    <col min="16127" max="16127" width="15.140625" style="6" customWidth="1"/>
    <col min="16128" max="16129" width="12.85546875" style="6" customWidth="1"/>
    <col min="16130" max="16130" width="12.5703125" style="6" customWidth="1"/>
    <col min="16131" max="16131" width="10.85546875" style="6" customWidth="1"/>
    <col min="16132" max="16134" width="14.5703125" style="6" customWidth="1"/>
    <col min="16135" max="16135" width="12.85546875" style="6" customWidth="1"/>
    <col min="16136" max="16384" width="9.140625" style="6"/>
  </cols>
  <sheetData>
    <row r="1" spans="1:11" ht="15.75">
      <c r="A1" s="455" t="str">
        <f xml:space="preserve"> "Psychological Therapies Waiting Times - Number of patients waiting at the end of month by Health Board, "&amp;TEXT(A25,"mmm yyyy")&amp;" - "&amp;TEXT(A11,"mmm yyyy")</f>
        <v>Psychological Therapies Waiting Times - Number of patients waiting at the end of month by Health Board, Apr 2020 - Jun 2021</v>
      </c>
      <c r="B1" s="455"/>
      <c r="C1" s="455"/>
      <c r="D1" s="455"/>
      <c r="E1" s="455"/>
      <c r="F1" s="455"/>
      <c r="G1" s="455"/>
      <c r="H1" s="455"/>
      <c r="I1" s="455"/>
      <c r="J1" s="455"/>
      <c r="K1" s="455"/>
    </row>
    <row r="2" spans="1:11">
      <c r="A2" s="447" t="s">
        <v>457</v>
      </c>
      <c r="B2" s="453"/>
      <c r="C2" s="453"/>
      <c r="D2" s="453"/>
    </row>
    <row r="3" spans="1:11">
      <c r="A3" s="202" t="s">
        <v>186</v>
      </c>
    </row>
    <row r="4" spans="1:11">
      <c r="A4" s="66"/>
      <c r="B4" s="65"/>
      <c r="C4" s="65"/>
      <c r="D4" s="65"/>
      <c r="E4" s="65"/>
      <c r="F4" s="65"/>
      <c r="G4" s="65"/>
    </row>
    <row r="5" spans="1:11">
      <c r="A5" s="199" t="s">
        <v>453</v>
      </c>
      <c r="B5" s="65"/>
      <c r="C5" s="65"/>
      <c r="D5" s="65"/>
      <c r="E5" s="65"/>
      <c r="F5" s="65"/>
      <c r="G5" s="65"/>
    </row>
    <row r="6" spans="1:11" ht="16.5" thickBot="1">
      <c r="A6" s="203" t="s">
        <v>455</v>
      </c>
      <c r="B6" s="200"/>
      <c r="C6" s="200"/>
      <c r="D6" s="200"/>
      <c r="E6" s="67"/>
      <c r="F6" s="67"/>
      <c r="G6" s="67"/>
    </row>
    <row r="7" spans="1:11" ht="15.75" thickBot="1">
      <c r="A7" s="6" t="s">
        <v>180</v>
      </c>
      <c r="B7" s="9"/>
      <c r="C7" s="440" t="s">
        <v>28</v>
      </c>
      <c r="D7" s="441"/>
      <c r="E7" s="67"/>
      <c r="F7" s="67"/>
      <c r="G7" s="67"/>
    </row>
    <row r="8" spans="1:11">
      <c r="A8" s="220" t="s">
        <v>1301</v>
      </c>
      <c r="B8" s="33" t="s">
        <v>183</v>
      </c>
      <c r="C8" s="9"/>
      <c r="D8" s="9"/>
      <c r="E8" s="34"/>
      <c r="F8" s="34"/>
      <c r="G8" s="34"/>
      <c r="H8" s="28"/>
    </row>
    <row r="9" spans="1:11" ht="21.75" customHeight="1">
      <c r="A9" s="442" t="s">
        <v>31</v>
      </c>
      <c r="B9" s="444" t="s">
        <v>347</v>
      </c>
      <c r="C9" s="445" t="s">
        <v>193</v>
      </c>
      <c r="D9" s="449" t="s">
        <v>33</v>
      </c>
      <c r="E9" s="446"/>
      <c r="F9" s="449" t="s">
        <v>187</v>
      </c>
      <c r="G9" s="446"/>
      <c r="H9" s="20"/>
    </row>
    <row r="10" spans="1:11" ht="16.5" customHeight="1">
      <c r="A10" s="442"/>
      <c r="B10" s="444"/>
      <c r="C10" s="445"/>
      <c r="D10" s="151" t="s">
        <v>34</v>
      </c>
      <c r="E10" s="349" t="s">
        <v>362</v>
      </c>
      <c r="F10" s="164" t="s">
        <v>34</v>
      </c>
      <c r="G10" s="151" t="s">
        <v>362</v>
      </c>
      <c r="H10" s="93"/>
      <c r="I10" s="40"/>
    </row>
    <row r="11" spans="1:11">
      <c r="A11" s="359">
        <f>REPORT_raw_dataseen!R1</f>
        <v>44348</v>
      </c>
      <c r="B11" s="255" t="str">
        <f>IF(VLOOKUP($C$7,'Type of adjust'!$A$1:$P$18,MATCH(A11,'Type of adjust'!$A$1:$P$1,0),FALSE)="", "..", VLOOKUP($C$7,'Type of adjust'!$A$1:$P$18,MATCH(A11,'Type of adjust'!$A$1:$P$1,0),FALSE))</f>
        <v>..</v>
      </c>
      <c r="C11" s="260">
        <f>VLOOKUP(C7&amp;"Adjusted waiting "&amp;C9,REPORT_raw_datawaiting!A1:R817,MATCH(A11,REPORT_raw_datawaiting!D1:R1,1)+3, FALSE)</f>
        <v>22401</v>
      </c>
      <c r="D11" s="260">
        <f>VLOOKUP(C7&amp;"Adjusted waiting "&amp;D10,REPORT_raw_datawaiting!A1:R817,MATCH(A11,REPORT_raw_datawaiting!D1:R1,1)+3, FALSE)</f>
        <v>13666</v>
      </c>
      <c r="E11" s="261">
        <f>IF(C11="..","..",IF(D11="-",C11, IF((C11-D11)=0, "-",C11-D11)))</f>
        <v>8735</v>
      </c>
      <c r="F11" s="263">
        <f t="shared" ref="F11:F25" si="0">IF(D11="-","-",IF(D11="..","..",IF(D11=0,"-",IF((D11/C11%)=0,"-",ROUND(D11/C11%,2)))))</f>
        <v>61.01</v>
      </c>
      <c r="G11" s="257">
        <f t="shared" ref="G11:G25" si="1">IF(E11="-","-",IF(E11="..","..",IF(E11=0,"-",IF((E11/C11%)=0,"-",ROUND(E11/C11%,2)))))</f>
        <v>38.99</v>
      </c>
      <c r="H11" s="94"/>
      <c r="I11" s="94"/>
      <c r="J11" s="94"/>
    </row>
    <row r="12" spans="1:11">
      <c r="A12" s="360">
        <f>DATE(YEAR(A11),MONTH(A11)-1,DAY(A11))</f>
        <v>44317</v>
      </c>
      <c r="B12" s="256" t="str">
        <f>IF(VLOOKUP($C$7,'Type of adjust'!$A$1:$P$18,MATCH(A12,'Type of adjust'!$A$1:$P$1,0),FALSE)="", "..", VLOOKUP($C$7,'Type of adjust'!$A$1:$P$18,MATCH(A12,'Type of adjust'!$A$1:$P$1,0),FALSE))</f>
        <v>..</v>
      </c>
      <c r="C12" s="261">
        <f>VLOOKUP(C7&amp;"Adjusted waiting "&amp;C9,REPORT_raw_datawaiting!A1:R817,MATCH(A12,REPORT_raw_datawaiting!D1:R1,1)+3, FALSE)</f>
        <v>21308</v>
      </c>
      <c r="D12" s="261">
        <f>VLOOKUP(C7&amp;"Adjusted waiting "&amp;D10,REPORT_raw_datawaiting!A1:R817,MATCH(A12,REPORT_raw_datawaiting!D1:R1,1)+3, FALSE)</f>
        <v>12576</v>
      </c>
      <c r="E12" s="261">
        <f>IF(C12="..","..",IF(D12="-",C12, IF((C12-D12)=0, "-",C12-D12)))</f>
        <v>8732</v>
      </c>
      <c r="F12" s="264">
        <f t="shared" si="0"/>
        <v>59.02</v>
      </c>
      <c r="G12" s="258">
        <f t="shared" si="1"/>
        <v>40.98</v>
      </c>
      <c r="H12" s="94"/>
      <c r="I12" s="94"/>
      <c r="J12" s="94"/>
    </row>
    <row r="13" spans="1:11">
      <c r="A13" s="360">
        <f>DATE(YEAR(A12),MONTH(A12)-1,DAY(A12))</f>
        <v>44287</v>
      </c>
      <c r="B13" s="256" t="str">
        <f>IF(VLOOKUP($C$7,'Type of adjust'!$A$1:$P$18,MATCH(A13,'Type of adjust'!$A$1:$P$1,0),FALSE)="", "..", VLOOKUP($C$7,'Type of adjust'!$A$1:$P$18,MATCH(A13,'Type of adjust'!$A$1:$P$1,0),FALSE))</f>
        <v>..</v>
      </c>
      <c r="C13" s="261">
        <f>VLOOKUP(C7&amp;"Adjusted waiting "&amp;C9,REPORT_raw_datawaiting!A1:R817,MATCH(A13,REPORT_raw_datawaiting!D1:R1,1)+3, FALSE)</f>
        <v>21167</v>
      </c>
      <c r="D13" s="261">
        <f>VLOOKUP(C7&amp;"Adjusted waiting "&amp;D10,REPORT_raw_datawaiting!A1:R817,MATCH(A13,REPORT_raw_datawaiting!D1:R1,1)+3, FALSE)</f>
        <v>11649</v>
      </c>
      <c r="E13" s="261">
        <f t="shared" ref="E13:E25" si="2">IF(C13="..","..",IF(D13="-",C13, IF((C13-D13)=0, "-",C13-D13)))</f>
        <v>9518</v>
      </c>
      <c r="F13" s="264">
        <f t="shared" si="0"/>
        <v>55.03</v>
      </c>
      <c r="G13" s="258">
        <f t="shared" si="1"/>
        <v>44.97</v>
      </c>
      <c r="H13" s="94"/>
      <c r="I13" s="94"/>
      <c r="J13" s="94"/>
    </row>
    <row r="14" spans="1:11">
      <c r="A14" s="360">
        <f>DATE(YEAR(A13),MONTH(A13)-1,DAY(A13))</f>
        <v>44256</v>
      </c>
      <c r="B14" s="256" t="str">
        <f>IF(VLOOKUP($C$7,'Type of adjust'!$A$1:$P$18,MATCH(A14,'Type of adjust'!$A$1:$P$1,0),FALSE)="", "..", VLOOKUP($C$7,'Type of adjust'!$A$1:$P$18,MATCH(A14,'Type of adjust'!$A$1:$P$1,0),FALSE))</f>
        <v>..</v>
      </c>
      <c r="C14" s="261">
        <f>VLOOKUP(C7&amp;"Adjusted waiting "&amp;C9,REPORT_raw_datawaiting!A1:R817,MATCH(A14,REPORT_raw_datawaiting!D1:R1,1)+3, FALSE)</f>
        <v>22599</v>
      </c>
      <c r="D14" s="261">
        <f>VLOOKUP(C7&amp;"Adjusted waiting "&amp;D10,REPORT_raw_datawaiting!A1:R817,MATCH(A14,REPORT_raw_datawaiting!D1:R1,1)+3, FALSE)</f>
        <v>11981</v>
      </c>
      <c r="E14" s="261">
        <f t="shared" si="2"/>
        <v>10618</v>
      </c>
      <c r="F14" s="264">
        <f t="shared" si="0"/>
        <v>53.02</v>
      </c>
      <c r="G14" s="258">
        <f t="shared" si="1"/>
        <v>46.98</v>
      </c>
      <c r="H14" s="94"/>
      <c r="I14" s="94"/>
      <c r="J14" s="94"/>
    </row>
    <row r="15" spans="1:11">
      <c r="A15" s="360">
        <f>DATE(YEAR(A14),MONTH(A14)-1,DAY(A14))</f>
        <v>44228</v>
      </c>
      <c r="B15" s="256" t="str">
        <f>IF(VLOOKUP($C$7,'Type of adjust'!$A$1:$P$18,MATCH(A15,'Type of adjust'!$A$1:$P$1,0),FALSE)="", "..", VLOOKUP($C$7,'Type of adjust'!$A$1:$P$18,MATCH(A15,'Type of adjust'!$A$1:$P$1,0),FALSE))</f>
        <v>..</v>
      </c>
      <c r="C15" s="261">
        <f>VLOOKUP(C7&amp;"Adjusted waiting "&amp;C9,REPORT_raw_datawaiting!A1:R817,MATCH(A15,REPORT_raw_datawaiting!D1:R1,1)+3, FALSE)</f>
        <v>22091</v>
      </c>
      <c r="D15" s="261">
        <f>VLOOKUP(C7&amp;"Adjusted waiting "&amp;D10,REPORT_raw_datawaiting!A1:R817,MATCH(A15,REPORT_raw_datawaiting!D1:R1,1)+3, FALSE)</f>
        <v>11248</v>
      </c>
      <c r="E15" s="261">
        <f t="shared" si="2"/>
        <v>10843</v>
      </c>
      <c r="F15" s="264">
        <f t="shared" si="0"/>
        <v>50.92</v>
      </c>
      <c r="G15" s="258">
        <f t="shared" si="1"/>
        <v>49.08</v>
      </c>
      <c r="H15" s="94"/>
      <c r="I15" s="94"/>
      <c r="J15" s="94"/>
    </row>
    <row r="16" spans="1:11">
      <c r="A16" s="360">
        <f>DATE(YEAR(A15),MONTH(A15)-1,DAY(A15))</f>
        <v>44197</v>
      </c>
      <c r="B16" s="256" t="str">
        <f>IF(VLOOKUP($C$7,'Type of adjust'!$A$1:$P$18,MATCH(A16,'Type of adjust'!$A$1:$P$1,0),FALSE)="", "..", VLOOKUP($C$7,'Type of adjust'!$A$1:$P$18,MATCH(A16,'Type of adjust'!$A$1:$P$1,0),FALSE))</f>
        <v>..</v>
      </c>
      <c r="C16" s="261">
        <f>VLOOKUP(C7&amp;"Adjusted waiting "&amp;C9,REPORT_raw_datawaiting!A1:R817,MATCH(A16,REPORT_raw_datawaiting!D1:R1,1)+3, FALSE)</f>
        <v>22662</v>
      </c>
      <c r="D16" s="261">
        <f>VLOOKUP(C7&amp;"Adjusted waiting "&amp;D10,REPORT_raw_datawaiting!A1:R817,MATCH(A16,REPORT_raw_datawaiting!D1:R1,1)+3, FALSE)</f>
        <v>11250</v>
      </c>
      <c r="E16" s="261">
        <f t="shared" si="2"/>
        <v>11412</v>
      </c>
      <c r="F16" s="264">
        <f t="shared" si="0"/>
        <v>49.64</v>
      </c>
      <c r="G16" s="258">
        <f t="shared" si="1"/>
        <v>50.36</v>
      </c>
      <c r="H16" s="94"/>
      <c r="I16" s="94"/>
      <c r="J16" s="94"/>
    </row>
    <row r="17" spans="1:10">
      <c r="A17" s="360">
        <f t="shared" ref="A17:A25" si="3">DATE(YEAR(A16),MONTH(A16)-1,DAY(A16))</f>
        <v>44166</v>
      </c>
      <c r="B17" s="256" t="str">
        <f>IF(VLOOKUP($C$7,'Type of adjust'!$A$1:$P$18,MATCH(A17,'Type of adjust'!$A$1:$P$1,0),FALSE)="", "..", VLOOKUP($C$7,'Type of adjust'!$A$1:$P$18,MATCH(A17,'Type of adjust'!$A$1:$P$1,0),FALSE))</f>
        <v>..</v>
      </c>
      <c r="C17" s="261">
        <f>VLOOKUP(C7&amp;"Adjusted waiting "&amp;C9,REPORT_raw_datawaiting!A1:R817,MATCH(A17,REPORT_raw_datawaiting!D1:R1,1)+3, FALSE)</f>
        <v>23780</v>
      </c>
      <c r="D17" s="261">
        <f>VLOOKUP(C7&amp;"Adjusted waiting "&amp;D10,REPORT_raw_datawaiting!A1:R817,MATCH(A17,REPORT_raw_datawaiting!D1:R1,1)+3, FALSE)</f>
        <v>12070</v>
      </c>
      <c r="E17" s="261">
        <f t="shared" si="2"/>
        <v>11710</v>
      </c>
      <c r="F17" s="264">
        <f t="shared" si="0"/>
        <v>50.76</v>
      </c>
      <c r="G17" s="258">
        <f t="shared" si="1"/>
        <v>49.24</v>
      </c>
      <c r="H17" s="94"/>
      <c r="I17" s="94"/>
      <c r="J17" s="94"/>
    </row>
    <row r="18" spans="1:10">
      <c r="A18" s="360">
        <f t="shared" si="3"/>
        <v>44136</v>
      </c>
      <c r="B18" s="256" t="str">
        <f>IF(VLOOKUP($C$7,'Type of adjust'!$A$1:$P$18,MATCH(A18,'Type of adjust'!$A$1:$P$1,0),FALSE)="", "..", VLOOKUP($C$7,'Type of adjust'!$A$1:$P$18,MATCH(A18,'Type of adjust'!$A$1:$P$1,0),FALSE))</f>
        <v>..</v>
      </c>
      <c r="C18" s="261">
        <f>VLOOKUP(C7&amp;"Adjusted waiting "&amp;C9,REPORT_raw_datawaiting!A1:R817,MATCH(A18,REPORT_raw_datawaiting!D1:R1,1)+3, FALSE)</f>
        <v>23760</v>
      </c>
      <c r="D18" s="261">
        <f>VLOOKUP(C7&amp;"Adjusted waiting "&amp;D10,REPORT_raw_datawaiting!A1:R817,MATCH(A18,REPORT_raw_datawaiting!D1:R1,1)+3, FALSE)</f>
        <v>11911</v>
      </c>
      <c r="E18" s="261">
        <f t="shared" si="2"/>
        <v>11849</v>
      </c>
      <c r="F18" s="264">
        <f t="shared" si="0"/>
        <v>50.13</v>
      </c>
      <c r="G18" s="258">
        <f t="shared" si="1"/>
        <v>49.87</v>
      </c>
      <c r="H18" s="94"/>
      <c r="I18" s="94"/>
      <c r="J18" s="94"/>
    </row>
    <row r="19" spans="1:10">
      <c r="A19" s="360">
        <f t="shared" si="3"/>
        <v>44105</v>
      </c>
      <c r="B19" s="256" t="str">
        <f>IF(VLOOKUP($C$7,'Type of adjust'!$A$1:$P$18,MATCH(A19,'Type of adjust'!$A$1:$P$1,0),FALSE)="", "..", VLOOKUP($C$7,'Type of adjust'!$A$1:$P$18,MATCH(A19,'Type of adjust'!$A$1:$P$1,0),FALSE))</f>
        <v>..</v>
      </c>
      <c r="C19" s="261">
        <f>VLOOKUP(C7&amp;"Adjusted waiting "&amp;C9,REPORT_raw_datawaiting!A1:R817,MATCH(A19,REPORT_raw_datawaiting!D1:R1,1)+3, FALSE)</f>
        <v>23859</v>
      </c>
      <c r="D19" s="261">
        <f>VLOOKUP(C7&amp;"Adjusted waiting "&amp;D10,REPORT_raw_datawaiting!A1:R817,MATCH(A19,REPORT_raw_datawaiting!D1:R1,1)+3, FALSE)</f>
        <v>11104</v>
      </c>
      <c r="E19" s="261">
        <f>IF(C19="..","..",IF(D19="-",C19, IF((C19-D19)=0, "-",C19-D19)))</f>
        <v>12755</v>
      </c>
      <c r="F19" s="264">
        <f t="shared" si="0"/>
        <v>46.54</v>
      </c>
      <c r="G19" s="258">
        <f t="shared" si="1"/>
        <v>53.46</v>
      </c>
      <c r="H19" s="94"/>
      <c r="I19" s="94"/>
      <c r="J19" s="94"/>
    </row>
    <row r="20" spans="1:10">
      <c r="A20" s="360">
        <f t="shared" si="3"/>
        <v>44075</v>
      </c>
      <c r="B20" s="256" t="str">
        <f>IF(VLOOKUP($C$7,'Type of adjust'!$A$1:$P$18,MATCH(A20,'Type of adjust'!$A$1:$P$1,0),FALSE)="", "..", VLOOKUP($C$7,'Type of adjust'!$A$1:$P$18,MATCH(A20,'Type of adjust'!$A$1:$P$1,0),FALSE))</f>
        <v>..</v>
      </c>
      <c r="C20" s="261">
        <f>VLOOKUP(C7&amp;"Adjusted waiting "&amp;C9,REPORT_raw_datawaiting!A1:R817,MATCH(A20,REPORT_raw_datawaiting!D1:R1,1)+3, FALSE)</f>
        <v>23652</v>
      </c>
      <c r="D20" s="261">
        <f>VLOOKUP(C7&amp;"Adjusted waiting "&amp;D10,REPORT_raw_datawaiting!A1:R817,MATCH(A20,REPORT_raw_datawaiting!D1:R1,1)+3, FALSE)</f>
        <v>9965</v>
      </c>
      <c r="E20" s="261">
        <f t="shared" si="2"/>
        <v>13687</v>
      </c>
      <c r="F20" s="264">
        <f t="shared" si="0"/>
        <v>42.13</v>
      </c>
      <c r="G20" s="258">
        <f t="shared" si="1"/>
        <v>57.87</v>
      </c>
      <c r="H20" s="94"/>
      <c r="I20" s="94"/>
      <c r="J20" s="94"/>
    </row>
    <row r="21" spans="1:10">
      <c r="A21" s="360">
        <f t="shared" si="3"/>
        <v>44044</v>
      </c>
      <c r="B21" s="256" t="str">
        <f>IF(VLOOKUP($C$7,'Type of adjust'!$A$1:$P$18,MATCH(A21,'Type of adjust'!$A$1:$P$1,0),FALSE)="", "..", VLOOKUP($C$7,'Type of adjust'!$A$1:$P$18,MATCH(A21,'Type of adjust'!$A$1:$P$1,0),FALSE))</f>
        <v>..</v>
      </c>
      <c r="C21" s="261">
        <f>VLOOKUP(C7&amp;"Adjusted waiting "&amp;C9,REPORT_raw_datawaiting!A1:R817,MATCH(A21,REPORT_raw_datawaiting!D1:R1,1)+3, FALSE)</f>
        <v>23673</v>
      </c>
      <c r="D21" s="261">
        <f>VLOOKUP(C7&amp;"Adjusted waiting "&amp;D10,REPORT_raw_datawaiting!A1:R817,MATCH(A21,REPORT_raw_datawaiting!D1:R1,1)+3, FALSE)</f>
        <v>8853</v>
      </c>
      <c r="E21" s="261">
        <f t="shared" si="2"/>
        <v>14820</v>
      </c>
      <c r="F21" s="264">
        <f t="shared" si="0"/>
        <v>37.4</v>
      </c>
      <c r="G21" s="258">
        <f t="shared" si="1"/>
        <v>62.6</v>
      </c>
      <c r="H21" s="94"/>
      <c r="I21" s="94"/>
      <c r="J21" s="94"/>
    </row>
    <row r="22" spans="1:10">
      <c r="A22" s="360">
        <f t="shared" si="3"/>
        <v>44013</v>
      </c>
      <c r="B22" s="256" t="str">
        <f>IF(VLOOKUP($C$7,'Type of adjust'!$A$1:$P$18,MATCH(A22,'Type of adjust'!$A$1:$P$1,0),FALSE)="", "..", VLOOKUP($C$7,'Type of adjust'!$A$1:$P$18,MATCH(A22,'Type of adjust'!$A$1:$P$1,0),FALSE))</f>
        <v>..</v>
      </c>
      <c r="C22" s="261">
        <f>VLOOKUP(C7&amp;"Adjusted waiting "&amp;C9,REPORT_raw_datawaiting!A1:R817,MATCH(A22,REPORT_raw_datawaiting!D1:R1,1)+3, FALSE)</f>
        <v>23804</v>
      </c>
      <c r="D22" s="261">
        <f>VLOOKUP(C7&amp;"Adjusted waiting "&amp;D10,REPORT_raw_datawaiting!A1:R817,MATCH(A22,REPORT_raw_datawaiting!D1:R1,1)+3, FALSE)</f>
        <v>7850</v>
      </c>
      <c r="E22" s="261">
        <f t="shared" si="2"/>
        <v>15954</v>
      </c>
      <c r="F22" s="264">
        <f t="shared" si="0"/>
        <v>32.979999999999997</v>
      </c>
      <c r="G22" s="258">
        <f t="shared" si="1"/>
        <v>67.02</v>
      </c>
      <c r="H22" s="94"/>
      <c r="I22" s="94"/>
      <c r="J22" s="94"/>
    </row>
    <row r="23" spans="1:10">
      <c r="A23" s="360">
        <f t="shared" si="3"/>
        <v>43983</v>
      </c>
      <c r="B23" s="256" t="str">
        <f>IF(VLOOKUP($C$7,'Type of adjust'!$A$1:$P$18,MATCH(A23,'Type of adjust'!$A$1:$P$1,0),FALSE)="", "..", VLOOKUP($C$7,'Type of adjust'!$A$1:$P$18,MATCH(A23,'Type of adjust'!$A$1:$P$1,0),FALSE))</f>
        <v>..</v>
      </c>
      <c r="C23" s="261">
        <f>VLOOKUP(C7&amp;"Adjusted waiting "&amp;C9,REPORT_raw_datawaiting!A1:R817,MATCH(A23,REPORT_raw_datawaiting!D1:R1,1)+3, FALSE)</f>
        <v>24049</v>
      </c>
      <c r="D23" s="261">
        <f>VLOOKUP(C7&amp;"Adjusted waiting "&amp;D10,REPORT_raw_datawaiting!A1:R817,MATCH(A23,REPORT_raw_datawaiting!D1:R1,1)+3, FALSE)</f>
        <v>9017</v>
      </c>
      <c r="E23" s="261">
        <f t="shared" si="2"/>
        <v>15032</v>
      </c>
      <c r="F23" s="264">
        <f t="shared" si="0"/>
        <v>37.49</v>
      </c>
      <c r="G23" s="258">
        <f t="shared" si="1"/>
        <v>62.51</v>
      </c>
    </row>
    <row r="24" spans="1:10">
      <c r="A24" s="360">
        <f t="shared" si="3"/>
        <v>43952</v>
      </c>
      <c r="B24" s="256" t="str">
        <f>IF(VLOOKUP($C$7,'Type of adjust'!$A$1:$P$18,MATCH(A24,'Type of adjust'!$A$1:$P$1,0),FALSE)="", "..", VLOOKUP($C$7,'Type of adjust'!$A$1:$P$18,MATCH(A24,'Type of adjust'!$A$1:$P$1,0),FALSE))</f>
        <v>..</v>
      </c>
      <c r="C24" s="261">
        <f>VLOOKUP(C7&amp;"Adjusted waiting "&amp;C9,REPORT_raw_datawaiting!A1:R817,MATCH(A24,REPORT_raw_datawaiting!D1:R1,1)+3, FALSE)</f>
        <v>24778</v>
      </c>
      <c r="D24" s="261">
        <f>VLOOKUP(C7&amp;"Adjusted waiting "&amp;D10,REPORT_raw_datawaiting!A1:R817,MATCH(A24,REPORT_raw_datawaiting!D1:R1,1)+3, FALSE)</f>
        <v>11052</v>
      </c>
      <c r="E24" s="261">
        <f t="shared" si="2"/>
        <v>13726</v>
      </c>
      <c r="F24" s="264">
        <f t="shared" si="0"/>
        <v>44.6</v>
      </c>
      <c r="G24" s="258">
        <f t="shared" si="1"/>
        <v>55.4</v>
      </c>
    </row>
    <row r="25" spans="1:10">
      <c r="A25" s="361">
        <f t="shared" si="3"/>
        <v>43922</v>
      </c>
      <c r="B25" s="254" t="str">
        <f>IF(VLOOKUP($C$7,'Type of adjust'!$A$1:$P$18,MATCH(A25,'Type of adjust'!$A$1:$P$1,0),FALSE)="", "..", VLOOKUP($C$7,'Type of adjust'!$A$1:$P$18,MATCH(A25,'Type of adjust'!$A$1:$P$1,0),FALSE))</f>
        <v>..</v>
      </c>
      <c r="C25" s="262">
        <f>VLOOKUP(C7&amp;"Adjusted waiting "&amp;C9,REPORT_raw_datawaiting!A1:R817,MATCH(A25,REPORT_raw_datawaiting!D1:R1,1)+3, FALSE)</f>
        <v>26017</v>
      </c>
      <c r="D25" s="262">
        <f>VLOOKUP(C7&amp;"Adjusted waiting "&amp;D10,REPORT_raw_datawaiting!A1:R817,MATCH(A25,REPORT_raw_datawaiting!D1:R1,1)+3, FALSE)</f>
        <v>13065</v>
      </c>
      <c r="E25" s="262">
        <f t="shared" si="2"/>
        <v>12952</v>
      </c>
      <c r="F25" s="265">
        <f t="shared" si="0"/>
        <v>50.22</v>
      </c>
      <c r="G25" s="259">
        <f t="shared" si="1"/>
        <v>49.78</v>
      </c>
    </row>
    <row r="26" spans="1:10">
      <c r="A26" s="32"/>
      <c r="B26" s="16"/>
      <c r="C26" s="16"/>
      <c r="D26" s="16"/>
      <c r="E26" s="38"/>
      <c r="F26" s="17"/>
      <c r="G26" s="17"/>
    </row>
    <row r="27" spans="1:10">
      <c r="A27" s="8"/>
      <c r="B27" s="16"/>
      <c r="C27" s="16"/>
      <c r="D27" s="16"/>
      <c r="E27" s="16"/>
      <c r="F27" s="17"/>
      <c r="G27" s="17"/>
    </row>
    <row r="28" spans="1:10" ht="20.25">
      <c r="A28" s="76" t="s">
        <v>337</v>
      </c>
      <c r="B28" s="16"/>
      <c r="C28" s="16"/>
      <c r="D28" s="16"/>
      <c r="E28" s="16"/>
      <c r="F28" s="17"/>
      <c r="G28" s="17"/>
    </row>
    <row r="29" spans="1:10" ht="29.25" customHeight="1">
      <c r="A29" s="77" t="s">
        <v>338</v>
      </c>
      <c r="B29" s="77" t="s">
        <v>339</v>
      </c>
      <c r="C29" s="78"/>
      <c r="D29" s="450" t="s">
        <v>340</v>
      </c>
      <c r="E29" s="450"/>
      <c r="F29" s="450"/>
      <c r="G29" s="450"/>
    </row>
    <row r="30" spans="1:10" ht="27" customHeight="1">
      <c r="A30" s="79" t="s">
        <v>55</v>
      </c>
      <c r="B30" s="80" t="s">
        <v>341</v>
      </c>
      <c r="C30" s="81"/>
      <c r="D30" s="451" t="s">
        <v>342</v>
      </c>
      <c r="E30" s="451"/>
      <c r="F30" s="451"/>
      <c r="G30" s="451"/>
    </row>
    <row r="31" spans="1:10" ht="39" customHeight="1">
      <c r="A31" s="82" t="s">
        <v>343</v>
      </c>
      <c r="B31" s="83" t="s">
        <v>344</v>
      </c>
      <c r="C31" s="84"/>
      <c r="D31" s="452" t="s">
        <v>345</v>
      </c>
      <c r="E31" s="452"/>
      <c r="F31" s="452"/>
      <c r="G31" s="452"/>
    </row>
    <row r="32" spans="1:10">
      <c r="A32" s="85" t="s">
        <v>27</v>
      </c>
      <c r="B32" s="86"/>
      <c r="C32" s="87"/>
      <c r="D32" s="439" t="s">
        <v>346</v>
      </c>
      <c r="E32" s="439"/>
      <c r="F32" s="439"/>
      <c r="G32" s="439"/>
    </row>
    <row r="33" spans="1:7">
      <c r="A33" s="88"/>
      <c r="B33" s="89"/>
      <c r="C33" s="89"/>
      <c r="D33" s="19"/>
      <c r="E33" s="89"/>
      <c r="F33" s="90"/>
      <c r="G33" s="15"/>
    </row>
    <row r="34" spans="1:7">
      <c r="A34" s="88"/>
      <c r="B34" s="89"/>
      <c r="C34" s="89"/>
      <c r="D34" s="19"/>
      <c r="E34" s="89"/>
      <c r="F34" s="90"/>
      <c r="G34" s="15"/>
    </row>
    <row r="35" spans="1:7">
      <c r="A35" s="88"/>
      <c r="B35" s="89"/>
      <c r="C35" s="89"/>
      <c r="D35" s="19"/>
      <c r="E35" s="89"/>
      <c r="F35" s="90"/>
      <c r="G35" s="15"/>
    </row>
    <row r="36" spans="1:7">
      <c r="A36" s="91" t="s">
        <v>190</v>
      </c>
      <c r="B36" s="89"/>
      <c r="C36" s="89"/>
      <c r="D36" s="89"/>
      <c r="E36" s="89"/>
      <c r="F36" s="90"/>
      <c r="G36" s="15"/>
    </row>
    <row r="37" spans="1:7">
      <c r="A37" s="91" t="s">
        <v>191</v>
      </c>
      <c r="B37" s="89"/>
      <c r="C37" s="89"/>
      <c r="D37" s="89"/>
      <c r="E37" s="89"/>
      <c r="F37" s="90"/>
      <c r="G37" s="15"/>
    </row>
    <row r="38" spans="1:7">
      <c r="B38" s="16"/>
      <c r="C38" s="16"/>
      <c r="D38" s="16"/>
      <c r="E38" s="16"/>
      <c r="F38" s="18"/>
      <c r="G38" s="18"/>
    </row>
    <row r="39" spans="1:7">
      <c r="A39" s="43" t="s">
        <v>410</v>
      </c>
      <c r="B39" s="12"/>
      <c r="C39" s="12"/>
      <c r="D39" s="12"/>
      <c r="E39" s="12"/>
      <c r="F39" s="13"/>
      <c r="G39" s="13"/>
    </row>
    <row r="40" spans="1:7" ht="2.25" customHeight="1">
      <c r="B40" s="7"/>
      <c r="C40" s="7"/>
      <c r="D40" s="7"/>
      <c r="E40" s="7"/>
      <c r="F40" s="14"/>
      <c r="G40" s="14"/>
    </row>
    <row r="41" spans="1:7" ht="2.25" customHeight="1">
      <c r="A41" s="8"/>
      <c r="B41" s="7"/>
      <c r="C41" s="7"/>
      <c r="D41" s="7"/>
      <c r="E41" s="7"/>
      <c r="F41" s="15"/>
      <c r="G41" s="15"/>
    </row>
    <row r="42" spans="1:7">
      <c r="B42" s="16"/>
      <c r="C42" s="16"/>
      <c r="D42" s="16"/>
      <c r="E42" s="16"/>
      <c r="F42" s="18"/>
      <c r="G42" s="18"/>
    </row>
    <row r="43" spans="1:7">
      <c r="B43" s="12"/>
      <c r="C43" s="12"/>
      <c r="D43" s="12"/>
      <c r="E43" s="12"/>
      <c r="F43" s="13"/>
      <c r="G43" s="13"/>
    </row>
    <row r="44" spans="1:7">
      <c r="B44" s="12"/>
      <c r="C44" s="12"/>
      <c r="D44" s="7"/>
      <c r="E44" s="7"/>
      <c r="F44" s="14"/>
      <c r="G44" s="14"/>
    </row>
    <row r="45" spans="1:7">
      <c r="B45" s="12"/>
      <c r="C45" s="12"/>
      <c r="D45" s="7"/>
      <c r="E45" s="7"/>
      <c r="F45" s="15"/>
      <c r="G45" s="15"/>
    </row>
    <row r="46" spans="1:7">
      <c r="B46" s="16"/>
      <c r="C46" s="16"/>
      <c r="D46" s="7"/>
      <c r="E46" s="7"/>
      <c r="F46" s="15"/>
      <c r="G46" s="15"/>
    </row>
    <row r="47" spans="1:7" ht="6" customHeight="1">
      <c r="A47" s="29" t="str">
        <f>"Percentage of patients waiting less than 18 weeks for adjusted waits - "&amp;C7</f>
        <v>Percentage of patients waiting less than 18 weeks for adjusted waits - Scotland</v>
      </c>
      <c r="B47" s="16"/>
      <c r="C47" s="16"/>
      <c r="D47" s="16"/>
      <c r="E47" s="16"/>
      <c r="F47" s="15"/>
      <c r="G47" s="15"/>
    </row>
    <row r="48" spans="1:7" ht="6" customHeight="1">
      <c r="A48" s="28"/>
      <c r="B48" s="16"/>
      <c r="C48" s="16"/>
      <c r="D48" s="16"/>
      <c r="E48" s="16"/>
      <c r="F48" s="18"/>
      <c r="G48" s="18"/>
    </row>
    <row r="49" spans="1:7">
      <c r="B49" s="12"/>
      <c r="C49" s="12"/>
      <c r="D49" s="12"/>
      <c r="E49" s="12"/>
      <c r="F49" s="13"/>
      <c r="G49" s="13"/>
    </row>
    <row r="50" spans="1:7" ht="12" customHeight="1">
      <c r="B50" s="7"/>
      <c r="C50" s="7"/>
      <c r="D50" s="7"/>
      <c r="E50" s="7"/>
      <c r="F50" s="14"/>
      <c r="G50" s="14"/>
    </row>
    <row r="51" spans="1:7">
      <c r="A51" s="29" t="str">
        <f>"Patients waiting - adjusted waits - "&amp;C7</f>
        <v>Patients waiting - adjusted waits - Scotland</v>
      </c>
      <c r="B51" s="16"/>
      <c r="C51" s="16"/>
      <c r="D51" s="16"/>
      <c r="E51" s="16"/>
      <c r="F51" s="15"/>
      <c r="G51" s="15"/>
    </row>
    <row r="52" spans="1:7">
      <c r="A52" s="29" t="str">
        <f>"Percentage of patients waiting 0-18 weeks - adjusted waits - "&amp;C7</f>
        <v>Percentage of patients waiting 0-18 weeks - adjusted waits - Scotland</v>
      </c>
      <c r="B52" s="16"/>
      <c r="C52" s="16"/>
      <c r="D52" s="16"/>
      <c r="E52" s="16"/>
      <c r="F52" s="15"/>
      <c r="G52" s="15"/>
    </row>
    <row r="53" spans="1:7">
      <c r="A53" s="29" t="str">
        <f>"Percentage of patients waiting - adjusted waits - "&amp;C7</f>
        <v>Percentage of patients waiting - adjusted waits - Scotland</v>
      </c>
      <c r="B53" s="16"/>
      <c r="C53" s="16"/>
      <c r="D53" s="16"/>
      <c r="E53" s="16"/>
      <c r="F53" s="17"/>
      <c r="G53" s="17"/>
    </row>
    <row r="54" spans="1:7">
      <c r="B54" s="12"/>
      <c r="C54" s="12"/>
      <c r="D54" s="12"/>
      <c r="E54" s="12"/>
      <c r="F54" s="13"/>
      <c r="G54" s="13"/>
    </row>
    <row r="55" spans="1:7" s="20" customFormat="1" ht="12.75" customHeight="1">
      <c r="B55" s="21"/>
      <c r="C55" s="21"/>
      <c r="D55" s="21"/>
      <c r="E55" s="21"/>
      <c r="F55" s="22"/>
      <c r="G55" s="22"/>
    </row>
    <row r="56" spans="1:7">
      <c r="B56" s="8"/>
      <c r="C56" s="8"/>
      <c r="D56" s="8"/>
      <c r="E56" s="8"/>
      <c r="F56" s="24"/>
      <c r="G56" s="24"/>
    </row>
    <row r="57" spans="1:7">
      <c r="B57" s="8"/>
      <c r="C57" s="8"/>
      <c r="D57" s="8"/>
      <c r="E57" s="8"/>
      <c r="F57" s="24"/>
      <c r="G57" s="24"/>
    </row>
    <row r="58" spans="1:7">
      <c r="B58" s="8"/>
      <c r="C58" s="8"/>
      <c r="D58" s="8"/>
      <c r="E58" s="8"/>
      <c r="F58" s="24"/>
      <c r="G58" s="24"/>
    </row>
    <row r="59" spans="1:7">
      <c r="A59" s="16"/>
      <c r="B59" s="16"/>
      <c r="C59" s="16"/>
      <c r="D59" s="16"/>
      <c r="E59" s="16"/>
      <c r="F59" s="26"/>
      <c r="G59" s="26"/>
    </row>
    <row r="60" spans="1:7">
      <c r="B60" s="16"/>
      <c r="C60" s="16"/>
      <c r="D60" s="16"/>
      <c r="E60" s="16"/>
      <c r="F60" s="18"/>
      <c r="G60" s="18"/>
    </row>
    <row r="61" spans="1:7">
      <c r="B61" s="12"/>
      <c r="C61" s="12"/>
      <c r="D61" s="12"/>
      <c r="E61" s="12"/>
      <c r="F61" s="13"/>
      <c r="G61" s="13"/>
    </row>
    <row r="62" spans="1:7">
      <c r="B62" s="7"/>
      <c r="C62" s="7"/>
      <c r="D62" s="7"/>
      <c r="E62" s="7"/>
      <c r="F62" s="14"/>
      <c r="G62" s="14"/>
    </row>
    <row r="63" spans="1:7">
      <c r="B63" s="7"/>
      <c r="C63" s="7"/>
      <c r="D63" s="7"/>
      <c r="E63" s="7"/>
      <c r="F63" s="15"/>
      <c r="G63" s="15"/>
    </row>
    <row r="64" spans="1:7">
      <c r="B64" s="7"/>
      <c r="C64" s="7"/>
      <c r="D64" s="7"/>
      <c r="E64" s="7"/>
      <c r="F64" s="15"/>
      <c r="G64" s="15"/>
    </row>
    <row r="65" spans="2:7">
      <c r="B65" s="16"/>
      <c r="C65" s="16"/>
      <c r="D65" s="16"/>
      <c r="E65" s="16"/>
      <c r="F65" s="18"/>
      <c r="G65" s="18"/>
    </row>
    <row r="66" spans="2:7">
      <c r="B66" s="27"/>
      <c r="C66" s="27"/>
      <c r="D66" s="27"/>
      <c r="E66" s="27"/>
      <c r="F66" s="13"/>
      <c r="G66" s="13"/>
    </row>
    <row r="67" spans="2:7">
      <c r="B67" s="28"/>
      <c r="C67" s="28"/>
      <c r="D67" s="28"/>
      <c r="E67" s="28"/>
      <c r="F67" s="14"/>
      <c r="G67" s="14"/>
    </row>
    <row r="68" spans="2:7">
      <c r="F68" s="15"/>
      <c r="G68" s="15"/>
    </row>
    <row r="69" spans="2:7">
      <c r="F69" s="15"/>
      <c r="G69" s="15"/>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9"/>
      <c r="B91" s="29"/>
      <c r="C91" s="29"/>
      <c r="D91" s="29"/>
    </row>
    <row r="92" spans="1:4">
      <c r="A92" s="29"/>
      <c r="B92" s="29"/>
      <c r="C92" s="29"/>
      <c r="D92" s="29"/>
    </row>
    <row r="93" spans="1:4">
      <c r="A93" s="29"/>
      <c r="B93" s="29"/>
      <c r="C93" s="29"/>
      <c r="D93" s="29"/>
    </row>
    <row r="94" spans="1:4">
      <c r="A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sheetData>
  <sheetProtection algorithmName="SHA-512" hashValue="Uj+M8OtIcNR3WYNKPdk7rqTVLXKYfm5d+vL8DFqLkTp0PWih1yf0pb4MTd9u1knnTj3exMPmJtdejALjmPivOA==" saltValue="6rtcnHBosGJhOBvkL6ofjw==" spinCount="100000" sheet="1" objects="1" scenarios="1"/>
  <mergeCells count="12">
    <mergeCell ref="A1:K1"/>
    <mergeCell ref="A2:D2"/>
    <mergeCell ref="D32:G32"/>
    <mergeCell ref="C7:D7"/>
    <mergeCell ref="A9:A10"/>
    <mergeCell ref="B9:B10"/>
    <mergeCell ref="C9:C10"/>
    <mergeCell ref="D9:E9"/>
    <mergeCell ref="F9:G9"/>
    <mergeCell ref="D29:G29"/>
    <mergeCell ref="D30:G30"/>
    <mergeCell ref="D31:G31"/>
  </mergeCells>
  <dataValidations count="2">
    <dataValidation type="list" allowBlank="1" showInputMessage="1" showErrorMessage="1" sqref="IU65518:IV65518 SQ65518:SR65518 ACM65518:ACN65518 AMI65518:AMJ65518 AWE65518:AWF65518 BGA65518:BGB65518 BPW65518:BPX65518 BZS65518:BZT65518 CJO65518:CJP65518 CTK65518:CTL65518 DDG65518:DDH65518 DNC65518:DND65518 DWY65518:DWZ65518 EGU65518:EGV65518 EQQ65518:EQR65518 FAM65518:FAN65518 FKI65518:FKJ65518 FUE65518:FUF65518 GEA65518:GEB65518 GNW65518:GNX65518 GXS65518:GXT65518 HHO65518:HHP65518 HRK65518:HRL65518 IBG65518:IBH65518 ILC65518:ILD65518 IUY65518:IUZ65518 JEU65518:JEV65518 JOQ65518:JOR65518 JYM65518:JYN65518 KII65518:KIJ65518 KSE65518:KSF65518 LCA65518:LCB65518 LLW65518:LLX65518 LVS65518:LVT65518 MFO65518:MFP65518 MPK65518:MPL65518 MZG65518:MZH65518 NJC65518:NJD65518 NSY65518:NSZ65518 OCU65518:OCV65518 OMQ65518:OMR65518 OWM65518:OWN65518 PGI65518:PGJ65518 PQE65518:PQF65518 QAA65518:QAB65518 QJW65518:QJX65518 QTS65518:QTT65518 RDO65518:RDP65518 RNK65518:RNL65518 RXG65518:RXH65518 SHC65518:SHD65518 SQY65518:SQZ65518 TAU65518:TAV65518 TKQ65518:TKR65518 TUM65518:TUN65518 UEI65518:UEJ65518 UOE65518:UOF65518 UYA65518:UYB65518 VHW65518:VHX65518 VRS65518:VRT65518 WBO65518:WBP65518 WLK65518:WLL65518 WVG65518:WVH65518 IU131054:IV131054 SQ131054:SR131054 ACM131054:ACN131054 AMI131054:AMJ131054 AWE131054:AWF131054 BGA131054:BGB131054 BPW131054:BPX131054 BZS131054:BZT131054 CJO131054:CJP131054 CTK131054:CTL131054 DDG131054:DDH131054 DNC131054:DND131054 DWY131054:DWZ131054 EGU131054:EGV131054 EQQ131054:EQR131054 FAM131054:FAN131054 FKI131054:FKJ131054 FUE131054:FUF131054 GEA131054:GEB131054 GNW131054:GNX131054 GXS131054:GXT131054 HHO131054:HHP131054 HRK131054:HRL131054 IBG131054:IBH131054 ILC131054:ILD131054 IUY131054:IUZ131054 JEU131054:JEV131054 JOQ131054:JOR131054 JYM131054:JYN131054 KII131054:KIJ131054 KSE131054:KSF131054 LCA131054:LCB131054 LLW131054:LLX131054 LVS131054:LVT131054 MFO131054:MFP131054 MPK131054:MPL131054 MZG131054:MZH131054 NJC131054:NJD131054 NSY131054:NSZ131054 OCU131054:OCV131054 OMQ131054:OMR131054 OWM131054:OWN131054 PGI131054:PGJ131054 PQE131054:PQF131054 QAA131054:QAB131054 QJW131054:QJX131054 QTS131054:QTT131054 RDO131054:RDP131054 RNK131054:RNL131054 RXG131054:RXH131054 SHC131054:SHD131054 SQY131054:SQZ131054 TAU131054:TAV131054 TKQ131054:TKR131054 TUM131054:TUN131054 UEI131054:UEJ131054 UOE131054:UOF131054 UYA131054:UYB131054 VHW131054:VHX131054 VRS131054:VRT131054 WBO131054:WBP131054 WLK131054:WLL131054 WVG131054:WVH131054 IU196590:IV196590 SQ196590:SR196590 ACM196590:ACN196590 AMI196590:AMJ196590 AWE196590:AWF196590 BGA196590:BGB196590 BPW196590:BPX196590 BZS196590:BZT196590 CJO196590:CJP196590 CTK196590:CTL196590 DDG196590:DDH196590 DNC196590:DND196590 DWY196590:DWZ196590 EGU196590:EGV196590 EQQ196590:EQR196590 FAM196590:FAN196590 FKI196590:FKJ196590 FUE196590:FUF196590 GEA196590:GEB196590 GNW196590:GNX196590 GXS196590:GXT196590 HHO196590:HHP196590 HRK196590:HRL196590 IBG196590:IBH196590 ILC196590:ILD196590 IUY196590:IUZ196590 JEU196590:JEV196590 JOQ196590:JOR196590 JYM196590:JYN196590 KII196590:KIJ196590 KSE196590:KSF196590 LCA196590:LCB196590 LLW196590:LLX196590 LVS196590:LVT196590 MFO196590:MFP196590 MPK196590:MPL196590 MZG196590:MZH196590 NJC196590:NJD196590 NSY196590:NSZ196590 OCU196590:OCV196590 OMQ196590:OMR196590 OWM196590:OWN196590 PGI196590:PGJ196590 PQE196590:PQF196590 QAA196590:QAB196590 QJW196590:QJX196590 QTS196590:QTT196590 RDO196590:RDP196590 RNK196590:RNL196590 RXG196590:RXH196590 SHC196590:SHD196590 SQY196590:SQZ196590 TAU196590:TAV196590 TKQ196590:TKR196590 TUM196590:TUN196590 UEI196590:UEJ196590 UOE196590:UOF196590 UYA196590:UYB196590 VHW196590:VHX196590 VRS196590:VRT196590 WBO196590:WBP196590 WLK196590:WLL196590 WVG196590:WVH196590 IU262126:IV262126 SQ262126:SR262126 ACM262126:ACN262126 AMI262126:AMJ262126 AWE262126:AWF262126 BGA262126:BGB262126 BPW262126:BPX262126 BZS262126:BZT262126 CJO262126:CJP262126 CTK262126:CTL262126 DDG262126:DDH262126 DNC262126:DND262126 DWY262126:DWZ262126 EGU262126:EGV262126 EQQ262126:EQR262126 FAM262126:FAN262126 FKI262126:FKJ262126 FUE262126:FUF262126 GEA262126:GEB262126 GNW262126:GNX262126 GXS262126:GXT262126 HHO262126:HHP262126 HRK262126:HRL262126 IBG262126:IBH262126 ILC262126:ILD262126 IUY262126:IUZ262126 JEU262126:JEV262126 JOQ262126:JOR262126 JYM262126:JYN262126 KII262126:KIJ262126 KSE262126:KSF262126 LCA262126:LCB262126 LLW262126:LLX262126 LVS262126:LVT262126 MFO262126:MFP262126 MPK262126:MPL262126 MZG262126:MZH262126 NJC262126:NJD262126 NSY262126:NSZ262126 OCU262126:OCV262126 OMQ262126:OMR262126 OWM262126:OWN262126 PGI262126:PGJ262126 PQE262126:PQF262126 QAA262126:QAB262126 QJW262126:QJX262126 QTS262126:QTT262126 RDO262126:RDP262126 RNK262126:RNL262126 RXG262126:RXH262126 SHC262126:SHD262126 SQY262126:SQZ262126 TAU262126:TAV262126 TKQ262126:TKR262126 TUM262126:TUN262126 UEI262126:UEJ262126 UOE262126:UOF262126 UYA262126:UYB262126 VHW262126:VHX262126 VRS262126:VRT262126 WBO262126:WBP262126 WLK262126:WLL262126 WVG262126:WVH262126 IU327662:IV327662 SQ327662:SR327662 ACM327662:ACN327662 AMI327662:AMJ327662 AWE327662:AWF327662 BGA327662:BGB327662 BPW327662:BPX327662 BZS327662:BZT327662 CJO327662:CJP327662 CTK327662:CTL327662 DDG327662:DDH327662 DNC327662:DND327662 DWY327662:DWZ327662 EGU327662:EGV327662 EQQ327662:EQR327662 FAM327662:FAN327662 FKI327662:FKJ327662 FUE327662:FUF327662 GEA327662:GEB327662 GNW327662:GNX327662 GXS327662:GXT327662 HHO327662:HHP327662 HRK327662:HRL327662 IBG327662:IBH327662 ILC327662:ILD327662 IUY327662:IUZ327662 JEU327662:JEV327662 JOQ327662:JOR327662 JYM327662:JYN327662 KII327662:KIJ327662 KSE327662:KSF327662 LCA327662:LCB327662 LLW327662:LLX327662 LVS327662:LVT327662 MFO327662:MFP327662 MPK327662:MPL327662 MZG327662:MZH327662 NJC327662:NJD327662 NSY327662:NSZ327662 OCU327662:OCV327662 OMQ327662:OMR327662 OWM327662:OWN327662 PGI327662:PGJ327662 PQE327662:PQF327662 QAA327662:QAB327662 QJW327662:QJX327662 QTS327662:QTT327662 RDO327662:RDP327662 RNK327662:RNL327662 RXG327662:RXH327662 SHC327662:SHD327662 SQY327662:SQZ327662 TAU327662:TAV327662 TKQ327662:TKR327662 TUM327662:TUN327662 UEI327662:UEJ327662 UOE327662:UOF327662 UYA327662:UYB327662 VHW327662:VHX327662 VRS327662:VRT327662 WBO327662:WBP327662 WLK327662:WLL327662 WVG327662:WVH327662 IU393198:IV393198 SQ393198:SR393198 ACM393198:ACN393198 AMI393198:AMJ393198 AWE393198:AWF393198 BGA393198:BGB393198 BPW393198:BPX393198 BZS393198:BZT393198 CJO393198:CJP393198 CTK393198:CTL393198 DDG393198:DDH393198 DNC393198:DND393198 DWY393198:DWZ393198 EGU393198:EGV393198 EQQ393198:EQR393198 FAM393198:FAN393198 FKI393198:FKJ393198 FUE393198:FUF393198 GEA393198:GEB393198 GNW393198:GNX393198 GXS393198:GXT393198 HHO393198:HHP393198 HRK393198:HRL393198 IBG393198:IBH393198 ILC393198:ILD393198 IUY393198:IUZ393198 JEU393198:JEV393198 JOQ393198:JOR393198 JYM393198:JYN393198 KII393198:KIJ393198 KSE393198:KSF393198 LCA393198:LCB393198 LLW393198:LLX393198 LVS393198:LVT393198 MFO393198:MFP393198 MPK393198:MPL393198 MZG393198:MZH393198 NJC393198:NJD393198 NSY393198:NSZ393198 OCU393198:OCV393198 OMQ393198:OMR393198 OWM393198:OWN393198 PGI393198:PGJ393198 PQE393198:PQF393198 QAA393198:QAB393198 QJW393198:QJX393198 QTS393198:QTT393198 RDO393198:RDP393198 RNK393198:RNL393198 RXG393198:RXH393198 SHC393198:SHD393198 SQY393198:SQZ393198 TAU393198:TAV393198 TKQ393198:TKR393198 TUM393198:TUN393198 UEI393198:UEJ393198 UOE393198:UOF393198 UYA393198:UYB393198 VHW393198:VHX393198 VRS393198:VRT393198 WBO393198:WBP393198 WLK393198:WLL393198 WVG393198:WVH393198 IU458734:IV458734 SQ458734:SR458734 ACM458734:ACN458734 AMI458734:AMJ458734 AWE458734:AWF458734 BGA458734:BGB458734 BPW458734:BPX458734 BZS458734:BZT458734 CJO458734:CJP458734 CTK458734:CTL458734 DDG458734:DDH458734 DNC458734:DND458734 DWY458734:DWZ458734 EGU458734:EGV458734 EQQ458734:EQR458734 FAM458734:FAN458734 FKI458734:FKJ458734 FUE458734:FUF458734 GEA458734:GEB458734 GNW458734:GNX458734 GXS458734:GXT458734 HHO458734:HHP458734 HRK458734:HRL458734 IBG458734:IBH458734 ILC458734:ILD458734 IUY458734:IUZ458734 JEU458734:JEV458734 JOQ458734:JOR458734 JYM458734:JYN458734 KII458734:KIJ458734 KSE458734:KSF458734 LCA458734:LCB458734 LLW458734:LLX458734 LVS458734:LVT458734 MFO458734:MFP458734 MPK458734:MPL458734 MZG458734:MZH458734 NJC458734:NJD458734 NSY458734:NSZ458734 OCU458734:OCV458734 OMQ458734:OMR458734 OWM458734:OWN458734 PGI458734:PGJ458734 PQE458734:PQF458734 QAA458734:QAB458734 QJW458734:QJX458734 QTS458734:QTT458734 RDO458734:RDP458734 RNK458734:RNL458734 RXG458734:RXH458734 SHC458734:SHD458734 SQY458734:SQZ458734 TAU458734:TAV458734 TKQ458734:TKR458734 TUM458734:TUN458734 UEI458734:UEJ458734 UOE458734:UOF458734 UYA458734:UYB458734 VHW458734:VHX458734 VRS458734:VRT458734 WBO458734:WBP458734 WLK458734:WLL458734 WVG458734:WVH458734 IU524270:IV524270 SQ524270:SR524270 ACM524270:ACN524270 AMI524270:AMJ524270 AWE524270:AWF524270 BGA524270:BGB524270 BPW524270:BPX524270 BZS524270:BZT524270 CJO524270:CJP524270 CTK524270:CTL524270 DDG524270:DDH524270 DNC524270:DND524270 DWY524270:DWZ524270 EGU524270:EGV524270 EQQ524270:EQR524270 FAM524270:FAN524270 FKI524270:FKJ524270 FUE524270:FUF524270 GEA524270:GEB524270 GNW524270:GNX524270 GXS524270:GXT524270 HHO524270:HHP524270 HRK524270:HRL524270 IBG524270:IBH524270 ILC524270:ILD524270 IUY524270:IUZ524270 JEU524270:JEV524270 JOQ524270:JOR524270 JYM524270:JYN524270 KII524270:KIJ524270 KSE524270:KSF524270 LCA524270:LCB524270 LLW524270:LLX524270 LVS524270:LVT524270 MFO524270:MFP524270 MPK524270:MPL524270 MZG524270:MZH524270 NJC524270:NJD524270 NSY524270:NSZ524270 OCU524270:OCV524270 OMQ524270:OMR524270 OWM524270:OWN524270 PGI524270:PGJ524270 PQE524270:PQF524270 QAA524270:QAB524270 QJW524270:QJX524270 QTS524270:QTT524270 RDO524270:RDP524270 RNK524270:RNL524270 RXG524270:RXH524270 SHC524270:SHD524270 SQY524270:SQZ524270 TAU524270:TAV524270 TKQ524270:TKR524270 TUM524270:TUN524270 UEI524270:UEJ524270 UOE524270:UOF524270 UYA524270:UYB524270 VHW524270:VHX524270 VRS524270:VRT524270 WBO524270:WBP524270 WLK524270:WLL524270 WVG524270:WVH524270 IU589806:IV589806 SQ589806:SR589806 ACM589806:ACN589806 AMI589806:AMJ589806 AWE589806:AWF589806 BGA589806:BGB589806 BPW589806:BPX589806 BZS589806:BZT589806 CJO589806:CJP589806 CTK589806:CTL589806 DDG589806:DDH589806 DNC589806:DND589806 DWY589806:DWZ589806 EGU589806:EGV589806 EQQ589806:EQR589806 FAM589806:FAN589806 FKI589806:FKJ589806 FUE589806:FUF589806 GEA589806:GEB589806 GNW589806:GNX589806 GXS589806:GXT589806 HHO589806:HHP589806 HRK589806:HRL589806 IBG589806:IBH589806 ILC589806:ILD589806 IUY589806:IUZ589806 JEU589806:JEV589806 JOQ589806:JOR589806 JYM589806:JYN589806 KII589806:KIJ589806 KSE589806:KSF589806 LCA589806:LCB589806 LLW589806:LLX589806 LVS589806:LVT589806 MFO589806:MFP589806 MPK589806:MPL589806 MZG589806:MZH589806 NJC589806:NJD589806 NSY589806:NSZ589806 OCU589806:OCV589806 OMQ589806:OMR589806 OWM589806:OWN589806 PGI589806:PGJ589806 PQE589806:PQF589806 QAA589806:QAB589806 QJW589806:QJX589806 QTS589806:QTT589806 RDO589806:RDP589806 RNK589806:RNL589806 RXG589806:RXH589806 SHC589806:SHD589806 SQY589806:SQZ589806 TAU589806:TAV589806 TKQ589806:TKR589806 TUM589806:TUN589806 UEI589806:UEJ589806 UOE589806:UOF589806 UYA589806:UYB589806 VHW589806:VHX589806 VRS589806:VRT589806 WBO589806:WBP589806 WLK589806:WLL589806 WVG589806:WVH589806 IU655342:IV655342 SQ655342:SR655342 ACM655342:ACN655342 AMI655342:AMJ655342 AWE655342:AWF655342 BGA655342:BGB655342 BPW655342:BPX655342 BZS655342:BZT655342 CJO655342:CJP655342 CTK655342:CTL655342 DDG655342:DDH655342 DNC655342:DND655342 DWY655342:DWZ655342 EGU655342:EGV655342 EQQ655342:EQR655342 FAM655342:FAN655342 FKI655342:FKJ655342 FUE655342:FUF655342 GEA655342:GEB655342 GNW655342:GNX655342 GXS655342:GXT655342 HHO655342:HHP655342 HRK655342:HRL655342 IBG655342:IBH655342 ILC655342:ILD655342 IUY655342:IUZ655342 JEU655342:JEV655342 JOQ655342:JOR655342 JYM655342:JYN655342 KII655342:KIJ655342 KSE655342:KSF655342 LCA655342:LCB655342 LLW655342:LLX655342 LVS655342:LVT655342 MFO655342:MFP655342 MPK655342:MPL655342 MZG655342:MZH655342 NJC655342:NJD655342 NSY655342:NSZ655342 OCU655342:OCV655342 OMQ655342:OMR655342 OWM655342:OWN655342 PGI655342:PGJ655342 PQE655342:PQF655342 QAA655342:QAB655342 QJW655342:QJX655342 QTS655342:QTT655342 RDO655342:RDP655342 RNK655342:RNL655342 RXG655342:RXH655342 SHC655342:SHD655342 SQY655342:SQZ655342 TAU655342:TAV655342 TKQ655342:TKR655342 TUM655342:TUN655342 UEI655342:UEJ655342 UOE655342:UOF655342 UYA655342:UYB655342 VHW655342:VHX655342 VRS655342:VRT655342 WBO655342:WBP655342 WLK655342:WLL655342 WVG655342:WVH655342 IU720878:IV720878 SQ720878:SR720878 ACM720878:ACN720878 AMI720878:AMJ720878 AWE720878:AWF720878 BGA720878:BGB720878 BPW720878:BPX720878 BZS720878:BZT720878 CJO720878:CJP720878 CTK720878:CTL720878 DDG720878:DDH720878 DNC720878:DND720878 DWY720878:DWZ720878 EGU720878:EGV720878 EQQ720878:EQR720878 FAM720878:FAN720878 FKI720878:FKJ720878 FUE720878:FUF720878 GEA720878:GEB720878 GNW720878:GNX720878 GXS720878:GXT720878 HHO720878:HHP720878 HRK720878:HRL720878 IBG720878:IBH720878 ILC720878:ILD720878 IUY720878:IUZ720878 JEU720878:JEV720878 JOQ720878:JOR720878 JYM720878:JYN720878 KII720878:KIJ720878 KSE720878:KSF720878 LCA720878:LCB720878 LLW720878:LLX720878 LVS720878:LVT720878 MFO720878:MFP720878 MPK720878:MPL720878 MZG720878:MZH720878 NJC720878:NJD720878 NSY720878:NSZ720878 OCU720878:OCV720878 OMQ720878:OMR720878 OWM720878:OWN720878 PGI720878:PGJ720878 PQE720878:PQF720878 QAA720878:QAB720878 QJW720878:QJX720878 QTS720878:QTT720878 RDO720878:RDP720878 RNK720878:RNL720878 RXG720878:RXH720878 SHC720878:SHD720878 SQY720878:SQZ720878 TAU720878:TAV720878 TKQ720878:TKR720878 TUM720878:TUN720878 UEI720878:UEJ720878 UOE720878:UOF720878 UYA720878:UYB720878 VHW720878:VHX720878 VRS720878:VRT720878 WBO720878:WBP720878 WLK720878:WLL720878 WVG720878:WVH720878 IU786414:IV786414 SQ786414:SR786414 ACM786414:ACN786414 AMI786414:AMJ786414 AWE786414:AWF786414 BGA786414:BGB786414 BPW786414:BPX786414 BZS786414:BZT786414 CJO786414:CJP786414 CTK786414:CTL786414 DDG786414:DDH786414 DNC786414:DND786414 DWY786414:DWZ786414 EGU786414:EGV786414 EQQ786414:EQR786414 FAM786414:FAN786414 FKI786414:FKJ786414 FUE786414:FUF786414 GEA786414:GEB786414 GNW786414:GNX786414 GXS786414:GXT786414 HHO786414:HHP786414 HRK786414:HRL786414 IBG786414:IBH786414 ILC786414:ILD786414 IUY786414:IUZ786414 JEU786414:JEV786414 JOQ786414:JOR786414 JYM786414:JYN786414 KII786414:KIJ786414 KSE786414:KSF786414 LCA786414:LCB786414 LLW786414:LLX786414 LVS786414:LVT786414 MFO786414:MFP786414 MPK786414:MPL786414 MZG786414:MZH786414 NJC786414:NJD786414 NSY786414:NSZ786414 OCU786414:OCV786414 OMQ786414:OMR786414 OWM786414:OWN786414 PGI786414:PGJ786414 PQE786414:PQF786414 QAA786414:QAB786414 QJW786414:QJX786414 QTS786414:QTT786414 RDO786414:RDP786414 RNK786414:RNL786414 RXG786414:RXH786414 SHC786414:SHD786414 SQY786414:SQZ786414 TAU786414:TAV786414 TKQ786414:TKR786414 TUM786414:TUN786414 UEI786414:UEJ786414 UOE786414:UOF786414 UYA786414:UYB786414 VHW786414:VHX786414 VRS786414:VRT786414 WBO786414:WBP786414 WLK786414:WLL786414 WVG786414:WVH786414 IU851950:IV851950 SQ851950:SR851950 ACM851950:ACN851950 AMI851950:AMJ851950 AWE851950:AWF851950 BGA851950:BGB851950 BPW851950:BPX851950 BZS851950:BZT851950 CJO851950:CJP851950 CTK851950:CTL851950 DDG851950:DDH851950 DNC851950:DND851950 DWY851950:DWZ851950 EGU851950:EGV851950 EQQ851950:EQR851950 FAM851950:FAN851950 FKI851950:FKJ851950 FUE851950:FUF851950 GEA851950:GEB851950 GNW851950:GNX851950 GXS851950:GXT851950 HHO851950:HHP851950 HRK851950:HRL851950 IBG851950:IBH851950 ILC851950:ILD851950 IUY851950:IUZ851950 JEU851950:JEV851950 JOQ851950:JOR851950 JYM851950:JYN851950 KII851950:KIJ851950 KSE851950:KSF851950 LCA851950:LCB851950 LLW851950:LLX851950 LVS851950:LVT851950 MFO851950:MFP851950 MPK851950:MPL851950 MZG851950:MZH851950 NJC851950:NJD851950 NSY851950:NSZ851950 OCU851950:OCV851950 OMQ851950:OMR851950 OWM851950:OWN851950 PGI851950:PGJ851950 PQE851950:PQF851950 QAA851950:QAB851950 QJW851950:QJX851950 QTS851950:QTT851950 RDO851950:RDP851950 RNK851950:RNL851950 RXG851950:RXH851950 SHC851950:SHD851950 SQY851950:SQZ851950 TAU851950:TAV851950 TKQ851950:TKR851950 TUM851950:TUN851950 UEI851950:UEJ851950 UOE851950:UOF851950 UYA851950:UYB851950 VHW851950:VHX851950 VRS851950:VRT851950 WBO851950:WBP851950 WLK851950:WLL851950 WVG851950:WVH851950 IU917486:IV917486 SQ917486:SR917486 ACM917486:ACN917486 AMI917486:AMJ917486 AWE917486:AWF917486 BGA917486:BGB917486 BPW917486:BPX917486 BZS917486:BZT917486 CJO917486:CJP917486 CTK917486:CTL917486 DDG917486:DDH917486 DNC917486:DND917486 DWY917486:DWZ917486 EGU917486:EGV917486 EQQ917486:EQR917486 FAM917486:FAN917486 FKI917486:FKJ917486 FUE917486:FUF917486 GEA917486:GEB917486 GNW917486:GNX917486 GXS917486:GXT917486 HHO917486:HHP917486 HRK917486:HRL917486 IBG917486:IBH917486 ILC917486:ILD917486 IUY917486:IUZ917486 JEU917486:JEV917486 JOQ917486:JOR917486 JYM917486:JYN917486 KII917486:KIJ917486 KSE917486:KSF917486 LCA917486:LCB917486 LLW917486:LLX917486 LVS917486:LVT917486 MFO917486:MFP917486 MPK917486:MPL917486 MZG917486:MZH917486 NJC917486:NJD917486 NSY917486:NSZ917486 OCU917486:OCV917486 OMQ917486:OMR917486 OWM917486:OWN917486 PGI917486:PGJ917486 PQE917486:PQF917486 QAA917486:QAB917486 QJW917486:QJX917486 QTS917486:QTT917486 RDO917486:RDP917486 RNK917486:RNL917486 RXG917486:RXH917486 SHC917486:SHD917486 SQY917486:SQZ917486 TAU917486:TAV917486 TKQ917486:TKR917486 TUM917486:TUN917486 UEI917486:UEJ917486 UOE917486:UOF917486 UYA917486:UYB917486 VHW917486:VHX917486 VRS917486:VRT917486 WBO917486:WBP917486 WLK917486:WLL917486 WVG917486:WVH917486 IU983022:IV983022 SQ983022:SR983022 ACM983022:ACN983022 AMI983022:AMJ983022 AWE983022:AWF983022 BGA983022:BGB983022 BPW983022:BPX983022 BZS983022:BZT983022 CJO983022:CJP983022 CTK983022:CTL983022 DDG983022:DDH983022 DNC983022:DND983022 DWY983022:DWZ983022 EGU983022:EGV983022 EQQ983022:EQR983022 FAM983022:FAN983022 FKI983022:FKJ983022 FUE983022:FUF983022 GEA983022:GEB983022 GNW983022:GNX983022 GXS983022:GXT983022 HHO983022:HHP983022 HRK983022:HRL983022 IBG983022:IBH983022 ILC983022:ILD983022 IUY983022:IUZ983022 JEU983022:JEV983022 JOQ983022:JOR983022 JYM983022:JYN983022 KII983022:KIJ983022 KSE983022:KSF983022 LCA983022:LCB983022 LLW983022:LLX983022 LVS983022:LVT983022 MFO983022:MFP983022 MPK983022:MPL983022 MZG983022:MZH983022 NJC983022:NJD983022 NSY983022:NSZ983022 OCU983022:OCV983022 OMQ983022:OMR983022 OWM983022:OWN983022 PGI983022:PGJ983022 PQE983022:PQF983022 QAA983022:QAB983022 QJW983022:QJX983022 QTS983022:QTT983022 RDO983022:RDP983022 RNK983022:RNL983022 RXG983022:RXH983022 SHC983022:SHD983022 SQY983022:SQZ983022 TAU983022:TAV983022 TKQ983022:TKR983022 TUM983022:TUN983022 UEI983022:UEJ983022 UOE983022:UOF983022 UYA983022:UYB983022 VHW983022:VHX983022 VRS983022:VRT983022 WBO983022:WBP983022 WLK983022:WLL983022 WVG983022:WVH983022 IU7:IV7 SQ7:SR7 ACM7:ACN7 AMI7:AMJ7 AWE7:AWF7 BGA7:BGB7 BPW7:BPX7 BZS7:BZT7 CJO7:CJP7 CTK7:CTL7 DDG7:DDH7 DNC7:DND7 DWY7:DWZ7 EGU7:EGV7 EQQ7:EQR7 FAM7:FAN7 FKI7:FKJ7 FUE7:FUF7 GEA7:GEB7 GNW7:GNX7 GXS7:GXT7 HHO7:HHP7 HRK7:HRL7 IBG7:IBH7 ILC7:ILD7 IUY7:IUZ7 JEU7:JEV7 JOQ7:JOR7 JYM7:JYN7 KII7:KIJ7 KSE7:KSF7 LCA7:LCB7 LLW7:LLX7 LVS7:LVT7 MFO7:MFP7 MPK7:MPL7 MZG7:MZH7 NJC7:NJD7 NSY7:NSZ7 OCU7:OCV7 OMQ7:OMR7 OWM7:OWN7 PGI7:PGJ7 PQE7:PQF7 QAA7:QAB7 QJW7:QJX7 QTS7:QTT7 RDO7:RDP7 RNK7:RNL7 RXG7:RXH7 SHC7:SHD7 SQY7:SQZ7 TAU7:TAV7 TKQ7:TKR7 TUM7:TUN7 UEI7:UEJ7 UOE7:UOF7 UYA7:UYB7 VHW7:VHX7 VRS7:VRT7 WBO7:WBP7 WLK7:WLL7 WVG7:WVH7 C65518:D65518 C131054:D131054 C196590:D196590 C262126:D262126 C327662:D327662 C393198:D393198 C458734:D458734 C524270:D524270 C589806:D589806 C655342:D655342 C720878:D720878 C786414:D786414 C851950:D851950 C917486:D917486 C983022:D983022">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J123"/>
  <sheetViews>
    <sheetView workbookViewId="0"/>
  </sheetViews>
  <sheetFormatPr defaultRowHeight="15"/>
  <cols>
    <col min="1" max="1" width="22.5703125" style="6" customWidth="1"/>
    <col min="2" max="2" width="13.5703125" style="6" customWidth="1"/>
    <col min="3" max="3" width="15.140625" style="6" customWidth="1"/>
    <col min="4" max="4" width="12.85546875" style="6" customWidth="1"/>
    <col min="5" max="5" width="12.28515625" style="6" customWidth="1"/>
    <col min="6" max="6" width="12.42578125" style="6" customWidth="1"/>
    <col min="7" max="7" width="11.7109375" style="6" customWidth="1"/>
    <col min="8" max="10" width="14.5703125" style="6" customWidth="1"/>
    <col min="11" max="253" width="9.140625" style="6"/>
    <col min="254" max="254" width="18.28515625" style="6" customWidth="1"/>
    <col min="255" max="255" width="13.5703125" style="6" customWidth="1"/>
    <col min="256" max="256" width="15.140625" style="6" customWidth="1"/>
    <col min="257" max="257" width="12.85546875" style="6" customWidth="1"/>
    <col min="258" max="258" width="12.28515625" style="6" customWidth="1"/>
    <col min="259" max="259" width="12.42578125" style="6" customWidth="1"/>
    <col min="260" max="260" width="11.7109375" style="6" customWidth="1"/>
    <col min="261" max="263" width="14.5703125" style="6" customWidth="1"/>
    <col min="264" max="264" width="13.42578125" style="6" customWidth="1"/>
    <col min="265" max="509" width="9.140625" style="6"/>
    <col min="510" max="510" width="18.28515625" style="6" customWidth="1"/>
    <col min="511" max="511" width="13.5703125" style="6" customWidth="1"/>
    <col min="512" max="512" width="15.140625" style="6" customWidth="1"/>
    <col min="513" max="513" width="12.85546875" style="6" customWidth="1"/>
    <col min="514" max="514" width="12.28515625" style="6" customWidth="1"/>
    <col min="515" max="515" width="12.42578125" style="6" customWidth="1"/>
    <col min="516" max="516" width="11.7109375" style="6" customWidth="1"/>
    <col min="517" max="519" width="14.5703125" style="6" customWidth="1"/>
    <col min="520" max="520" width="13.42578125" style="6" customWidth="1"/>
    <col min="521" max="765" width="9.140625" style="6"/>
    <col min="766" max="766" width="18.28515625" style="6" customWidth="1"/>
    <col min="767" max="767" width="13.5703125" style="6" customWidth="1"/>
    <col min="768" max="768" width="15.140625" style="6" customWidth="1"/>
    <col min="769" max="769" width="12.85546875" style="6" customWidth="1"/>
    <col min="770" max="770" width="12.28515625" style="6" customWidth="1"/>
    <col min="771" max="771" width="12.42578125" style="6" customWidth="1"/>
    <col min="772" max="772" width="11.7109375" style="6" customWidth="1"/>
    <col min="773" max="775" width="14.5703125" style="6" customWidth="1"/>
    <col min="776" max="776" width="13.42578125" style="6" customWidth="1"/>
    <col min="777" max="1021" width="9.140625" style="6"/>
    <col min="1022" max="1022" width="18.28515625" style="6" customWidth="1"/>
    <col min="1023" max="1023" width="13.5703125" style="6" customWidth="1"/>
    <col min="1024" max="1024" width="15.140625" style="6" customWidth="1"/>
    <col min="1025" max="1025" width="12.85546875" style="6" customWidth="1"/>
    <col min="1026" max="1026" width="12.28515625" style="6" customWidth="1"/>
    <col min="1027" max="1027" width="12.42578125" style="6" customWidth="1"/>
    <col min="1028" max="1028" width="11.7109375" style="6" customWidth="1"/>
    <col min="1029" max="1031" width="14.5703125" style="6" customWidth="1"/>
    <col min="1032" max="1032" width="13.42578125" style="6" customWidth="1"/>
    <col min="1033" max="1277" width="9.140625" style="6"/>
    <col min="1278" max="1278" width="18.28515625" style="6" customWidth="1"/>
    <col min="1279" max="1279" width="13.5703125" style="6" customWidth="1"/>
    <col min="1280" max="1280" width="15.140625" style="6" customWidth="1"/>
    <col min="1281" max="1281" width="12.85546875" style="6" customWidth="1"/>
    <col min="1282" max="1282" width="12.28515625" style="6" customWidth="1"/>
    <col min="1283" max="1283" width="12.42578125" style="6" customWidth="1"/>
    <col min="1284" max="1284" width="11.7109375" style="6" customWidth="1"/>
    <col min="1285" max="1287" width="14.5703125" style="6" customWidth="1"/>
    <col min="1288" max="1288" width="13.42578125" style="6" customWidth="1"/>
    <col min="1289" max="1533" width="9.140625" style="6"/>
    <col min="1534" max="1534" width="18.28515625" style="6" customWidth="1"/>
    <col min="1535" max="1535" width="13.5703125" style="6" customWidth="1"/>
    <col min="1536" max="1536" width="15.140625" style="6" customWidth="1"/>
    <col min="1537" max="1537" width="12.85546875" style="6" customWidth="1"/>
    <col min="1538" max="1538" width="12.28515625" style="6" customWidth="1"/>
    <col min="1539" max="1539" width="12.42578125" style="6" customWidth="1"/>
    <col min="1540" max="1540" width="11.7109375" style="6" customWidth="1"/>
    <col min="1541" max="1543" width="14.5703125" style="6" customWidth="1"/>
    <col min="1544" max="1544" width="13.42578125" style="6" customWidth="1"/>
    <col min="1545" max="1789" width="9.140625" style="6"/>
    <col min="1790" max="1790" width="18.28515625" style="6" customWidth="1"/>
    <col min="1791" max="1791" width="13.5703125" style="6" customWidth="1"/>
    <col min="1792" max="1792" width="15.140625" style="6" customWidth="1"/>
    <col min="1793" max="1793" width="12.85546875" style="6" customWidth="1"/>
    <col min="1794" max="1794" width="12.28515625" style="6" customWidth="1"/>
    <col min="1795" max="1795" width="12.42578125" style="6" customWidth="1"/>
    <col min="1796" max="1796" width="11.7109375" style="6" customWidth="1"/>
    <col min="1797" max="1799" width="14.5703125" style="6" customWidth="1"/>
    <col min="1800" max="1800" width="13.42578125" style="6" customWidth="1"/>
    <col min="1801" max="2045" width="9.140625" style="6"/>
    <col min="2046" max="2046" width="18.28515625" style="6" customWidth="1"/>
    <col min="2047" max="2047" width="13.5703125" style="6" customWidth="1"/>
    <col min="2048" max="2048" width="15.140625" style="6" customWidth="1"/>
    <col min="2049" max="2049" width="12.85546875" style="6" customWidth="1"/>
    <col min="2050" max="2050" width="12.28515625" style="6" customWidth="1"/>
    <col min="2051" max="2051" width="12.42578125" style="6" customWidth="1"/>
    <col min="2052" max="2052" width="11.7109375" style="6" customWidth="1"/>
    <col min="2053" max="2055" width="14.5703125" style="6" customWidth="1"/>
    <col min="2056" max="2056" width="13.42578125" style="6" customWidth="1"/>
    <col min="2057" max="2301" width="9.140625" style="6"/>
    <col min="2302" max="2302" width="18.28515625" style="6" customWidth="1"/>
    <col min="2303" max="2303" width="13.5703125" style="6" customWidth="1"/>
    <col min="2304" max="2304" width="15.140625" style="6" customWidth="1"/>
    <col min="2305" max="2305" width="12.85546875" style="6" customWidth="1"/>
    <col min="2306" max="2306" width="12.28515625" style="6" customWidth="1"/>
    <col min="2307" max="2307" width="12.42578125" style="6" customWidth="1"/>
    <col min="2308" max="2308" width="11.7109375" style="6" customWidth="1"/>
    <col min="2309" max="2311" width="14.5703125" style="6" customWidth="1"/>
    <col min="2312" max="2312" width="13.42578125" style="6" customWidth="1"/>
    <col min="2313" max="2557" width="9.140625" style="6"/>
    <col min="2558" max="2558" width="18.28515625" style="6" customWidth="1"/>
    <col min="2559" max="2559" width="13.5703125" style="6" customWidth="1"/>
    <col min="2560" max="2560" width="15.140625" style="6" customWidth="1"/>
    <col min="2561" max="2561" width="12.85546875" style="6" customWidth="1"/>
    <col min="2562" max="2562" width="12.28515625" style="6" customWidth="1"/>
    <col min="2563" max="2563" width="12.42578125" style="6" customWidth="1"/>
    <col min="2564" max="2564" width="11.7109375" style="6" customWidth="1"/>
    <col min="2565" max="2567" width="14.5703125" style="6" customWidth="1"/>
    <col min="2568" max="2568" width="13.42578125" style="6" customWidth="1"/>
    <col min="2569" max="2813" width="9.140625" style="6"/>
    <col min="2814" max="2814" width="18.28515625" style="6" customWidth="1"/>
    <col min="2815" max="2815" width="13.5703125" style="6" customWidth="1"/>
    <col min="2816" max="2816" width="15.140625" style="6" customWidth="1"/>
    <col min="2817" max="2817" width="12.85546875" style="6" customWidth="1"/>
    <col min="2818" max="2818" width="12.28515625" style="6" customWidth="1"/>
    <col min="2819" max="2819" width="12.42578125" style="6" customWidth="1"/>
    <col min="2820" max="2820" width="11.7109375" style="6" customWidth="1"/>
    <col min="2821" max="2823" width="14.5703125" style="6" customWidth="1"/>
    <col min="2824" max="2824" width="13.42578125" style="6" customWidth="1"/>
    <col min="2825" max="3069" width="9.140625" style="6"/>
    <col min="3070" max="3070" width="18.28515625" style="6" customWidth="1"/>
    <col min="3071" max="3071" width="13.5703125" style="6" customWidth="1"/>
    <col min="3072" max="3072" width="15.140625" style="6" customWidth="1"/>
    <col min="3073" max="3073" width="12.85546875" style="6" customWidth="1"/>
    <col min="3074" max="3074" width="12.28515625" style="6" customWidth="1"/>
    <col min="3075" max="3075" width="12.42578125" style="6" customWidth="1"/>
    <col min="3076" max="3076" width="11.7109375" style="6" customWidth="1"/>
    <col min="3077" max="3079" width="14.5703125" style="6" customWidth="1"/>
    <col min="3080" max="3080" width="13.42578125" style="6" customWidth="1"/>
    <col min="3081" max="3325" width="9.140625" style="6"/>
    <col min="3326" max="3326" width="18.28515625" style="6" customWidth="1"/>
    <col min="3327" max="3327" width="13.5703125" style="6" customWidth="1"/>
    <col min="3328" max="3328" width="15.140625" style="6" customWidth="1"/>
    <col min="3329" max="3329" width="12.85546875" style="6" customWidth="1"/>
    <col min="3330" max="3330" width="12.28515625" style="6" customWidth="1"/>
    <col min="3331" max="3331" width="12.42578125" style="6" customWidth="1"/>
    <col min="3332" max="3332" width="11.7109375" style="6" customWidth="1"/>
    <col min="3333" max="3335" width="14.5703125" style="6" customWidth="1"/>
    <col min="3336" max="3336" width="13.42578125" style="6" customWidth="1"/>
    <col min="3337" max="3581" width="9.140625" style="6"/>
    <col min="3582" max="3582" width="18.28515625" style="6" customWidth="1"/>
    <col min="3583" max="3583" width="13.5703125" style="6" customWidth="1"/>
    <col min="3584" max="3584" width="15.140625" style="6" customWidth="1"/>
    <col min="3585" max="3585" width="12.85546875" style="6" customWidth="1"/>
    <col min="3586" max="3586" width="12.28515625" style="6" customWidth="1"/>
    <col min="3587" max="3587" width="12.42578125" style="6" customWidth="1"/>
    <col min="3588" max="3588" width="11.7109375" style="6" customWidth="1"/>
    <col min="3589" max="3591" width="14.5703125" style="6" customWidth="1"/>
    <col min="3592" max="3592" width="13.42578125" style="6" customWidth="1"/>
    <col min="3593" max="3837" width="9.140625" style="6"/>
    <col min="3838" max="3838" width="18.28515625" style="6" customWidth="1"/>
    <col min="3839" max="3839" width="13.5703125" style="6" customWidth="1"/>
    <col min="3840" max="3840" width="15.140625" style="6" customWidth="1"/>
    <col min="3841" max="3841" width="12.85546875" style="6" customWidth="1"/>
    <col min="3842" max="3842" width="12.28515625" style="6" customWidth="1"/>
    <col min="3843" max="3843" width="12.42578125" style="6" customWidth="1"/>
    <col min="3844" max="3844" width="11.7109375" style="6" customWidth="1"/>
    <col min="3845" max="3847" width="14.5703125" style="6" customWidth="1"/>
    <col min="3848" max="3848" width="13.42578125" style="6" customWidth="1"/>
    <col min="3849" max="4093" width="9.140625" style="6"/>
    <col min="4094" max="4094" width="18.28515625" style="6" customWidth="1"/>
    <col min="4095" max="4095" width="13.5703125" style="6" customWidth="1"/>
    <col min="4096" max="4096" width="15.140625" style="6" customWidth="1"/>
    <col min="4097" max="4097" width="12.85546875" style="6" customWidth="1"/>
    <col min="4098" max="4098" width="12.28515625" style="6" customWidth="1"/>
    <col min="4099" max="4099" width="12.42578125" style="6" customWidth="1"/>
    <col min="4100" max="4100" width="11.7109375" style="6" customWidth="1"/>
    <col min="4101" max="4103" width="14.5703125" style="6" customWidth="1"/>
    <col min="4104" max="4104" width="13.42578125" style="6" customWidth="1"/>
    <col min="4105" max="4349" width="9.140625" style="6"/>
    <col min="4350" max="4350" width="18.28515625" style="6" customWidth="1"/>
    <col min="4351" max="4351" width="13.5703125" style="6" customWidth="1"/>
    <col min="4352" max="4352" width="15.140625" style="6" customWidth="1"/>
    <col min="4353" max="4353" width="12.85546875" style="6" customWidth="1"/>
    <col min="4354" max="4354" width="12.28515625" style="6" customWidth="1"/>
    <col min="4355" max="4355" width="12.42578125" style="6" customWidth="1"/>
    <col min="4356" max="4356" width="11.7109375" style="6" customWidth="1"/>
    <col min="4357" max="4359" width="14.5703125" style="6" customWidth="1"/>
    <col min="4360" max="4360" width="13.42578125" style="6" customWidth="1"/>
    <col min="4361" max="4605" width="9.140625" style="6"/>
    <col min="4606" max="4606" width="18.28515625" style="6" customWidth="1"/>
    <col min="4607" max="4607" width="13.5703125" style="6" customWidth="1"/>
    <col min="4608" max="4608" width="15.140625" style="6" customWidth="1"/>
    <col min="4609" max="4609" width="12.85546875" style="6" customWidth="1"/>
    <col min="4610" max="4610" width="12.28515625" style="6" customWidth="1"/>
    <col min="4611" max="4611" width="12.42578125" style="6" customWidth="1"/>
    <col min="4612" max="4612" width="11.7109375" style="6" customWidth="1"/>
    <col min="4613" max="4615" width="14.5703125" style="6" customWidth="1"/>
    <col min="4616" max="4616" width="13.42578125" style="6" customWidth="1"/>
    <col min="4617" max="4861" width="9.140625" style="6"/>
    <col min="4862" max="4862" width="18.28515625" style="6" customWidth="1"/>
    <col min="4863" max="4863" width="13.5703125" style="6" customWidth="1"/>
    <col min="4864" max="4864" width="15.140625" style="6" customWidth="1"/>
    <col min="4865" max="4865" width="12.85546875" style="6" customWidth="1"/>
    <col min="4866" max="4866" width="12.28515625" style="6" customWidth="1"/>
    <col min="4867" max="4867" width="12.42578125" style="6" customWidth="1"/>
    <col min="4868" max="4868" width="11.7109375" style="6" customWidth="1"/>
    <col min="4869" max="4871" width="14.5703125" style="6" customWidth="1"/>
    <col min="4872" max="4872" width="13.42578125" style="6" customWidth="1"/>
    <col min="4873" max="5117" width="9.140625" style="6"/>
    <col min="5118" max="5118" width="18.28515625" style="6" customWidth="1"/>
    <col min="5119" max="5119" width="13.5703125" style="6" customWidth="1"/>
    <col min="5120" max="5120" width="15.140625" style="6" customWidth="1"/>
    <col min="5121" max="5121" width="12.85546875" style="6" customWidth="1"/>
    <col min="5122" max="5122" width="12.28515625" style="6" customWidth="1"/>
    <col min="5123" max="5123" width="12.42578125" style="6" customWidth="1"/>
    <col min="5124" max="5124" width="11.7109375" style="6" customWidth="1"/>
    <col min="5125" max="5127" width="14.5703125" style="6" customWidth="1"/>
    <col min="5128" max="5128" width="13.42578125" style="6" customWidth="1"/>
    <col min="5129" max="5373" width="9.140625" style="6"/>
    <col min="5374" max="5374" width="18.28515625" style="6" customWidth="1"/>
    <col min="5375" max="5375" width="13.5703125" style="6" customWidth="1"/>
    <col min="5376" max="5376" width="15.140625" style="6" customWidth="1"/>
    <col min="5377" max="5377" width="12.85546875" style="6" customWidth="1"/>
    <col min="5378" max="5378" width="12.28515625" style="6" customWidth="1"/>
    <col min="5379" max="5379" width="12.42578125" style="6" customWidth="1"/>
    <col min="5380" max="5380" width="11.7109375" style="6" customWidth="1"/>
    <col min="5381" max="5383" width="14.5703125" style="6" customWidth="1"/>
    <col min="5384" max="5384" width="13.42578125" style="6" customWidth="1"/>
    <col min="5385" max="5629" width="9.140625" style="6"/>
    <col min="5630" max="5630" width="18.28515625" style="6" customWidth="1"/>
    <col min="5631" max="5631" width="13.5703125" style="6" customWidth="1"/>
    <col min="5632" max="5632" width="15.140625" style="6" customWidth="1"/>
    <col min="5633" max="5633" width="12.85546875" style="6" customWidth="1"/>
    <col min="5634" max="5634" width="12.28515625" style="6" customWidth="1"/>
    <col min="5635" max="5635" width="12.42578125" style="6" customWidth="1"/>
    <col min="5636" max="5636" width="11.7109375" style="6" customWidth="1"/>
    <col min="5637" max="5639" width="14.5703125" style="6" customWidth="1"/>
    <col min="5640" max="5640" width="13.42578125" style="6" customWidth="1"/>
    <col min="5641" max="5885" width="9.140625" style="6"/>
    <col min="5886" max="5886" width="18.28515625" style="6" customWidth="1"/>
    <col min="5887" max="5887" width="13.5703125" style="6" customWidth="1"/>
    <col min="5888" max="5888" width="15.140625" style="6" customWidth="1"/>
    <col min="5889" max="5889" width="12.85546875" style="6" customWidth="1"/>
    <col min="5890" max="5890" width="12.28515625" style="6" customWidth="1"/>
    <col min="5891" max="5891" width="12.42578125" style="6" customWidth="1"/>
    <col min="5892" max="5892" width="11.7109375" style="6" customWidth="1"/>
    <col min="5893" max="5895" width="14.5703125" style="6" customWidth="1"/>
    <col min="5896" max="5896" width="13.42578125" style="6" customWidth="1"/>
    <col min="5897" max="6141" width="9.140625" style="6"/>
    <col min="6142" max="6142" width="18.28515625" style="6" customWidth="1"/>
    <col min="6143" max="6143" width="13.5703125" style="6" customWidth="1"/>
    <col min="6144" max="6144" width="15.140625" style="6" customWidth="1"/>
    <col min="6145" max="6145" width="12.85546875" style="6" customWidth="1"/>
    <col min="6146" max="6146" width="12.28515625" style="6" customWidth="1"/>
    <col min="6147" max="6147" width="12.42578125" style="6" customWidth="1"/>
    <col min="6148" max="6148" width="11.7109375" style="6" customWidth="1"/>
    <col min="6149" max="6151" width="14.5703125" style="6" customWidth="1"/>
    <col min="6152" max="6152" width="13.42578125" style="6" customWidth="1"/>
    <col min="6153" max="6397" width="9.140625" style="6"/>
    <col min="6398" max="6398" width="18.28515625" style="6" customWidth="1"/>
    <col min="6399" max="6399" width="13.5703125" style="6" customWidth="1"/>
    <col min="6400" max="6400" width="15.140625" style="6" customWidth="1"/>
    <col min="6401" max="6401" width="12.85546875" style="6" customWidth="1"/>
    <col min="6402" max="6402" width="12.28515625" style="6" customWidth="1"/>
    <col min="6403" max="6403" width="12.42578125" style="6" customWidth="1"/>
    <col min="6404" max="6404" width="11.7109375" style="6" customWidth="1"/>
    <col min="6405" max="6407" width="14.5703125" style="6" customWidth="1"/>
    <col min="6408" max="6408" width="13.42578125" style="6" customWidth="1"/>
    <col min="6409" max="6653" width="9.140625" style="6"/>
    <col min="6654" max="6654" width="18.28515625" style="6" customWidth="1"/>
    <col min="6655" max="6655" width="13.5703125" style="6" customWidth="1"/>
    <col min="6656" max="6656" width="15.140625" style="6" customWidth="1"/>
    <col min="6657" max="6657" width="12.85546875" style="6" customWidth="1"/>
    <col min="6658" max="6658" width="12.28515625" style="6" customWidth="1"/>
    <col min="6659" max="6659" width="12.42578125" style="6" customWidth="1"/>
    <col min="6660" max="6660" width="11.7109375" style="6" customWidth="1"/>
    <col min="6661" max="6663" width="14.5703125" style="6" customWidth="1"/>
    <col min="6664" max="6664" width="13.42578125" style="6" customWidth="1"/>
    <col min="6665" max="6909" width="9.140625" style="6"/>
    <col min="6910" max="6910" width="18.28515625" style="6" customWidth="1"/>
    <col min="6911" max="6911" width="13.5703125" style="6" customWidth="1"/>
    <col min="6912" max="6912" width="15.140625" style="6" customWidth="1"/>
    <col min="6913" max="6913" width="12.85546875" style="6" customWidth="1"/>
    <col min="6914" max="6914" width="12.28515625" style="6" customWidth="1"/>
    <col min="6915" max="6915" width="12.42578125" style="6" customWidth="1"/>
    <col min="6916" max="6916" width="11.7109375" style="6" customWidth="1"/>
    <col min="6917" max="6919" width="14.5703125" style="6" customWidth="1"/>
    <col min="6920" max="6920" width="13.42578125" style="6" customWidth="1"/>
    <col min="6921" max="7165" width="9.140625" style="6"/>
    <col min="7166" max="7166" width="18.28515625" style="6" customWidth="1"/>
    <col min="7167" max="7167" width="13.5703125" style="6" customWidth="1"/>
    <col min="7168" max="7168" width="15.140625" style="6" customWidth="1"/>
    <col min="7169" max="7169" width="12.85546875" style="6" customWidth="1"/>
    <col min="7170" max="7170" width="12.28515625" style="6" customWidth="1"/>
    <col min="7171" max="7171" width="12.42578125" style="6" customWidth="1"/>
    <col min="7172" max="7172" width="11.7109375" style="6" customWidth="1"/>
    <col min="7173" max="7175" width="14.5703125" style="6" customWidth="1"/>
    <col min="7176" max="7176" width="13.42578125" style="6" customWidth="1"/>
    <col min="7177" max="7421" width="9.140625" style="6"/>
    <col min="7422" max="7422" width="18.28515625" style="6" customWidth="1"/>
    <col min="7423" max="7423" width="13.5703125" style="6" customWidth="1"/>
    <col min="7424" max="7424" width="15.140625" style="6" customWidth="1"/>
    <col min="7425" max="7425" width="12.85546875" style="6" customWidth="1"/>
    <col min="7426" max="7426" width="12.28515625" style="6" customWidth="1"/>
    <col min="7427" max="7427" width="12.42578125" style="6" customWidth="1"/>
    <col min="7428" max="7428" width="11.7109375" style="6" customWidth="1"/>
    <col min="7429" max="7431" width="14.5703125" style="6" customWidth="1"/>
    <col min="7432" max="7432" width="13.42578125" style="6" customWidth="1"/>
    <col min="7433" max="7677" width="9.140625" style="6"/>
    <col min="7678" max="7678" width="18.28515625" style="6" customWidth="1"/>
    <col min="7679" max="7679" width="13.5703125" style="6" customWidth="1"/>
    <col min="7680" max="7680" width="15.140625" style="6" customWidth="1"/>
    <col min="7681" max="7681" width="12.85546875" style="6" customWidth="1"/>
    <col min="7682" max="7682" width="12.28515625" style="6" customWidth="1"/>
    <col min="7683" max="7683" width="12.42578125" style="6" customWidth="1"/>
    <col min="7684" max="7684" width="11.7109375" style="6" customWidth="1"/>
    <col min="7685" max="7687" width="14.5703125" style="6" customWidth="1"/>
    <col min="7688" max="7688" width="13.42578125" style="6" customWidth="1"/>
    <col min="7689" max="7933" width="9.140625" style="6"/>
    <col min="7934" max="7934" width="18.28515625" style="6" customWidth="1"/>
    <col min="7935" max="7935" width="13.5703125" style="6" customWidth="1"/>
    <col min="7936" max="7936" width="15.140625" style="6" customWidth="1"/>
    <col min="7937" max="7937" width="12.85546875" style="6" customWidth="1"/>
    <col min="7938" max="7938" width="12.28515625" style="6" customWidth="1"/>
    <col min="7939" max="7939" width="12.42578125" style="6" customWidth="1"/>
    <col min="7940" max="7940" width="11.7109375" style="6" customWidth="1"/>
    <col min="7941" max="7943" width="14.5703125" style="6" customWidth="1"/>
    <col min="7944" max="7944" width="13.42578125" style="6" customWidth="1"/>
    <col min="7945" max="8189" width="9.140625" style="6"/>
    <col min="8190" max="8190" width="18.28515625" style="6" customWidth="1"/>
    <col min="8191" max="8191" width="13.5703125" style="6" customWidth="1"/>
    <col min="8192" max="8192" width="15.140625" style="6" customWidth="1"/>
    <col min="8193" max="8193" width="12.85546875" style="6" customWidth="1"/>
    <col min="8194" max="8194" width="12.28515625" style="6" customWidth="1"/>
    <col min="8195" max="8195" width="12.42578125" style="6" customWidth="1"/>
    <col min="8196" max="8196" width="11.7109375" style="6" customWidth="1"/>
    <col min="8197" max="8199" width="14.5703125" style="6" customWidth="1"/>
    <col min="8200" max="8200" width="13.42578125" style="6" customWidth="1"/>
    <col min="8201" max="8445" width="9.140625" style="6"/>
    <col min="8446" max="8446" width="18.28515625" style="6" customWidth="1"/>
    <col min="8447" max="8447" width="13.5703125" style="6" customWidth="1"/>
    <col min="8448" max="8448" width="15.140625" style="6" customWidth="1"/>
    <col min="8449" max="8449" width="12.85546875" style="6" customWidth="1"/>
    <col min="8450" max="8450" width="12.28515625" style="6" customWidth="1"/>
    <col min="8451" max="8451" width="12.42578125" style="6" customWidth="1"/>
    <col min="8452" max="8452" width="11.7109375" style="6" customWidth="1"/>
    <col min="8453" max="8455" width="14.5703125" style="6" customWidth="1"/>
    <col min="8456" max="8456" width="13.42578125" style="6" customWidth="1"/>
    <col min="8457" max="8701" width="9.140625" style="6"/>
    <col min="8702" max="8702" width="18.28515625" style="6" customWidth="1"/>
    <col min="8703" max="8703" width="13.5703125" style="6" customWidth="1"/>
    <col min="8704" max="8704" width="15.140625" style="6" customWidth="1"/>
    <col min="8705" max="8705" width="12.85546875" style="6" customWidth="1"/>
    <col min="8706" max="8706" width="12.28515625" style="6" customWidth="1"/>
    <col min="8707" max="8707" width="12.42578125" style="6" customWidth="1"/>
    <col min="8708" max="8708" width="11.7109375" style="6" customWidth="1"/>
    <col min="8709" max="8711" width="14.5703125" style="6" customWidth="1"/>
    <col min="8712" max="8712" width="13.42578125" style="6" customWidth="1"/>
    <col min="8713" max="8957" width="9.140625" style="6"/>
    <col min="8958" max="8958" width="18.28515625" style="6" customWidth="1"/>
    <col min="8959" max="8959" width="13.5703125" style="6" customWidth="1"/>
    <col min="8960" max="8960" width="15.140625" style="6" customWidth="1"/>
    <col min="8961" max="8961" width="12.85546875" style="6" customWidth="1"/>
    <col min="8962" max="8962" width="12.28515625" style="6" customWidth="1"/>
    <col min="8963" max="8963" width="12.42578125" style="6" customWidth="1"/>
    <col min="8964" max="8964" width="11.7109375" style="6" customWidth="1"/>
    <col min="8965" max="8967" width="14.5703125" style="6" customWidth="1"/>
    <col min="8968" max="8968" width="13.42578125" style="6" customWidth="1"/>
    <col min="8969" max="9213" width="9.140625" style="6"/>
    <col min="9214" max="9214" width="18.28515625" style="6" customWidth="1"/>
    <col min="9215" max="9215" width="13.5703125" style="6" customWidth="1"/>
    <col min="9216" max="9216" width="15.140625" style="6" customWidth="1"/>
    <col min="9217" max="9217" width="12.85546875" style="6" customWidth="1"/>
    <col min="9218" max="9218" width="12.28515625" style="6" customWidth="1"/>
    <col min="9219" max="9219" width="12.42578125" style="6" customWidth="1"/>
    <col min="9220" max="9220" width="11.7109375" style="6" customWidth="1"/>
    <col min="9221" max="9223" width="14.5703125" style="6" customWidth="1"/>
    <col min="9224" max="9224" width="13.42578125" style="6" customWidth="1"/>
    <col min="9225" max="9469" width="9.140625" style="6"/>
    <col min="9470" max="9470" width="18.28515625" style="6" customWidth="1"/>
    <col min="9471" max="9471" width="13.5703125" style="6" customWidth="1"/>
    <col min="9472" max="9472" width="15.140625" style="6" customWidth="1"/>
    <col min="9473" max="9473" width="12.85546875" style="6" customWidth="1"/>
    <col min="9474" max="9474" width="12.28515625" style="6" customWidth="1"/>
    <col min="9475" max="9475" width="12.42578125" style="6" customWidth="1"/>
    <col min="9476" max="9476" width="11.7109375" style="6" customWidth="1"/>
    <col min="9477" max="9479" width="14.5703125" style="6" customWidth="1"/>
    <col min="9480" max="9480" width="13.42578125" style="6" customWidth="1"/>
    <col min="9481" max="9725" width="9.140625" style="6"/>
    <col min="9726" max="9726" width="18.28515625" style="6" customWidth="1"/>
    <col min="9727" max="9727" width="13.5703125" style="6" customWidth="1"/>
    <col min="9728" max="9728" width="15.140625" style="6" customWidth="1"/>
    <col min="9729" max="9729" width="12.85546875" style="6" customWidth="1"/>
    <col min="9730" max="9730" width="12.28515625" style="6" customWidth="1"/>
    <col min="9731" max="9731" width="12.42578125" style="6" customWidth="1"/>
    <col min="9732" max="9732" width="11.7109375" style="6" customWidth="1"/>
    <col min="9733" max="9735" width="14.5703125" style="6" customWidth="1"/>
    <col min="9736" max="9736" width="13.42578125" style="6" customWidth="1"/>
    <col min="9737" max="9981" width="9.140625" style="6"/>
    <col min="9982" max="9982" width="18.28515625" style="6" customWidth="1"/>
    <col min="9983" max="9983" width="13.5703125" style="6" customWidth="1"/>
    <col min="9984" max="9984" width="15.140625" style="6" customWidth="1"/>
    <col min="9985" max="9985" width="12.85546875" style="6" customWidth="1"/>
    <col min="9986" max="9986" width="12.28515625" style="6" customWidth="1"/>
    <col min="9987" max="9987" width="12.42578125" style="6" customWidth="1"/>
    <col min="9988" max="9988" width="11.7109375" style="6" customWidth="1"/>
    <col min="9989" max="9991" width="14.5703125" style="6" customWidth="1"/>
    <col min="9992" max="9992" width="13.42578125" style="6" customWidth="1"/>
    <col min="9993" max="10237" width="9.140625" style="6"/>
    <col min="10238" max="10238" width="18.28515625" style="6" customWidth="1"/>
    <col min="10239" max="10239" width="13.5703125" style="6" customWidth="1"/>
    <col min="10240" max="10240" width="15.140625" style="6" customWidth="1"/>
    <col min="10241" max="10241" width="12.85546875" style="6" customWidth="1"/>
    <col min="10242" max="10242" width="12.28515625" style="6" customWidth="1"/>
    <col min="10243" max="10243" width="12.42578125" style="6" customWidth="1"/>
    <col min="10244" max="10244" width="11.7109375" style="6" customWidth="1"/>
    <col min="10245" max="10247" width="14.5703125" style="6" customWidth="1"/>
    <col min="10248" max="10248" width="13.42578125" style="6" customWidth="1"/>
    <col min="10249" max="10493" width="9.140625" style="6"/>
    <col min="10494" max="10494" width="18.28515625" style="6" customWidth="1"/>
    <col min="10495" max="10495" width="13.5703125" style="6" customWidth="1"/>
    <col min="10496" max="10496" width="15.140625" style="6" customWidth="1"/>
    <col min="10497" max="10497" width="12.85546875" style="6" customWidth="1"/>
    <col min="10498" max="10498" width="12.28515625" style="6" customWidth="1"/>
    <col min="10499" max="10499" width="12.42578125" style="6" customWidth="1"/>
    <col min="10500" max="10500" width="11.7109375" style="6" customWidth="1"/>
    <col min="10501" max="10503" width="14.5703125" style="6" customWidth="1"/>
    <col min="10504" max="10504" width="13.42578125" style="6" customWidth="1"/>
    <col min="10505" max="10749" width="9.140625" style="6"/>
    <col min="10750" max="10750" width="18.28515625" style="6" customWidth="1"/>
    <col min="10751" max="10751" width="13.5703125" style="6" customWidth="1"/>
    <col min="10752" max="10752" width="15.140625" style="6" customWidth="1"/>
    <col min="10753" max="10753" width="12.85546875" style="6" customWidth="1"/>
    <col min="10754" max="10754" width="12.28515625" style="6" customWidth="1"/>
    <col min="10755" max="10755" width="12.42578125" style="6" customWidth="1"/>
    <col min="10756" max="10756" width="11.7109375" style="6" customWidth="1"/>
    <col min="10757" max="10759" width="14.5703125" style="6" customWidth="1"/>
    <col min="10760" max="10760" width="13.42578125" style="6" customWidth="1"/>
    <col min="10761" max="11005" width="9.140625" style="6"/>
    <col min="11006" max="11006" width="18.28515625" style="6" customWidth="1"/>
    <col min="11007" max="11007" width="13.5703125" style="6" customWidth="1"/>
    <col min="11008" max="11008" width="15.140625" style="6" customWidth="1"/>
    <col min="11009" max="11009" width="12.85546875" style="6" customWidth="1"/>
    <col min="11010" max="11010" width="12.28515625" style="6" customWidth="1"/>
    <col min="11011" max="11011" width="12.42578125" style="6" customWidth="1"/>
    <col min="11012" max="11012" width="11.7109375" style="6" customWidth="1"/>
    <col min="11013" max="11015" width="14.5703125" style="6" customWidth="1"/>
    <col min="11016" max="11016" width="13.42578125" style="6" customWidth="1"/>
    <col min="11017" max="11261" width="9.140625" style="6"/>
    <col min="11262" max="11262" width="18.28515625" style="6" customWidth="1"/>
    <col min="11263" max="11263" width="13.5703125" style="6" customWidth="1"/>
    <col min="11264" max="11264" width="15.140625" style="6" customWidth="1"/>
    <col min="11265" max="11265" width="12.85546875" style="6" customWidth="1"/>
    <col min="11266" max="11266" width="12.28515625" style="6" customWidth="1"/>
    <col min="11267" max="11267" width="12.42578125" style="6" customWidth="1"/>
    <col min="11268" max="11268" width="11.7109375" style="6" customWidth="1"/>
    <col min="11269" max="11271" width="14.5703125" style="6" customWidth="1"/>
    <col min="11272" max="11272" width="13.42578125" style="6" customWidth="1"/>
    <col min="11273" max="11517" width="9.140625" style="6"/>
    <col min="11518" max="11518" width="18.28515625" style="6" customWidth="1"/>
    <col min="11519" max="11519" width="13.5703125" style="6" customWidth="1"/>
    <col min="11520" max="11520" width="15.140625" style="6" customWidth="1"/>
    <col min="11521" max="11521" width="12.85546875" style="6" customWidth="1"/>
    <col min="11522" max="11522" width="12.28515625" style="6" customWidth="1"/>
    <col min="11523" max="11523" width="12.42578125" style="6" customWidth="1"/>
    <col min="11524" max="11524" width="11.7109375" style="6" customWidth="1"/>
    <col min="11525" max="11527" width="14.5703125" style="6" customWidth="1"/>
    <col min="11528" max="11528" width="13.42578125" style="6" customWidth="1"/>
    <col min="11529" max="11773" width="9.140625" style="6"/>
    <col min="11774" max="11774" width="18.28515625" style="6" customWidth="1"/>
    <col min="11775" max="11775" width="13.5703125" style="6" customWidth="1"/>
    <col min="11776" max="11776" width="15.140625" style="6" customWidth="1"/>
    <col min="11777" max="11777" width="12.85546875" style="6" customWidth="1"/>
    <col min="11778" max="11778" width="12.28515625" style="6" customWidth="1"/>
    <col min="11779" max="11779" width="12.42578125" style="6" customWidth="1"/>
    <col min="11780" max="11780" width="11.7109375" style="6" customWidth="1"/>
    <col min="11781" max="11783" width="14.5703125" style="6" customWidth="1"/>
    <col min="11784" max="11784" width="13.42578125" style="6" customWidth="1"/>
    <col min="11785" max="12029" width="9.140625" style="6"/>
    <col min="12030" max="12030" width="18.28515625" style="6" customWidth="1"/>
    <col min="12031" max="12031" width="13.5703125" style="6" customWidth="1"/>
    <col min="12032" max="12032" width="15.140625" style="6" customWidth="1"/>
    <col min="12033" max="12033" width="12.85546875" style="6" customWidth="1"/>
    <col min="12034" max="12034" width="12.28515625" style="6" customWidth="1"/>
    <col min="12035" max="12035" width="12.42578125" style="6" customWidth="1"/>
    <col min="12036" max="12036" width="11.7109375" style="6" customWidth="1"/>
    <col min="12037" max="12039" width="14.5703125" style="6" customWidth="1"/>
    <col min="12040" max="12040" width="13.42578125" style="6" customWidth="1"/>
    <col min="12041" max="12285" width="9.140625" style="6"/>
    <col min="12286" max="12286" width="18.28515625" style="6" customWidth="1"/>
    <col min="12287" max="12287" width="13.5703125" style="6" customWidth="1"/>
    <col min="12288" max="12288" width="15.140625" style="6" customWidth="1"/>
    <col min="12289" max="12289" width="12.85546875" style="6" customWidth="1"/>
    <col min="12290" max="12290" width="12.28515625" style="6" customWidth="1"/>
    <col min="12291" max="12291" width="12.42578125" style="6" customWidth="1"/>
    <col min="12292" max="12292" width="11.7109375" style="6" customWidth="1"/>
    <col min="12293" max="12295" width="14.5703125" style="6" customWidth="1"/>
    <col min="12296" max="12296" width="13.42578125" style="6" customWidth="1"/>
    <col min="12297" max="12541" width="9.140625" style="6"/>
    <col min="12542" max="12542" width="18.28515625" style="6" customWidth="1"/>
    <col min="12543" max="12543" width="13.5703125" style="6" customWidth="1"/>
    <col min="12544" max="12544" width="15.140625" style="6" customWidth="1"/>
    <col min="12545" max="12545" width="12.85546875" style="6" customWidth="1"/>
    <col min="12546" max="12546" width="12.28515625" style="6" customWidth="1"/>
    <col min="12547" max="12547" width="12.42578125" style="6" customWidth="1"/>
    <col min="12548" max="12548" width="11.7109375" style="6" customWidth="1"/>
    <col min="12549" max="12551" width="14.5703125" style="6" customWidth="1"/>
    <col min="12552" max="12552" width="13.42578125" style="6" customWidth="1"/>
    <col min="12553" max="12797" width="9.140625" style="6"/>
    <col min="12798" max="12798" width="18.28515625" style="6" customWidth="1"/>
    <col min="12799" max="12799" width="13.5703125" style="6" customWidth="1"/>
    <col min="12800" max="12800" width="15.140625" style="6" customWidth="1"/>
    <col min="12801" max="12801" width="12.85546875" style="6" customWidth="1"/>
    <col min="12802" max="12802" width="12.28515625" style="6" customWidth="1"/>
    <col min="12803" max="12803" width="12.42578125" style="6" customWidth="1"/>
    <col min="12804" max="12804" width="11.7109375" style="6" customWidth="1"/>
    <col min="12805" max="12807" width="14.5703125" style="6" customWidth="1"/>
    <col min="12808" max="12808" width="13.42578125" style="6" customWidth="1"/>
    <col min="12809" max="13053" width="9.140625" style="6"/>
    <col min="13054" max="13054" width="18.28515625" style="6" customWidth="1"/>
    <col min="13055" max="13055" width="13.5703125" style="6" customWidth="1"/>
    <col min="13056" max="13056" width="15.140625" style="6" customWidth="1"/>
    <col min="13057" max="13057" width="12.85546875" style="6" customWidth="1"/>
    <col min="13058" max="13058" width="12.28515625" style="6" customWidth="1"/>
    <col min="13059" max="13059" width="12.42578125" style="6" customWidth="1"/>
    <col min="13060" max="13060" width="11.7109375" style="6" customWidth="1"/>
    <col min="13061" max="13063" width="14.5703125" style="6" customWidth="1"/>
    <col min="13064" max="13064" width="13.42578125" style="6" customWidth="1"/>
    <col min="13065" max="13309" width="9.140625" style="6"/>
    <col min="13310" max="13310" width="18.28515625" style="6" customWidth="1"/>
    <col min="13311" max="13311" width="13.5703125" style="6" customWidth="1"/>
    <col min="13312" max="13312" width="15.140625" style="6" customWidth="1"/>
    <col min="13313" max="13313" width="12.85546875" style="6" customWidth="1"/>
    <col min="13314" max="13314" width="12.28515625" style="6" customWidth="1"/>
    <col min="13315" max="13315" width="12.42578125" style="6" customWidth="1"/>
    <col min="13316" max="13316" width="11.7109375" style="6" customWidth="1"/>
    <col min="13317" max="13319" width="14.5703125" style="6" customWidth="1"/>
    <col min="13320" max="13320" width="13.42578125" style="6" customWidth="1"/>
    <col min="13321" max="13565" width="9.140625" style="6"/>
    <col min="13566" max="13566" width="18.28515625" style="6" customWidth="1"/>
    <col min="13567" max="13567" width="13.5703125" style="6" customWidth="1"/>
    <col min="13568" max="13568" width="15.140625" style="6" customWidth="1"/>
    <col min="13569" max="13569" width="12.85546875" style="6" customWidth="1"/>
    <col min="13570" max="13570" width="12.28515625" style="6" customWidth="1"/>
    <col min="13571" max="13571" width="12.42578125" style="6" customWidth="1"/>
    <col min="13572" max="13572" width="11.7109375" style="6" customWidth="1"/>
    <col min="13573" max="13575" width="14.5703125" style="6" customWidth="1"/>
    <col min="13576" max="13576" width="13.42578125" style="6" customWidth="1"/>
    <col min="13577" max="13821" width="9.140625" style="6"/>
    <col min="13822" max="13822" width="18.28515625" style="6" customWidth="1"/>
    <col min="13823" max="13823" width="13.5703125" style="6" customWidth="1"/>
    <col min="13824" max="13824" width="15.140625" style="6" customWidth="1"/>
    <col min="13825" max="13825" width="12.85546875" style="6" customWidth="1"/>
    <col min="13826" max="13826" width="12.28515625" style="6" customWidth="1"/>
    <col min="13827" max="13827" width="12.42578125" style="6" customWidth="1"/>
    <col min="13828" max="13828" width="11.7109375" style="6" customWidth="1"/>
    <col min="13829" max="13831" width="14.5703125" style="6" customWidth="1"/>
    <col min="13832" max="13832" width="13.42578125" style="6" customWidth="1"/>
    <col min="13833" max="14077" width="9.140625" style="6"/>
    <col min="14078" max="14078" width="18.28515625" style="6" customWidth="1"/>
    <col min="14079" max="14079" width="13.5703125" style="6" customWidth="1"/>
    <col min="14080" max="14080" width="15.140625" style="6" customWidth="1"/>
    <col min="14081" max="14081" width="12.85546875" style="6" customWidth="1"/>
    <col min="14082" max="14082" width="12.28515625" style="6" customWidth="1"/>
    <col min="14083" max="14083" width="12.42578125" style="6" customWidth="1"/>
    <col min="14084" max="14084" width="11.7109375" style="6" customWidth="1"/>
    <col min="14085" max="14087" width="14.5703125" style="6" customWidth="1"/>
    <col min="14088" max="14088" width="13.42578125" style="6" customWidth="1"/>
    <col min="14089" max="14333" width="9.140625" style="6"/>
    <col min="14334" max="14334" width="18.28515625" style="6" customWidth="1"/>
    <col min="14335" max="14335" width="13.5703125" style="6" customWidth="1"/>
    <col min="14336" max="14336" width="15.140625" style="6" customWidth="1"/>
    <col min="14337" max="14337" width="12.85546875" style="6" customWidth="1"/>
    <col min="14338" max="14338" width="12.28515625" style="6" customWidth="1"/>
    <col min="14339" max="14339" width="12.42578125" style="6" customWidth="1"/>
    <col min="14340" max="14340" width="11.7109375" style="6" customWidth="1"/>
    <col min="14341" max="14343" width="14.5703125" style="6" customWidth="1"/>
    <col min="14344" max="14344" width="13.42578125" style="6" customWidth="1"/>
    <col min="14345" max="14589" width="9.140625" style="6"/>
    <col min="14590" max="14590" width="18.28515625" style="6" customWidth="1"/>
    <col min="14591" max="14591" width="13.5703125" style="6" customWidth="1"/>
    <col min="14592" max="14592" width="15.140625" style="6" customWidth="1"/>
    <col min="14593" max="14593" width="12.85546875" style="6" customWidth="1"/>
    <col min="14594" max="14594" width="12.28515625" style="6" customWidth="1"/>
    <col min="14595" max="14595" width="12.42578125" style="6" customWidth="1"/>
    <col min="14596" max="14596" width="11.7109375" style="6" customWidth="1"/>
    <col min="14597" max="14599" width="14.5703125" style="6" customWidth="1"/>
    <col min="14600" max="14600" width="13.42578125" style="6" customWidth="1"/>
    <col min="14601" max="14845" width="9.140625" style="6"/>
    <col min="14846" max="14846" width="18.28515625" style="6" customWidth="1"/>
    <col min="14847" max="14847" width="13.5703125" style="6" customWidth="1"/>
    <col min="14848" max="14848" width="15.140625" style="6" customWidth="1"/>
    <col min="14849" max="14849" width="12.85546875" style="6" customWidth="1"/>
    <col min="14850" max="14850" width="12.28515625" style="6" customWidth="1"/>
    <col min="14851" max="14851" width="12.42578125" style="6" customWidth="1"/>
    <col min="14852" max="14852" width="11.7109375" style="6" customWidth="1"/>
    <col min="14853" max="14855" width="14.5703125" style="6" customWidth="1"/>
    <col min="14856" max="14856" width="13.42578125" style="6" customWidth="1"/>
    <col min="14857" max="15101" width="9.140625" style="6"/>
    <col min="15102" max="15102" width="18.28515625" style="6" customWidth="1"/>
    <col min="15103" max="15103" width="13.5703125" style="6" customWidth="1"/>
    <col min="15104" max="15104" width="15.140625" style="6" customWidth="1"/>
    <col min="15105" max="15105" width="12.85546875" style="6" customWidth="1"/>
    <col min="15106" max="15106" width="12.28515625" style="6" customWidth="1"/>
    <col min="15107" max="15107" width="12.42578125" style="6" customWidth="1"/>
    <col min="15108" max="15108" width="11.7109375" style="6" customWidth="1"/>
    <col min="15109" max="15111" width="14.5703125" style="6" customWidth="1"/>
    <col min="15112" max="15112" width="13.42578125" style="6" customWidth="1"/>
    <col min="15113" max="15357" width="9.140625" style="6"/>
    <col min="15358" max="15358" width="18.28515625" style="6" customWidth="1"/>
    <col min="15359" max="15359" width="13.5703125" style="6" customWidth="1"/>
    <col min="15360" max="15360" width="15.140625" style="6" customWidth="1"/>
    <col min="15361" max="15361" width="12.85546875" style="6" customWidth="1"/>
    <col min="15362" max="15362" width="12.28515625" style="6" customWidth="1"/>
    <col min="15363" max="15363" width="12.42578125" style="6" customWidth="1"/>
    <col min="15364" max="15364" width="11.7109375" style="6" customWidth="1"/>
    <col min="15365" max="15367" width="14.5703125" style="6" customWidth="1"/>
    <col min="15368" max="15368" width="13.42578125" style="6" customWidth="1"/>
    <col min="15369" max="15613" width="9.140625" style="6"/>
    <col min="15614" max="15614" width="18.28515625" style="6" customWidth="1"/>
    <col min="15615" max="15615" width="13.5703125" style="6" customWidth="1"/>
    <col min="15616" max="15616" width="15.140625" style="6" customWidth="1"/>
    <col min="15617" max="15617" width="12.85546875" style="6" customWidth="1"/>
    <col min="15618" max="15618" width="12.28515625" style="6" customWidth="1"/>
    <col min="15619" max="15619" width="12.42578125" style="6" customWidth="1"/>
    <col min="15620" max="15620" width="11.7109375" style="6" customWidth="1"/>
    <col min="15621" max="15623" width="14.5703125" style="6" customWidth="1"/>
    <col min="15624" max="15624" width="13.42578125" style="6" customWidth="1"/>
    <col min="15625" max="15869" width="9.140625" style="6"/>
    <col min="15870" max="15870" width="18.28515625" style="6" customWidth="1"/>
    <col min="15871" max="15871" width="13.5703125" style="6" customWidth="1"/>
    <col min="15872" max="15872" width="15.140625" style="6" customWidth="1"/>
    <col min="15873" max="15873" width="12.85546875" style="6" customWidth="1"/>
    <col min="15874" max="15874" width="12.28515625" style="6" customWidth="1"/>
    <col min="15875" max="15875" width="12.42578125" style="6" customWidth="1"/>
    <col min="15876" max="15876" width="11.7109375" style="6" customWidth="1"/>
    <col min="15877" max="15879" width="14.5703125" style="6" customWidth="1"/>
    <col min="15880" max="15880" width="13.42578125" style="6" customWidth="1"/>
    <col min="15881" max="16125" width="9.140625" style="6"/>
    <col min="16126" max="16126" width="18.28515625" style="6" customWidth="1"/>
    <col min="16127" max="16127" width="13.5703125" style="6" customWidth="1"/>
    <col min="16128" max="16128" width="15.140625" style="6" customWidth="1"/>
    <col min="16129" max="16129" width="12.85546875" style="6" customWidth="1"/>
    <col min="16130" max="16130" width="12.28515625" style="6" customWidth="1"/>
    <col min="16131" max="16131" width="12.42578125" style="6" customWidth="1"/>
    <col min="16132" max="16132" width="11.7109375" style="6" customWidth="1"/>
    <col min="16133" max="16135" width="14.5703125" style="6" customWidth="1"/>
    <col min="16136" max="16136" width="13.42578125" style="6" customWidth="1"/>
    <col min="16137" max="16384" width="9.140625" style="6"/>
  </cols>
  <sheetData>
    <row r="1" spans="1:10" ht="15.75">
      <c r="A1" s="205" t="str">
        <f xml:space="preserve"> "Psychological Therapies Waiting Times - Number of patients seen during the month by Health Board, "&amp;TEXT(A25,"mmm yyyy")&amp;" - "&amp;TEXT(A11,"mmm yyyy")&amp; " - Distribution of waits"</f>
        <v>Psychological Therapies Waiting Times - Number of patients seen during the month by Health Board, Apr 2020 - Jun 2021 - Distribution of waits</v>
      </c>
      <c r="B1" s="206"/>
      <c r="C1" s="206"/>
      <c r="D1" s="206"/>
    </row>
    <row r="2" spans="1:10">
      <c r="A2" s="456" t="s">
        <v>454</v>
      </c>
      <c r="B2" s="457"/>
      <c r="C2" s="457"/>
      <c r="D2" s="457"/>
    </row>
    <row r="3" spans="1:10">
      <c r="A3" s="207" t="s">
        <v>186</v>
      </c>
      <c r="B3" s="206"/>
      <c r="C3" s="206"/>
      <c r="D3" s="206"/>
    </row>
    <row r="4" spans="1:10" ht="20.25">
      <c r="A4" s="64"/>
      <c r="B4" s="65"/>
      <c r="C4" s="65"/>
      <c r="D4" s="65"/>
      <c r="E4" s="65"/>
      <c r="F4" s="65"/>
      <c r="G4" s="65"/>
      <c r="H4" s="65"/>
      <c r="I4" s="65"/>
      <c r="J4" s="65"/>
    </row>
    <row r="5" spans="1:10">
      <c r="A5" s="66"/>
      <c r="B5" s="65"/>
      <c r="C5" s="65"/>
      <c r="D5" s="65"/>
      <c r="E5" s="65"/>
      <c r="F5" s="65"/>
      <c r="G5" s="65"/>
      <c r="H5" s="65"/>
      <c r="I5" s="65"/>
      <c r="J5" s="65"/>
    </row>
    <row r="6" spans="1:10" ht="15.75" thickBot="1">
      <c r="A6" s="199" t="s">
        <v>453</v>
      </c>
      <c r="B6" s="200"/>
      <c r="C6" s="200"/>
      <c r="D6" s="200"/>
      <c r="E6" s="67"/>
      <c r="F6" s="67"/>
      <c r="G6" s="67"/>
      <c r="H6" s="67"/>
      <c r="I6" s="67"/>
      <c r="J6" s="67"/>
    </row>
    <row r="7" spans="1:10" ht="15.75" thickBot="1">
      <c r="A7" s="6" t="s">
        <v>180</v>
      </c>
      <c r="B7" s="9"/>
      <c r="C7" s="440" t="s">
        <v>28</v>
      </c>
      <c r="D7" s="441"/>
      <c r="E7" s="67"/>
      <c r="F7" s="124"/>
      <c r="G7" s="67"/>
      <c r="H7" s="67"/>
      <c r="I7" s="67"/>
      <c r="J7" s="67"/>
    </row>
    <row r="8" spans="1:10">
      <c r="A8" s="220" t="s">
        <v>1302</v>
      </c>
      <c r="B8" s="33" t="s">
        <v>183</v>
      </c>
      <c r="C8" s="9"/>
      <c r="D8" s="9"/>
      <c r="E8" s="34"/>
      <c r="F8" s="92" t="s">
        <v>172</v>
      </c>
      <c r="G8" s="68" t="s">
        <v>30</v>
      </c>
      <c r="H8" s="34"/>
      <c r="I8" s="34"/>
      <c r="J8" s="34"/>
    </row>
    <row r="9" spans="1:10" ht="21.75" customHeight="1">
      <c r="A9" s="442" t="s">
        <v>31</v>
      </c>
      <c r="B9" s="445" t="s">
        <v>32</v>
      </c>
      <c r="C9" s="446" t="s">
        <v>330</v>
      </c>
      <c r="D9" s="446"/>
      <c r="E9" s="446"/>
      <c r="F9" s="446"/>
      <c r="G9" s="449" t="s">
        <v>187</v>
      </c>
      <c r="H9" s="446"/>
      <c r="I9" s="446"/>
      <c r="J9" s="446"/>
    </row>
    <row r="10" spans="1:10" ht="16.5" customHeight="1">
      <c r="A10" s="442"/>
      <c r="B10" s="445"/>
      <c r="C10" s="151" t="s">
        <v>34</v>
      </c>
      <c r="D10" s="163" t="s">
        <v>188</v>
      </c>
      <c r="E10" s="151" t="s">
        <v>317</v>
      </c>
      <c r="F10" s="151" t="s">
        <v>331</v>
      </c>
      <c r="G10" s="164" t="s">
        <v>34</v>
      </c>
      <c r="H10" s="151" t="s">
        <v>188</v>
      </c>
      <c r="I10" s="151" t="s">
        <v>317</v>
      </c>
      <c r="J10" s="151" t="s">
        <v>331</v>
      </c>
    </row>
    <row r="11" spans="1:10">
      <c r="A11" s="359">
        <f>REPORT_raw_dataseen!R1</f>
        <v>44348</v>
      </c>
      <c r="B11" s="260">
        <f>VLOOKUP($C$7&amp;"Unadjusted seen "&amp;$B$9,REPORT_raw_dataseen!$A$1:$R$817,MATCH($A11,REPORT_raw_dataseen!$D$1:$R$1,1)+3, FALSE)</f>
        <v>6719</v>
      </c>
      <c r="C11" s="260">
        <f>IF(VLOOKUP($C$7&amp;"Unadjusted seen "&amp;$C$10,REPORT_raw_dataseen!$A$1:$R$817,MATCH($A11,REPORT_raw_dataseen!$D$1:$R$1,1)+3, FALSE)=0,"-",VLOOKUP($C$7&amp;"Unadjusted seen "&amp;$C$10,REPORT_raw_dataseen!$A$1:$R$817,MATCH($A11,REPORT_raw_dataseen!$D$1:$R$1,1)+3, FALSE))</f>
        <v>5577</v>
      </c>
      <c r="D11" s="260">
        <f>IF(VLOOKUP($C$7&amp;"Unadjusted seen "&amp;$D$10,REPORT_raw_dataseen!$A$1:$R$817,MATCH($A11,REPORT_raw_dataseen!$D$1:$R$1,1)+3, FALSE)=0,"-",VLOOKUP($C$7&amp;"Unadjusted seen "&amp;$D$10,REPORT_raw_dataseen!$A$1:$R$817,MATCH($A11,REPORT_raw_dataseen!$D$1:$R$1,1)+3, FALSE))</f>
        <v>535</v>
      </c>
      <c r="E11" s="260">
        <f>IF(VLOOKUP($C$7&amp;"Unadjusted seen "&amp;$F$8,REPORT_raw_dataseen!$A$1:$R$817,MATCH($A11,REPORT_raw_dataseen!$D$1:$R$1,1)+3, FALSE)=0,"-",VLOOKUP($C$7&amp;"Unadjusted seen "&amp;$F$8,REPORT_raw_dataseen!$A$1:$R$817,MATCH($A11,REPORT_raw_dataseen!$D$1:$R$1,1)+3, FALSE))</f>
        <v>274</v>
      </c>
      <c r="F11" s="260">
        <f>IF(VLOOKUP($C$7&amp;"Unadjusted seen "&amp;$G$8,REPORT_raw_dataseen!$A$1:$R$817,MATCH($A11,REPORT_raw_dataseen!$D$1:$R$1,1)+3, FALSE)=0,"-",VLOOKUP($C$7&amp;"Unadjusted seen "&amp;$G$8,REPORT_raw_dataseen!$A$1:$R$817,MATCH($A11,REPORT_raw_dataseen!$D$1:$R$1,1)+3, FALSE))</f>
        <v>333</v>
      </c>
      <c r="G11" s="263">
        <f t="shared" ref="G11:J25" si="0">IF(C11="-","-",IF(C11="..","..",IF(C11=0,"-",IF((C11/$B11%)=0,"-",ROUND(C11/$B11%,2)))))</f>
        <v>83</v>
      </c>
      <c r="H11" s="263">
        <f t="shared" si="0"/>
        <v>7.96</v>
      </c>
      <c r="I11" s="263">
        <f t="shared" si="0"/>
        <v>4.08</v>
      </c>
      <c r="J11" s="257">
        <f t="shared" si="0"/>
        <v>4.96</v>
      </c>
    </row>
    <row r="12" spans="1:10">
      <c r="A12" s="360">
        <f>DATE(YEAR(A11),MONTH(A11)-1,DAY(A11))</f>
        <v>44317</v>
      </c>
      <c r="B12" s="261">
        <f>VLOOKUP($C$7&amp;"Unadjusted seen "&amp;$B$9,REPORT_raw_dataseen!$A$1:$R$817,MATCH($A12,REPORT_raw_dataseen!$D$1:$R$1,1)+3, FALSE)</f>
        <v>6483</v>
      </c>
      <c r="C12" s="261">
        <f>IF(VLOOKUP($C$7&amp;"Unadjusted seen "&amp;$C$10,REPORT_raw_dataseen!$A$1:$R$817,MATCH($A12,REPORT_raw_dataseen!$D$1:$R$1,1)+3, FALSE)=0,"-",VLOOKUP($C$7&amp;"Unadjusted seen "&amp;$C$10,REPORT_raw_dataseen!$A$1:$R$817,MATCH($A12,REPORT_raw_dataseen!$D$1:$R$1,1)+3, FALSE))</f>
        <v>5268</v>
      </c>
      <c r="D12" s="261">
        <f>IF(VLOOKUP($C$7&amp;"Unadjusted seen "&amp;$D$10,REPORT_raw_dataseen!$A$1:$R$817,MATCH($A12,REPORT_raw_dataseen!$D$1:$R$1,1)+3, FALSE)=0,"-",VLOOKUP($C$7&amp;"Unadjusted seen "&amp;$D$10,REPORT_raw_dataseen!$A$1:$R$817,MATCH($A12,REPORT_raw_dataseen!$D$1:$R$1,1)+3, FALSE))</f>
        <v>625</v>
      </c>
      <c r="E12" s="261">
        <f>IF(VLOOKUP($C$7&amp;"Unadjusted seen "&amp;$F$8,REPORT_raw_dataseen!$A$1:$R$817,MATCH($A12,REPORT_raw_dataseen!$D$1:$R$1,1)+3, FALSE)=0,"-",VLOOKUP($C$7&amp;"Unadjusted seen "&amp;$F$8,REPORT_raw_dataseen!$A$1:$R$817,MATCH($A12,REPORT_raw_dataseen!$D$1:$R$1,1)+3, FALSE))</f>
        <v>212</v>
      </c>
      <c r="F12" s="261">
        <f>IF(VLOOKUP($C$7&amp;"Unadjusted seen "&amp;$G$8,REPORT_raw_dataseen!$A$1:$R$817,MATCH($A12,REPORT_raw_dataseen!$D$1:$R$1,1)+3, FALSE)=0,"-",VLOOKUP($C$7&amp;"Unadjusted seen "&amp;$G$8,REPORT_raw_dataseen!$A$1:$R$817,MATCH($A12,REPORT_raw_dataseen!$D$1:$R$1,1)+3, FALSE))</f>
        <v>378</v>
      </c>
      <c r="G12" s="264">
        <f t="shared" si="0"/>
        <v>81.260000000000005</v>
      </c>
      <c r="H12" s="264">
        <f t="shared" si="0"/>
        <v>9.64</v>
      </c>
      <c r="I12" s="264">
        <f t="shared" si="0"/>
        <v>3.27</v>
      </c>
      <c r="J12" s="258">
        <f t="shared" si="0"/>
        <v>5.83</v>
      </c>
    </row>
    <row r="13" spans="1:10">
      <c r="A13" s="360">
        <f>DATE(YEAR(A12),MONTH(A12)-1,DAY(A12))</f>
        <v>44287</v>
      </c>
      <c r="B13" s="261">
        <f>VLOOKUP($C$7&amp;"Unadjusted seen "&amp;$B$9,REPORT_raw_dataseen!$A$1:$R$817,MATCH($A13,REPORT_raw_dataseen!$D$1:$R$1,1)+3, FALSE)</f>
        <v>6385</v>
      </c>
      <c r="C13" s="261">
        <f>IF(VLOOKUP($C$7&amp;"Unadjusted seen "&amp;$C$10,REPORT_raw_dataseen!$A$1:$R$817,MATCH($A13,REPORT_raw_dataseen!$D$1:$R$1,1)+3, FALSE)=0,"-",VLOOKUP($C$7&amp;"Unadjusted seen "&amp;$C$10,REPORT_raw_dataseen!$A$1:$R$817,MATCH($A13,REPORT_raw_dataseen!$D$1:$R$1,1)+3, FALSE))</f>
        <v>5116</v>
      </c>
      <c r="D13" s="261">
        <f>IF(VLOOKUP($C$7&amp;"Unadjusted seen "&amp;$D$10,REPORT_raw_dataseen!$A$1:$R$817,MATCH($A13,REPORT_raw_dataseen!$D$1:$R$1,1)+3, FALSE)=0,"-",VLOOKUP($C$7&amp;"Unadjusted seen "&amp;$D$10,REPORT_raw_dataseen!$A$1:$R$817,MATCH($A13,REPORT_raw_dataseen!$D$1:$R$1,1)+3, FALSE))</f>
        <v>611</v>
      </c>
      <c r="E13" s="261">
        <f>IF(VLOOKUP($C$7&amp;"Unadjusted seen "&amp;$F$8,REPORT_raw_dataseen!$A$1:$R$817,MATCH($A13,REPORT_raw_dataseen!$D$1:$R$1,1)+3, FALSE)=0,"-",VLOOKUP($C$7&amp;"Unadjusted seen "&amp;$F$8,REPORT_raw_dataseen!$A$1:$R$817,MATCH($A13,REPORT_raw_dataseen!$D$1:$R$1,1)+3, FALSE))</f>
        <v>222</v>
      </c>
      <c r="F13" s="261">
        <f>IF(VLOOKUP($C$7&amp;"Unadjusted seen "&amp;$G$8,REPORT_raw_dataseen!$A$1:$R$817,MATCH($A13,REPORT_raw_dataseen!$D$1:$R$1,1)+3, FALSE)=0,"-",VLOOKUP($C$7&amp;"Unadjusted seen "&amp;$G$8,REPORT_raw_dataseen!$A$1:$R$817,MATCH($A13,REPORT_raw_dataseen!$D$1:$R$1,1)+3, FALSE))</f>
        <v>436</v>
      </c>
      <c r="G13" s="264">
        <f t="shared" si="0"/>
        <v>80.13</v>
      </c>
      <c r="H13" s="264">
        <f t="shared" si="0"/>
        <v>9.57</v>
      </c>
      <c r="I13" s="264">
        <f t="shared" si="0"/>
        <v>3.48</v>
      </c>
      <c r="J13" s="258">
        <f t="shared" si="0"/>
        <v>6.83</v>
      </c>
    </row>
    <row r="14" spans="1:10">
      <c r="A14" s="360">
        <f>DATE(YEAR(A13),MONTH(A13)-1,DAY(A13))</f>
        <v>44256</v>
      </c>
      <c r="B14" s="261">
        <f>VLOOKUP($C$7&amp;"Unadjusted seen "&amp;$B$9,REPORT_raw_dataseen!$A$1:$R$817,MATCH($A14,REPORT_raw_dataseen!$D$1:$R$1,1)+3, FALSE)</f>
        <v>6523</v>
      </c>
      <c r="C14" s="261">
        <f>IF(VLOOKUP($C$7&amp;"Unadjusted seen "&amp;$C$10,REPORT_raw_dataseen!$A$1:$R$817,MATCH($A14,REPORT_raw_dataseen!$D$1:$R$1,1)+3, FALSE)=0,"-",VLOOKUP($C$7&amp;"Unadjusted seen "&amp;$C$10,REPORT_raw_dataseen!$A$1:$R$817,MATCH($A14,REPORT_raw_dataseen!$D$1:$R$1,1)+3, FALSE))</f>
        <v>5163</v>
      </c>
      <c r="D14" s="261">
        <f>IF(VLOOKUP($C$7&amp;"Unadjusted seen "&amp;$D$10,REPORT_raw_dataseen!$A$1:$R$817,MATCH($A14,REPORT_raw_dataseen!$D$1:$R$1,1)+3, FALSE)=0,"-",VLOOKUP($C$7&amp;"Unadjusted seen "&amp;$D$10,REPORT_raw_dataseen!$A$1:$R$817,MATCH($A14,REPORT_raw_dataseen!$D$1:$R$1,1)+3, FALSE))</f>
        <v>648</v>
      </c>
      <c r="E14" s="261">
        <f>IF(VLOOKUP($C$7&amp;"Unadjusted seen "&amp;$F$8,REPORT_raw_dataseen!$A$1:$R$817,MATCH($A14,REPORT_raw_dataseen!$D$1:$R$1,1)+3, FALSE)=0,"-",VLOOKUP($C$7&amp;"Unadjusted seen "&amp;$F$8,REPORT_raw_dataseen!$A$1:$R$817,MATCH($A14,REPORT_raw_dataseen!$D$1:$R$1,1)+3, FALSE))</f>
        <v>221</v>
      </c>
      <c r="F14" s="261">
        <f>IF(VLOOKUP($C$7&amp;"Unadjusted seen "&amp;$G$8,REPORT_raw_dataseen!$A$1:$R$817,MATCH($A14,REPORT_raw_dataseen!$D$1:$R$1,1)+3, FALSE)=0,"-",VLOOKUP($C$7&amp;"Unadjusted seen "&amp;$G$8,REPORT_raw_dataseen!$A$1:$R$817,MATCH($A14,REPORT_raw_dataseen!$D$1:$R$1,1)+3, FALSE))</f>
        <v>491</v>
      </c>
      <c r="G14" s="264">
        <f t="shared" si="0"/>
        <v>79.150000000000006</v>
      </c>
      <c r="H14" s="264">
        <f t="shared" si="0"/>
        <v>9.93</v>
      </c>
      <c r="I14" s="264">
        <f t="shared" si="0"/>
        <v>3.39</v>
      </c>
      <c r="J14" s="258">
        <f t="shared" si="0"/>
        <v>7.53</v>
      </c>
    </row>
    <row r="15" spans="1:10">
      <c r="A15" s="360">
        <f>DATE(YEAR(A14),MONTH(A14)-1,DAY(A14))</f>
        <v>44228</v>
      </c>
      <c r="B15" s="261">
        <f>VLOOKUP($C$7&amp;"Unadjusted seen "&amp;$B$9,REPORT_raw_dataseen!$A$1:$R$817,MATCH($A15,REPORT_raw_dataseen!$D$1:$R$1,1)+3, FALSE)</f>
        <v>5855</v>
      </c>
      <c r="C15" s="261">
        <f>IF(VLOOKUP($C$7&amp;"Unadjusted seen "&amp;$C$10,REPORT_raw_dataseen!$A$1:$R$817,MATCH($A15,REPORT_raw_dataseen!$D$1:$R$1,1)+3, FALSE)=0,"-",VLOOKUP($C$7&amp;"Unadjusted seen "&amp;$C$10,REPORT_raw_dataseen!$A$1:$R$817,MATCH($A15,REPORT_raw_dataseen!$D$1:$R$1,1)+3, FALSE))</f>
        <v>4662</v>
      </c>
      <c r="D15" s="261">
        <f>IF(VLOOKUP($C$7&amp;"Unadjusted seen "&amp;$D$10,REPORT_raw_dataseen!$A$1:$R$817,MATCH($A15,REPORT_raw_dataseen!$D$1:$R$1,1)+3, FALSE)=0,"-",VLOOKUP($C$7&amp;"Unadjusted seen "&amp;$D$10,REPORT_raw_dataseen!$A$1:$R$817,MATCH($A15,REPORT_raw_dataseen!$D$1:$R$1,1)+3, FALSE))</f>
        <v>463</v>
      </c>
      <c r="E15" s="261">
        <f>IF(VLOOKUP($C$7&amp;"Unadjusted seen "&amp;$F$8,REPORT_raw_dataseen!$A$1:$R$817,MATCH($A15,REPORT_raw_dataseen!$D$1:$R$1,1)+3, FALSE)=0,"-",VLOOKUP($C$7&amp;"Unadjusted seen "&amp;$F$8,REPORT_raw_dataseen!$A$1:$R$817,MATCH($A15,REPORT_raw_dataseen!$D$1:$R$1,1)+3, FALSE))</f>
        <v>343</v>
      </c>
      <c r="F15" s="261">
        <f>IF(VLOOKUP($C$7&amp;"Unadjusted seen "&amp;$G$8,REPORT_raw_dataseen!$A$1:$R$817,MATCH($A15,REPORT_raw_dataseen!$D$1:$R$1,1)+3, FALSE)=0,"-",VLOOKUP($C$7&amp;"Unadjusted seen "&amp;$G$8,REPORT_raw_dataseen!$A$1:$R$817,MATCH($A15,REPORT_raw_dataseen!$D$1:$R$1,1)+3, FALSE))</f>
        <v>387</v>
      </c>
      <c r="G15" s="264">
        <f t="shared" si="0"/>
        <v>79.62</v>
      </c>
      <c r="H15" s="264">
        <f t="shared" si="0"/>
        <v>7.91</v>
      </c>
      <c r="I15" s="264">
        <f t="shared" si="0"/>
        <v>5.86</v>
      </c>
      <c r="J15" s="258">
        <f t="shared" si="0"/>
        <v>6.61</v>
      </c>
    </row>
    <row r="16" spans="1:10">
      <c r="A16" s="360">
        <f>DATE(YEAR(A15),MONTH(A15)-1,DAY(A15))</f>
        <v>44197</v>
      </c>
      <c r="B16" s="261">
        <f>VLOOKUP($C$7&amp;"Unadjusted seen "&amp;$B$9,REPORT_raw_dataseen!$A$1:$R$817,MATCH($A16,REPORT_raw_dataseen!$D$1:$R$1,1)+3, FALSE)</f>
        <v>5745</v>
      </c>
      <c r="C16" s="261">
        <f>IF(VLOOKUP($C$7&amp;"Unadjusted seen "&amp;$C$10,REPORT_raw_dataseen!$A$1:$R$817,MATCH($A16,REPORT_raw_dataseen!$D$1:$R$1,1)+3, FALSE)=0,"-",VLOOKUP($C$7&amp;"Unadjusted seen "&amp;$C$10,REPORT_raw_dataseen!$A$1:$R$817,MATCH($A16,REPORT_raw_dataseen!$D$1:$R$1,1)+3, FALSE))</f>
        <v>4467</v>
      </c>
      <c r="D16" s="261">
        <f>IF(VLOOKUP($C$7&amp;"Unadjusted seen "&amp;$D$10,REPORT_raw_dataseen!$A$1:$R$817,MATCH($A16,REPORT_raw_dataseen!$D$1:$R$1,1)+3, FALSE)=0,"-",VLOOKUP($C$7&amp;"Unadjusted seen "&amp;$D$10,REPORT_raw_dataseen!$A$1:$R$817,MATCH($A16,REPORT_raw_dataseen!$D$1:$R$1,1)+3, FALSE))</f>
        <v>420</v>
      </c>
      <c r="E16" s="261">
        <f>IF(VLOOKUP($C$7&amp;"Unadjusted seen "&amp;$F$8,REPORT_raw_dataseen!$A$1:$R$817,MATCH($A16,REPORT_raw_dataseen!$D$1:$R$1,1)+3, FALSE)=0,"-",VLOOKUP($C$7&amp;"Unadjusted seen "&amp;$F$8,REPORT_raw_dataseen!$A$1:$R$817,MATCH($A16,REPORT_raw_dataseen!$D$1:$R$1,1)+3, FALSE))</f>
        <v>414</v>
      </c>
      <c r="F16" s="261">
        <f>IF(VLOOKUP($C$7&amp;"Unadjusted seen "&amp;$G$8,REPORT_raw_dataseen!$A$1:$R$817,MATCH($A16,REPORT_raw_dataseen!$D$1:$R$1,1)+3, FALSE)=0,"-",VLOOKUP($C$7&amp;"Unadjusted seen "&amp;$G$8,REPORT_raw_dataseen!$A$1:$R$817,MATCH($A16,REPORT_raw_dataseen!$D$1:$R$1,1)+3, FALSE))</f>
        <v>444</v>
      </c>
      <c r="G16" s="264">
        <f t="shared" si="0"/>
        <v>77.75</v>
      </c>
      <c r="H16" s="264">
        <f t="shared" si="0"/>
        <v>7.31</v>
      </c>
      <c r="I16" s="264">
        <f t="shared" si="0"/>
        <v>7.21</v>
      </c>
      <c r="J16" s="258">
        <f t="shared" si="0"/>
        <v>7.73</v>
      </c>
    </row>
    <row r="17" spans="1:10">
      <c r="A17" s="360">
        <f t="shared" ref="A17:A25" si="1">DATE(YEAR(A16),MONTH(A16)-1,DAY(A16))</f>
        <v>44166</v>
      </c>
      <c r="B17" s="261">
        <f>VLOOKUP($C$7&amp;"Unadjusted seen "&amp;$B$9,REPORT_raw_dataseen!$A$1:$R$817,MATCH($A17,REPORT_raw_dataseen!$D$1:$R$1,1)+3, FALSE)</f>
        <v>5049</v>
      </c>
      <c r="C17" s="261">
        <f>IF(VLOOKUP($C$7&amp;"Unadjusted seen "&amp;$C$10,REPORT_raw_dataseen!$A$1:$R$817,MATCH($A17,REPORT_raw_dataseen!$D$1:$R$1,1)+3, FALSE)=0,"-",VLOOKUP($C$7&amp;"Unadjusted seen "&amp;$C$10,REPORT_raw_dataseen!$A$1:$R$817,MATCH($A17,REPORT_raw_dataseen!$D$1:$R$1,1)+3, FALSE))</f>
        <v>4151</v>
      </c>
      <c r="D17" s="261">
        <f>IF(VLOOKUP($C$7&amp;"Unadjusted seen "&amp;$D$10,REPORT_raw_dataseen!$A$1:$R$817,MATCH($A17,REPORT_raw_dataseen!$D$1:$R$1,1)+3, FALSE)=0,"-",VLOOKUP($C$7&amp;"Unadjusted seen "&amp;$D$10,REPORT_raw_dataseen!$A$1:$R$817,MATCH($A17,REPORT_raw_dataseen!$D$1:$R$1,1)+3, FALSE))</f>
        <v>212</v>
      </c>
      <c r="E17" s="261">
        <f>IF(VLOOKUP($C$7&amp;"Unadjusted seen "&amp;$F$8,REPORT_raw_dataseen!$A$1:$R$817,MATCH($A17,REPORT_raw_dataseen!$D$1:$R$1,1)+3, FALSE)=0,"-",VLOOKUP($C$7&amp;"Unadjusted seen "&amp;$F$8,REPORT_raw_dataseen!$A$1:$R$817,MATCH($A17,REPORT_raw_dataseen!$D$1:$R$1,1)+3, FALSE))</f>
        <v>388</v>
      </c>
      <c r="F17" s="261">
        <f>IF(VLOOKUP($C$7&amp;"Unadjusted seen "&amp;$G$8,REPORT_raw_dataseen!$A$1:$R$817,MATCH($A17,REPORT_raw_dataseen!$D$1:$R$1,1)+3, FALSE)=0,"-",VLOOKUP($C$7&amp;"Unadjusted seen "&amp;$G$8,REPORT_raw_dataseen!$A$1:$R$817,MATCH($A17,REPORT_raw_dataseen!$D$1:$R$1,1)+3, FALSE))</f>
        <v>298</v>
      </c>
      <c r="G17" s="264">
        <f>IF(C17="-","-",IF(C17="..","..",IF(C17=0,"-",IF((C17/$B17%)=0,"-",ROUND(C17/$B17%,2)))))</f>
        <v>82.21</v>
      </c>
      <c r="H17" s="264">
        <f t="shared" si="0"/>
        <v>4.2</v>
      </c>
      <c r="I17" s="264">
        <f t="shared" si="0"/>
        <v>7.68</v>
      </c>
      <c r="J17" s="258">
        <f t="shared" si="0"/>
        <v>5.9</v>
      </c>
    </row>
    <row r="18" spans="1:10">
      <c r="A18" s="360">
        <f t="shared" si="1"/>
        <v>44136</v>
      </c>
      <c r="B18" s="261">
        <f>VLOOKUP($C$7&amp;"Unadjusted seen "&amp;$B$9,REPORT_raw_dataseen!$A$1:$R$817,MATCH($A18,REPORT_raw_dataseen!$D$1:$R$1,1)+3, FALSE)</f>
        <v>6450</v>
      </c>
      <c r="C18" s="261">
        <f>IF(VLOOKUP($C$7&amp;"Unadjusted seen "&amp;$C$10,REPORT_raw_dataseen!$A$1:$R$817,MATCH($A18,REPORT_raw_dataseen!$D$1:$R$1,1)+3, FALSE)=0,"-",VLOOKUP($C$7&amp;"Unadjusted seen "&amp;$C$10,REPORT_raw_dataseen!$A$1:$R$817,MATCH($A18,REPORT_raw_dataseen!$D$1:$R$1,1)+3, FALSE))</f>
        <v>4954</v>
      </c>
      <c r="D18" s="261">
        <f>IF(VLOOKUP($C$7&amp;"Unadjusted seen "&amp;$D$10,REPORT_raw_dataseen!$A$1:$R$817,MATCH($A18,REPORT_raw_dataseen!$D$1:$R$1,1)+3, FALSE)=0,"-",VLOOKUP($C$7&amp;"Unadjusted seen "&amp;$D$10,REPORT_raw_dataseen!$A$1:$R$817,MATCH($A18,REPORT_raw_dataseen!$D$1:$R$1,1)+3, FALSE))</f>
        <v>335</v>
      </c>
      <c r="E18" s="261">
        <f>IF(VLOOKUP($C$7&amp;"Unadjusted seen "&amp;$F$8,REPORT_raw_dataseen!$A$1:$R$817,MATCH($A18,REPORT_raw_dataseen!$D$1:$R$1,1)+3, FALSE)=0,"-",VLOOKUP($C$7&amp;"Unadjusted seen "&amp;$F$8,REPORT_raw_dataseen!$A$1:$R$817,MATCH($A18,REPORT_raw_dataseen!$D$1:$R$1,1)+3, FALSE))</f>
        <v>637</v>
      </c>
      <c r="F18" s="261">
        <f>IF(VLOOKUP($C$7&amp;"Unadjusted seen "&amp;$G$8,REPORT_raw_dataseen!$A$1:$R$817,MATCH($A18,REPORT_raw_dataseen!$D$1:$R$1,1)+3, FALSE)=0,"-",VLOOKUP($C$7&amp;"Unadjusted seen "&amp;$G$8,REPORT_raw_dataseen!$A$1:$R$817,MATCH($A18,REPORT_raw_dataseen!$D$1:$R$1,1)+3, FALSE))</f>
        <v>524</v>
      </c>
      <c r="G18" s="264">
        <f t="shared" ref="G18:G25" si="2">IF(C18="-","-",IF(C18="..","..",IF(C18=0,"-",IF((C18/$B18%)=0,"-",ROUND(C18/$B18%,2)))))</f>
        <v>76.81</v>
      </c>
      <c r="H18" s="264">
        <f t="shared" si="0"/>
        <v>5.19</v>
      </c>
      <c r="I18" s="264">
        <f t="shared" si="0"/>
        <v>9.8800000000000008</v>
      </c>
      <c r="J18" s="258">
        <f t="shared" si="0"/>
        <v>8.1199999999999992</v>
      </c>
    </row>
    <row r="19" spans="1:10">
      <c r="A19" s="360">
        <f t="shared" si="1"/>
        <v>44105</v>
      </c>
      <c r="B19" s="261">
        <f>VLOOKUP($C$7&amp;"Unadjusted seen "&amp;$B$9,REPORT_raw_dataseen!$A$1:$R$817,MATCH($A19,REPORT_raw_dataseen!$D$1:$R$1,1)+3, FALSE)</f>
        <v>5524</v>
      </c>
      <c r="C19" s="261">
        <f>IF(VLOOKUP($C$7&amp;"Unadjusted seen "&amp;$C$10,REPORT_raw_dataseen!$A$1:$R$817,MATCH($A19,REPORT_raw_dataseen!$D$1:$R$1,1)+3, FALSE)=0,"-",VLOOKUP($C$7&amp;"Unadjusted seen "&amp;$C$10,REPORT_raw_dataseen!$A$1:$R$817,MATCH($A19,REPORT_raw_dataseen!$D$1:$R$1,1)+3, FALSE))</f>
        <v>4296</v>
      </c>
      <c r="D19" s="261">
        <f>IF(VLOOKUP($C$7&amp;"Unadjusted seen "&amp;$D$10,REPORT_raw_dataseen!$A$1:$R$817,MATCH($A19,REPORT_raw_dataseen!$D$1:$R$1,1)+3, FALSE)=0,"-",VLOOKUP($C$7&amp;"Unadjusted seen "&amp;$D$10,REPORT_raw_dataseen!$A$1:$R$817,MATCH($A19,REPORT_raw_dataseen!$D$1:$R$1,1)+3, FALSE))</f>
        <v>390</v>
      </c>
      <c r="E19" s="261">
        <f>IF(VLOOKUP($C$7&amp;"Unadjusted seen "&amp;$F$8,REPORT_raw_dataseen!$A$1:$R$817,MATCH($A19,REPORT_raw_dataseen!$D$1:$R$1,1)+3, FALSE)=0,"-",VLOOKUP($C$7&amp;"Unadjusted seen "&amp;$F$8,REPORT_raw_dataseen!$A$1:$R$817,MATCH($A19,REPORT_raw_dataseen!$D$1:$R$1,1)+3, FALSE))</f>
        <v>427</v>
      </c>
      <c r="F19" s="261">
        <f>IF(VLOOKUP($C$7&amp;"Unadjusted seen "&amp;$G$8,REPORT_raw_dataseen!$A$1:$R$817,MATCH($A19,REPORT_raw_dataseen!$D$1:$R$1,1)+3, FALSE)=0,"-",VLOOKUP($C$7&amp;"Unadjusted seen "&amp;$G$8,REPORT_raw_dataseen!$A$1:$R$817,MATCH($A19,REPORT_raw_dataseen!$D$1:$R$1,1)+3, FALSE))</f>
        <v>411</v>
      </c>
      <c r="G19" s="264">
        <f t="shared" si="2"/>
        <v>77.77</v>
      </c>
      <c r="H19" s="264">
        <f t="shared" si="0"/>
        <v>7.06</v>
      </c>
      <c r="I19" s="264">
        <f t="shared" si="0"/>
        <v>7.73</v>
      </c>
      <c r="J19" s="258">
        <f t="shared" si="0"/>
        <v>7.44</v>
      </c>
    </row>
    <row r="20" spans="1:10">
      <c r="A20" s="360">
        <f t="shared" si="1"/>
        <v>44075</v>
      </c>
      <c r="B20" s="261">
        <f>VLOOKUP($C$7&amp;"Unadjusted seen "&amp;$B$9,REPORT_raw_dataseen!$A$1:$R$817,MATCH($A20,REPORT_raw_dataseen!$D$1:$R$1,1)+3, FALSE)</f>
        <v>5311</v>
      </c>
      <c r="C20" s="261">
        <f>IF(VLOOKUP($C$7&amp;"Unadjusted seen "&amp;$C$10,REPORT_raw_dataseen!$A$1:$R$817,MATCH($A20,REPORT_raw_dataseen!$D$1:$R$1,1)+3, FALSE)=0,"-",VLOOKUP($C$7&amp;"Unadjusted seen "&amp;$C$10,REPORT_raw_dataseen!$A$1:$R$817,MATCH($A20,REPORT_raw_dataseen!$D$1:$R$1,1)+3, FALSE))</f>
        <v>3932</v>
      </c>
      <c r="D20" s="261">
        <f>IF(VLOOKUP($C$7&amp;"Unadjusted seen "&amp;$D$10,REPORT_raw_dataseen!$A$1:$R$817,MATCH($A20,REPORT_raw_dataseen!$D$1:$R$1,1)+3, FALSE)=0,"-",VLOOKUP($C$7&amp;"Unadjusted seen "&amp;$D$10,REPORT_raw_dataseen!$A$1:$R$817,MATCH($A20,REPORT_raw_dataseen!$D$1:$R$1,1)+3, FALSE))</f>
        <v>667</v>
      </c>
      <c r="E20" s="261">
        <f>IF(VLOOKUP($C$7&amp;"Unadjusted seen "&amp;$F$8,REPORT_raw_dataseen!$A$1:$R$817,MATCH($A20,REPORT_raw_dataseen!$D$1:$R$1,1)+3, FALSE)=0,"-",VLOOKUP($C$7&amp;"Unadjusted seen "&amp;$F$8,REPORT_raw_dataseen!$A$1:$R$817,MATCH($A20,REPORT_raw_dataseen!$D$1:$R$1,1)+3, FALSE))</f>
        <v>380</v>
      </c>
      <c r="F20" s="261">
        <f>IF(VLOOKUP($C$7&amp;"Unadjusted seen "&amp;$G$8,REPORT_raw_dataseen!$A$1:$R$817,MATCH($A20,REPORT_raw_dataseen!$D$1:$R$1,1)+3, FALSE)=0,"-",VLOOKUP($C$7&amp;"Unadjusted seen "&amp;$G$8,REPORT_raw_dataseen!$A$1:$R$817,MATCH($A20,REPORT_raw_dataseen!$D$1:$R$1,1)+3, FALSE))</f>
        <v>332</v>
      </c>
      <c r="G20" s="264">
        <f t="shared" si="2"/>
        <v>74.040000000000006</v>
      </c>
      <c r="H20" s="264">
        <f t="shared" si="0"/>
        <v>12.56</v>
      </c>
      <c r="I20" s="264">
        <f t="shared" si="0"/>
        <v>7.15</v>
      </c>
      <c r="J20" s="258">
        <f t="shared" si="0"/>
        <v>6.25</v>
      </c>
    </row>
    <row r="21" spans="1:10">
      <c r="A21" s="360">
        <f t="shared" si="1"/>
        <v>44044</v>
      </c>
      <c r="B21" s="261">
        <f>VLOOKUP($C$7&amp;"Unadjusted seen "&amp;$B$9,REPORT_raw_dataseen!$A$1:$R$817,MATCH($A21,REPORT_raw_dataseen!$D$1:$R$1,1)+3, FALSE)</f>
        <v>4777</v>
      </c>
      <c r="C21" s="261">
        <f>IF(VLOOKUP($C$7&amp;"Unadjusted seen "&amp;$C$10,REPORT_raw_dataseen!$A$1:$R$817,MATCH($A21,REPORT_raw_dataseen!$D$1:$R$1,1)+3, FALSE)=0,"-",VLOOKUP($C$7&amp;"Unadjusted seen "&amp;$C$10,REPORT_raw_dataseen!$A$1:$R$817,MATCH($A21,REPORT_raw_dataseen!$D$1:$R$1,1)+3, FALSE))</f>
        <v>3488</v>
      </c>
      <c r="D21" s="261">
        <f>IF(VLOOKUP($C$7&amp;"Unadjusted seen "&amp;$D$10,REPORT_raw_dataseen!$A$1:$R$817,MATCH($A21,REPORT_raw_dataseen!$D$1:$R$1,1)+3, FALSE)=0,"-",VLOOKUP($C$7&amp;"Unadjusted seen "&amp;$D$10,REPORT_raw_dataseen!$A$1:$R$817,MATCH($A21,REPORT_raw_dataseen!$D$1:$R$1,1)+3, FALSE))</f>
        <v>680</v>
      </c>
      <c r="E21" s="261">
        <f>IF(VLOOKUP($C$7&amp;"Unadjusted seen "&amp;$F$8,REPORT_raw_dataseen!$A$1:$R$817,MATCH($A21,REPORT_raw_dataseen!$D$1:$R$1,1)+3, FALSE)=0,"-",VLOOKUP($C$7&amp;"Unadjusted seen "&amp;$F$8,REPORT_raw_dataseen!$A$1:$R$817,MATCH($A21,REPORT_raw_dataseen!$D$1:$R$1,1)+3, FALSE))</f>
        <v>320</v>
      </c>
      <c r="F21" s="261">
        <f>IF(VLOOKUP($C$7&amp;"Unadjusted seen "&amp;$G$8,REPORT_raw_dataseen!$A$1:$R$817,MATCH($A21,REPORT_raw_dataseen!$D$1:$R$1,1)+3, FALSE)=0,"-",VLOOKUP($C$7&amp;"Unadjusted seen "&amp;$G$8,REPORT_raw_dataseen!$A$1:$R$817,MATCH($A21,REPORT_raw_dataseen!$D$1:$R$1,1)+3, FALSE))</f>
        <v>289</v>
      </c>
      <c r="G21" s="264">
        <f t="shared" si="2"/>
        <v>73.02</v>
      </c>
      <c r="H21" s="264">
        <f t="shared" si="0"/>
        <v>14.23</v>
      </c>
      <c r="I21" s="264">
        <f t="shared" si="0"/>
        <v>6.7</v>
      </c>
      <c r="J21" s="258">
        <f t="shared" si="0"/>
        <v>6.05</v>
      </c>
    </row>
    <row r="22" spans="1:10">
      <c r="A22" s="360">
        <f t="shared" si="1"/>
        <v>44013</v>
      </c>
      <c r="B22" s="261">
        <f>VLOOKUP($C$7&amp;"Unadjusted seen "&amp;$B$9,REPORT_raw_dataseen!$A$1:$R$817,MATCH($A22,REPORT_raw_dataseen!$D$1:$R$1,1)+3, FALSE)</f>
        <v>4930</v>
      </c>
      <c r="C22" s="261">
        <f>IF(VLOOKUP($C$7&amp;"Unadjusted seen "&amp;$C$10,REPORT_raw_dataseen!$A$1:$R$817,MATCH($A22,REPORT_raw_dataseen!$D$1:$R$1,1)+3, FALSE)=0,"-",VLOOKUP($C$7&amp;"Unadjusted seen "&amp;$C$10,REPORT_raw_dataseen!$A$1:$R$817,MATCH($A22,REPORT_raw_dataseen!$D$1:$R$1,1)+3, FALSE))</f>
        <v>3477</v>
      </c>
      <c r="D22" s="261">
        <f>IF(VLOOKUP($C$7&amp;"Unadjusted seen "&amp;$D$10,REPORT_raw_dataseen!$A$1:$R$817,MATCH($A22,REPORT_raw_dataseen!$D$1:$R$1,1)+3, FALSE)=0,"-",VLOOKUP($C$7&amp;"Unadjusted seen "&amp;$D$10,REPORT_raw_dataseen!$A$1:$R$817,MATCH($A22,REPORT_raw_dataseen!$D$1:$R$1,1)+3, FALSE))</f>
        <v>793</v>
      </c>
      <c r="E22" s="261">
        <f>IF(VLOOKUP($C$7&amp;"Unadjusted seen "&amp;$F$8,REPORT_raw_dataseen!$A$1:$R$817,MATCH($A22,REPORT_raw_dataseen!$D$1:$R$1,1)+3, FALSE)=0,"-",VLOOKUP($C$7&amp;"Unadjusted seen "&amp;$F$8,REPORT_raw_dataseen!$A$1:$R$817,MATCH($A22,REPORT_raw_dataseen!$D$1:$R$1,1)+3, FALSE))</f>
        <v>341</v>
      </c>
      <c r="F22" s="261">
        <f>IF(VLOOKUP($C$7&amp;"Unadjusted seen "&amp;$G$8,REPORT_raw_dataseen!$A$1:$R$817,MATCH($A22,REPORT_raw_dataseen!$D$1:$R$1,1)+3, FALSE)=0,"-",VLOOKUP($C$7&amp;"Unadjusted seen "&amp;$G$8,REPORT_raw_dataseen!$A$1:$R$817,MATCH($A22,REPORT_raw_dataseen!$D$1:$R$1,1)+3, FALSE))</f>
        <v>319</v>
      </c>
      <c r="G22" s="264">
        <f t="shared" si="2"/>
        <v>70.53</v>
      </c>
      <c r="H22" s="264">
        <f t="shared" si="0"/>
        <v>16.09</v>
      </c>
      <c r="I22" s="264">
        <f t="shared" si="0"/>
        <v>6.92</v>
      </c>
      <c r="J22" s="258">
        <f t="shared" si="0"/>
        <v>6.47</v>
      </c>
    </row>
    <row r="23" spans="1:10">
      <c r="A23" s="360">
        <f t="shared" si="1"/>
        <v>43983</v>
      </c>
      <c r="B23" s="261">
        <f>VLOOKUP($C$7&amp;"Unadjusted seen "&amp;$B$9,REPORT_raw_dataseen!$A$1:$R$817,MATCH($A23,REPORT_raw_dataseen!$D$1:$R$1,1)+3, FALSE)</f>
        <v>4332</v>
      </c>
      <c r="C23" s="261">
        <f>IF(VLOOKUP($C$7&amp;"Unadjusted seen "&amp;$C$10,REPORT_raw_dataseen!$A$1:$R$817,MATCH($A23,REPORT_raw_dataseen!$D$1:$R$1,1)+3, FALSE)=0,"-",VLOOKUP($C$7&amp;"Unadjusted seen "&amp;$C$10,REPORT_raw_dataseen!$A$1:$R$817,MATCH($A23,REPORT_raw_dataseen!$D$1:$R$1,1)+3, FALSE))</f>
        <v>3014</v>
      </c>
      <c r="D23" s="261">
        <f>IF(VLOOKUP($C$7&amp;"Unadjusted seen "&amp;$D$10,REPORT_raw_dataseen!$A$1:$R$817,MATCH($A23,REPORT_raw_dataseen!$D$1:$R$1,1)+3, FALSE)=0,"-",VLOOKUP($C$7&amp;"Unadjusted seen "&amp;$D$10,REPORT_raw_dataseen!$A$1:$R$817,MATCH($A23,REPORT_raw_dataseen!$D$1:$R$1,1)+3, FALSE))</f>
        <v>746</v>
      </c>
      <c r="E23" s="261">
        <f>IF(VLOOKUP($C$7&amp;"Unadjusted seen "&amp;$F$8,REPORT_raw_dataseen!$A$1:$R$817,MATCH($A23,REPORT_raw_dataseen!$D$1:$R$1,1)+3, FALSE)=0,"-",VLOOKUP($C$7&amp;"Unadjusted seen "&amp;$F$8,REPORT_raw_dataseen!$A$1:$R$817,MATCH($A23,REPORT_raw_dataseen!$D$1:$R$1,1)+3, FALSE))</f>
        <v>299</v>
      </c>
      <c r="F23" s="261">
        <f>IF(VLOOKUP($C$7&amp;"Unadjusted seen "&amp;$G$8,REPORT_raw_dataseen!$A$1:$R$817,MATCH($A23,REPORT_raw_dataseen!$D$1:$R$1,1)+3, FALSE)=0,"-",VLOOKUP($C$7&amp;"Unadjusted seen "&amp;$G$8,REPORT_raw_dataseen!$A$1:$R$817,MATCH($A23,REPORT_raw_dataseen!$D$1:$R$1,1)+3, FALSE))</f>
        <v>273</v>
      </c>
      <c r="G23" s="264">
        <f t="shared" si="2"/>
        <v>69.58</v>
      </c>
      <c r="H23" s="264">
        <f t="shared" si="0"/>
        <v>17.22</v>
      </c>
      <c r="I23" s="264">
        <f t="shared" si="0"/>
        <v>6.9</v>
      </c>
      <c r="J23" s="258">
        <f t="shared" si="0"/>
        <v>6.3</v>
      </c>
    </row>
    <row r="24" spans="1:10">
      <c r="A24" s="360">
        <f t="shared" si="1"/>
        <v>43952</v>
      </c>
      <c r="B24" s="261">
        <f>VLOOKUP($C$7&amp;"Unadjusted seen "&amp;$B$9,REPORT_raw_dataseen!$A$1:$R$817,MATCH($A24,REPORT_raw_dataseen!$D$1:$R$1,1)+3, FALSE)</f>
        <v>3446</v>
      </c>
      <c r="C24" s="261">
        <f>IF(VLOOKUP($C$7&amp;"Unadjusted seen "&amp;$C$10,REPORT_raw_dataseen!$A$1:$R$817,MATCH($A24,REPORT_raw_dataseen!$D$1:$R$1,1)+3, FALSE)=0,"-",VLOOKUP($C$7&amp;"Unadjusted seen "&amp;$C$10,REPORT_raw_dataseen!$A$1:$R$817,MATCH($A24,REPORT_raw_dataseen!$D$1:$R$1,1)+3, FALSE))</f>
        <v>2541</v>
      </c>
      <c r="D24" s="261">
        <f>IF(VLOOKUP($C$7&amp;"Unadjusted seen "&amp;$D$10,REPORT_raw_dataseen!$A$1:$R$817,MATCH($A24,REPORT_raw_dataseen!$D$1:$R$1,1)+3, FALSE)=0,"-",VLOOKUP($C$7&amp;"Unadjusted seen "&amp;$D$10,REPORT_raw_dataseen!$A$1:$R$817,MATCH($A24,REPORT_raw_dataseen!$D$1:$R$1,1)+3, FALSE))</f>
        <v>482</v>
      </c>
      <c r="E24" s="261">
        <f>IF(VLOOKUP($C$7&amp;"Unadjusted seen "&amp;$F$8,REPORT_raw_dataseen!$A$1:$R$817,MATCH($A24,REPORT_raw_dataseen!$D$1:$R$1,1)+3, FALSE)=0,"-",VLOOKUP($C$7&amp;"Unadjusted seen "&amp;$F$8,REPORT_raw_dataseen!$A$1:$R$817,MATCH($A24,REPORT_raw_dataseen!$D$1:$R$1,1)+3, FALSE))</f>
        <v>198</v>
      </c>
      <c r="F24" s="261">
        <f>IF(VLOOKUP($C$7&amp;"Unadjusted seen "&amp;$G$8,REPORT_raw_dataseen!$A$1:$R$817,MATCH($A24,REPORT_raw_dataseen!$D$1:$R$1,1)+3, FALSE)=0,"-",VLOOKUP($C$7&amp;"Unadjusted seen "&amp;$G$8,REPORT_raw_dataseen!$A$1:$R$817,MATCH($A24,REPORT_raw_dataseen!$D$1:$R$1,1)+3, FALSE))</f>
        <v>225</v>
      </c>
      <c r="G24" s="264">
        <f t="shared" si="2"/>
        <v>73.739999999999995</v>
      </c>
      <c r="H24" s="264">
        <f t="shared" si="0"/>
        <v>13.99</v>
      </c>
      <c r="I24" s="264">
        <f t="shared" si="0"/>
        <v>5.75</v>
      </c>
      <c r="J24" s="258">
        <f t="shared" si="0"/>
        <v>6.53</v>
      </c>
    </row>
    <row r="25" spans="1:10">
      <c r="A25" s="360">
        <f t="shared" si="1"/>
        <v>43922</v>
      </c>
      <c r="B25" s="261">
        <f>VLOOKUP($C$7&amp;"Unadjusted seen "&amp;$B$9,REPORT_raw_dataseen!$A$1:$R$817,MATCH($A25,REPORT_raw_dataseen!$D$1:$R$1,1)+3, FALSE)</f>
        <v>3042</v>
      </c>
      <c r="C25" s="261">
        <f>IF(VLOOKUP($C$7&amp;"Unadjusted seen "&amp;$C$10,REPORT_raw_dataseen!$A$1:$R$817,MATCH($A25,REPORT_raw_dataseen!$D$1:$R$1,1)+3, FALSE)=0,"-",VLOOKUP($C$7&amp;"Unadjusted seen "&amp;$C$10,REPORT_raw_dataseen!$A$1:$R$817,MATCH($A25,REPORT_raw_dataseen!$D$1:$R$1,1)+3, FALSE))</f>
        <v>2171</v>
      </c>
      <c r="D25" s="261">
        <f>IF(VLOOKUP($C$7&amp;"Unadjusted seen "&amp;$D$10,REPORT_raw_dataseen!$A$1:$R$817,MATCH($A25,REPORT_raw_dataseen!$D$1:$R$1,1)+3, FALSE)=0,"-",VLOOKUP($C$7&amp;"Unadjusted seen "&amp;$D$10,REPORT_raw_dataseen!$A$1:$R$817,MATCH($A25,REPORT_raw_dataseen!$D$1:$R$1,1)+3, FALSE))</f>
        <v>542</v>
      </c>
      <c r="E25" s="261">
        <f>IF(VLOOKUP($C$7&amp;"Unadjusted seen "&amp;$F$8,REPORT_raw_dataseen!$A$1:$R$817,MATCH($A25,REPORT_raw_dataseen!$D$1:$R$1,1)+3, FALSE)=0,"-",VLOOKUP($C$7&amp;"Unadjusted seen "&amp;$F$8,REPORT_raw_dataseen!$A$1:$R$817,MATCH($A25,REPORT_raw_dataseen!$D$1:$R$1,1)+3, FALSE))</f>
        <v>163</v>
      </c>
      <c r="F25" s="261">
        <f>IF(VLOOKUP($C$7&amp;"Unadjusted seen "&amp;$G$8,REPORT_raw_dataseen!$A$1:$R$817,MATCH($A25,REPORT_raw_dataseen!$D$1:$R$1,1)+3, FALSE)=0,"-",VLOOKUP($C$7&amp;"Unadjusted seen "&amp;$G$8,REPORT_raw_dataseen!$A$1:$R$817,MATCH($A25,REPORT_raw_dataseen!$D$1:$R$1,1)+3, FALSE))</f>
        <v>166</v>
      </c>
      <c r="G25" s="264">
        <f t="shared" si="2"/>
        <v>71.37</v>
      </c>
      <c r="H25" s="264">
        <f t="shared" si="0"/>
        <v>17.82</v>
      </c>
      <c r="I25" s="264">
        <f t="shared" si="0"/>
        <v>5.36</v>
      </c>
      <c r="J25" s="258">
        <f t="shared" si="0"/>
        <v>5.46</v>
      </c>
    </row>
    <row r="26" spans="1:10">
      <c r="A26" s="362"/>
      <c r="B26" s="266"/>
      <c r="C26" s="266"/>
      <c r="D26" s="266"/>
      <c r="E26" s="266"/>
      <c r="F26" s="271"/>
      <c r="G26" s="271"/>
      <c r="H26" s="271"/>
      <c r="I26" s="271"/>
      <c r="J26" s="282"/>
    </row>
    <row r="27" spans="1:10">
      <c r="A27" s="274" t="str">
        <f>"quarter ending "&amp;TEXT(A11,"mmm yyyy")</f>
        <v>quarter ending Jun 2021</v>
      </c>
      <c r="B27" s="269">
        <f>IF(OR(B11="*", B12="*", B13="*"),"*", IF(COUNTIF(B11:B13,"..")=3,"..",IF(SUM(B11:B13)=0,"-",SUM(B11:B13))))</f>
        <v>19587</v>
      </c>
      <c r="C27" s="269">
        <f>IF(OR(C11="*", C12="*", C13="*"),"*", IF(COUNTIF(C11:C13,"..")=3,"..",IF(SUM(C11:C13)=0,"-",SUM(C11:C13))))</f>
        <v>15961</v>
      </c>
      <c r="D27" s="269">
        <f>IF(OR(D11="*", D12="*", D13="*"),"*", IF(COUNTIF(D11:D13,"..")=3,"..",IF(SUM(D11:D13)=0,"-",SUM(D11:D13))))</f>
        <v>1771</v>
      </c>
      <c r="E27" s="269">
        <f>IF(OR(E11="*", E12="*", E13="*"),"*", IF(COUNTIF(E11:E13,"..")=3,"..",IF(SUM(E11:E13)=0,"-",SUM(E11:E13))))</f>
        <v>708</v>
      </c>
      <c r="F27" s="269">
        <f>IF(OR(F11="*", F12="*", F13="*"),"*", IF(COUNTIF(F11:F13,"..")=3,"..",IF(SUM(F11:F13)=0,"-",SUM(F11:F13))))</f>
        <v>1147</v>
      </c>
      <c r="G27" s="272">
        <f>IF(C27="-", "-", ROUND(C27/$B27%,2))</f>
        <v>81.489999999999995</v>
      </c>
      <c r="H27" s="272">
        <f t="shared" ref="H27:J31" si="3">IF(D27="-", "-", ROUND(D27/$B27%,2))</f>
        <v>9.0399999999999991</v>
      </c>
      <c r="I27" s="272">
        <f t="shared" si="3"/>
        <v>3.61</v>
      </c>
      <c r="J27" s="291">
        <f t="shared" si="3"/>
        <v>5.86</v>
      </c>
    </row>
    <row r="28" spans="1:10">
      <c r="A28" s="274" t="str">
        <f>"quarter ending "&amp;TEXT(A14,"mmm yyyy")</f>
        <v>quarter ending Mar 2021</v>
      </c>
      <c r="B28" s="269">
        <f>IF(OR(B14="*", B15="*", B16="*"),"*", IF(COUNTIF(B14:B16,"..")=3,"..",IF(SUM(B14:B16)=0,"-",SUM(B14:B16))))</f>
        <v>18123</v>
      </c>
      <c r="C28" s="269">
        <f>IF(OR(C14="*", C15="*", C16="*"),"*", IF(COUNTIF(C14:C16,"..")=3,"..",IF(SUM(C14:C16)=0,"-",SUM(C14:C16))))</f>
        <v>14292</v>
      </c>
      <c r="D28" s="269">
        <f>IF(OR(D14="*", D15="*", D16="*"),"*", IF(COUNTIF(D14:D16,"..")=3,"..",IF(SUM(D14:D16)=0,"-",SUM(D14:D16))))</f>
        <v>1531</v>
      </c>
      <c r="E28" s="269">
        <f>IF(OR(E14="*", E15="*", E16="*"),"*", IF(COUNTIF(E14:E16,"..")=3,"..",IF(SUM(E14:E16)=0,"-",SUM(E14:E16))))</f>
        <v>978</v>
      </c>
      <c r="F28" s="269">
        <f>IF(OR(F14="*", F15="*", F16="*"),"*", IF(COUNTIF(F14:F16,"..")=3,"..",IF(SUM(F14:F16)=0,"-",SUM(F14:F16))))</f>
        <v>1322</v>
      </c>
      <c r="G28" s="272">
        <f>IF(C28="-", "-", ROUND(C28/$B28%,2))</f>
        <v>78.86</v>
      </c>
      <c r="H28" s="272">
        <f t="shared" si="3"/>
        <v>8.4499999999999993</v>
      </c>
      <c r="I28" s="272">
        <f t="shared" si="3"/>
        <v>5.4</v>
      </c>
      <c r="J28" s="291">
        <f t="shared" si="3"/>
        <v>7.29</v>
      </c>
    </row>
    <row r="29" spans="1:10">
      <c r="A29" s="274" t="str">
        <f>"quarter ending "&amp;TEXT(A17,"mmm yyyy")</f>
        <v>quarter ending Dec 2020</v>
      </c>
      <c r="B29" s="269">
        <f>IF(OR(B17="*", B18="*", B19="*"),"*", IF(COUNTIF(B17:B19,"..")=3,"..",IF(SUM(B17:B19)=0,"-",SUM(B17:B19))))</f>
        <v>17023</v>
      </c>
      <c r="C29" s="269">
        <f>IF(OR(C17="*", C18="*", C19="*"),"*", IF(COUNTIF(C17:C19,"..")=3,"..",IF(SUM(C17:C19)=0,"-",SUM(C17:C19))))</f>
        <v>13401</v>
      </c>
      <c r="D29" s="269">
        <f>IF(OR(D17="*", D18="*", D19="*"),"*", IF(COUNTIF(D17:D19,"..")=3,"..",IF(SUM(D17:D19)=0,"-",SUM(D17:D19))))</f>
        <v>937</v>
      </c>
      <c r="E29" s="269">
        <f>IF(OR(E17="*", E18="*", E19="*"),"*", IF(COUNTIF(E17:E19,"..")=3,"..",IF(SUM(E17:E19)=0,"-",SUM(E17:E19))))</f>
        <v>1452</v>
      </c>
      <c r="F29" s="269">
        <f>IF(OR(F17="*", F18="*", F19="*"),"*", IF(COUNTIF(F17:F19,"..")=3,"..",IF(SUM(F17:F19)=0,"-",SUM(F17:F19))))</f>
        <v>1233</v>
      </c>
      <c r="G29" s="272">
        <f>IF(C29="-", "-", ROUND(C29/$B29%,2))</f>
        <v>78.72</v>
      </c>
      <c r="H29" s="272">
        <f t="shared" si="3"/>
        <v>5.5</v>
      </c>
      <c r="I29" s="272">
        <f t="shared" si="3"/>
        <v>8.5299999999999994</v>
      </c>
      <c r="J29" s="291">
        <f t="shared" si="3"/>
        <v>7.24</v>
      </c>
    </row>
    <row r="30" spans="1:10">
      <c r="A30" s="274" t="str">
        <f>"quarter ending "&amp;TEXT(A20,"mmm yyyy")</f>
        <v>quarter ending Sep 2020</v>
      </c>
      <c r="B30" s="269">
        <f>IF(OR(B20="*", B21="*", B22="*"),"*", IF(COUNTIF(B20:B22,"..")=3,"..",IF(SUM(B20:B22)=0,"-",SUM(B20:B22))))</f>
        <v>15018</v>
      </c>
      <c r="C30" s="269">
        <f>IF(OR(C20="*", C21="*", C22="*"),"*", IF(COUNTIF(C20:C22,"..")=3,"..",IF(SUM(C20:C22)=0,"-",SUM(C20:C22))))</f>
        <v>10897</v>
      </c>
      <c r="D30" s="269">
        <f>IF(OR(D20="*", D21="*", D22="*"),"*", IF(COUNTIF(D20:D22,"..")=3,"..",IF(SUM(D20:D22)=0,"-",SUM(D20:D22))))</f>
        <v>2140</v>
      </c>
      <c r="E30" s="269">
        <f>IF(OR(E20="*", E21="*", E22="*"),"*", IF(COUNTIF(E20:E22,"..")=3,"..",IF(SUM(E20:E22)=0,"-",SUM(E20:E22))))</f>
        <v>1041</v>
      </c>
      <c r="F30" s="269">
        <f>IF(OR(F20="*", F21="*", F22="*"),"*", IF(COUNTIF(F20:F22,"..")=3,"..",IF(SUM(F20:F22)=0,"-",SUM(F20:F22))))</f>
        <v>940</v>
      </c>
      <c r="G30" s="272">
        <f>IF(C30="-", "-", ROUND(C30/$B30%,2))</f>
        <v>72.56</v>
      </c>
      <c r="H30" s="272">
        <f t="shared" si="3"/>
        <v>14.25</v>
      </c>
      <c r="I30" s="272">
        <f t="shared" si="3"/>
        <v>6.93</v>
      </c>
      <c r="J30" s="291">
        <f t="shared" si="3"/>
        <v>6.26</v>
      </c>
    </row>
    <row r="31" spans="1:10">
      <c r="A31" s="363" t="str">
        <f>"quarter ending "&amp;TEXT(A23,"mmm yyyy")</f>
        <v>quarter ending Jun 2020</v>
      </c>
      <c r="B31" s="270">
        <f>IF(OR(B23="*", B24="*", B25="*"),"*", IF(COUNTIF(B23:B25,"..")=3,"..",IF(SUM(B23:B25)=0,"-",SUM(B23:B25))))</f>
        <v>10820</v>
      </c>
      <c r="C31" s="270">
        <f>IF(OR(C23="*", C24="*", C25="*"),"*", IF(COUNTIF(C23:C25,"..")=3,"..",IF(SUM(C23:C25)=0,"-",SUM(C23:C25))))</f>
        <v>7726</v>
      </c>
      <c r="D31" s="270">
        <f>IF(OR(D23="*", D24="*", D25="*"),"*", IF(COUNTIF(D23:D25,"..")=3,"..",IF(SUM(D23:D25)=0,"-",SUM(D23:D25))))</f>
        <v>1770</v>
      </c>
      <c r="E31" s="270">
        <f>IF(OR(E23="*", E24="*", E25="*"),"*", IF(COUNTIF(E23:E25,"..")=3,"..",IF(SUM(E23:E25)=0,"-",SUM(E23:E25))))</f>
        <v>660</v>
      </c>
      <c r="F31" s="270">
        <f>IF(OR(F23="*", F24="*", F25="*"),"*", IF(COUNTIF(F23:F25,"..")=3,"..",IF(SUM(F23:F25)=0,"-",SUM(F23:F25))))</f>
        <v>664</v>
      </c>
      <c r="G31" s="273">
        <f>IF(C31="-", "-", ROUND(C31/$B31%,2))</f>
        <v>71.400000000000006</v>
      </c>
      <c r="H31" s="273">
        <f t="shared" si="3"/>
        <v>16.36</v>
      </c>
      <c r="I31" s="273">
        <f t="shared" si="3"/>
        <v>6.1</v>
      </c>
      <c r="J31" s="292">
        <f t="shared" si="3"/>
        <v>6.14</v>
      </c>
    </row>
    <row r="32" spans="1:10">
      <c r="B32" s="16"/>
      <c r="C32" s="16"/>
      <c r="D32" s="16"/>
      <c r="E32" s="16"/>
      <c r="F32" s="16"/>
      <c r="G32" s="17"/>
      <c r="H32" s="17"/>
      <c r="I32" s="17"/>
      <c r="J32" s="17"/>
    </row>
    <row r="33" spans="1:10">
      <c r="B33" s="16"/>
      <c r="C33" s="16"/>
      <c r="D33" s="16"/>
      <c r="E33" s="16"/>
      <c r="F33" s="16"/>
      <c r="G33" s="17"/>
      <c r="H33" s="17"/>
      <c r="I33" s="17"/>
      <c r="J33" s="17"/>
    </row>
    <row r="34" spans="1:10" ht="20.25">
      <c r="A34" s="76" t="s">
        <v>337</v>
      </c>
      <c r="B34" s="16"/>
      <c r="C34" s="16"/>
      <c r="D34" s="16"/>
      <c r="E34" s="16"/>
      <c r="F34" s="16"/>
      <c r="G34" s="17"/>
      <c r="H34" s="17"/>
      <c r="I34" s="17"/>
      <c r="J34" s="17"/>
    </row>
    <row r="35" spans="1:10">
      <c r="A35" s="77" t="s">
        <v>338</v>
      </c>
      <c r="B35" s="77" t="s">
        <v>339</v>
      </c>
      <c r="C35" s="78"/>
      <c r="D35" s="450" t="s">
        <v>340</v>
      </c>
      <c r="E35" s="450"/>
      <c r="F35" s="450"/>
      <c r="G35" s="450"/>
      <c r="H35" s="450"/>
      <c r="I35" s="450"/>
      <c r="J35" s="450"/>
    </row>
    <row r="36" spans="1:10">
      <c r="A36" s="79" t="s">
        <v>55</v>
      </c>
      <c r="B36" s="80" t="s">
        <v>341</v>
      </c>
      <c r="C36" s="81"/>
      <c r="D36" s="451" t="s">
        <v>342</v>
      </c>
      <c r="E36" s="451"/>
      <c r="F36" s="451"/>
      <c r="G36" s="451"/>
      <c r="H36" s="451"/>
      <c r="I36" s="451"/>
      <c r="J36" s="451"/>
    </row>
    <row r="37" spans="1:10" ht="51">
      <c r="A37" s="82" t="s">
        <v>343</v>
      </c>
      <c r="B37" s="83" t="s">
        <v>344</v>
      </c>
      <c r="C37" s="84"/>
      <c r="D37" s="452" t="s">
        <v>345</v>
      </c>
      <c r="E37" s="452"/>
      <c r="F37" s="452"/>
      <c r="G37" s="452"/>
      <c r="H37" s="452"/>
      <c r="I37" s="452"/>
      <c r="J37" s="452"/>
    </row>
    <row r="38" spans="1:10">
      <c r="A38" s="85" t="s">
        <v>27</v>
      </c>
      <c r="B38" s="86"/>
      <c r="C38" s="87"/>
      <c r="D38" s="439" t="s">
        <v>346</v>
      </c>
      <c r="E38" s="439"/>
      <c r="F38" s="439"/>
      <c r="G38" s="439"/>
      <c r="H38" s="439"/>
      <c r="I38" s="439"/>
      <c r="J38" s="439"/>
    </row>
    <row r="39" spans="1:10">
      <c r="A39" s="88"/>
      <c r="B39" s="89"/>
      <c r="C39" s="89"/>
      <c r="D39" s="19"/>
      <c r="E39" s="89"/>
      <c r="F39" s="89"/>
      <c r="G39" s="90"/>
      <c r="H39" s="90"/>
      <c r="I39" s="15"/>
      <c r="J39" s="15"/>
    </row>
    <row r="40" spans="1:10">
      <c r="A40" s="88"/>
      <c r="B40" s="89"/>
      <c r="C40" s="89"/>
      <c r="D40" s="19"/>
      <c r="E40" s="89"/>
      <c r="F40" s="89"/>
      <c r="G40" s="90"/>
      <c r="H40" s="90"/>
      <c r="I40" s="15"/>
      <c r="J40" s="15"/>
    </row>
    <row r="41" spans="1:10">
      <c r="A41" s="88"/>
      <c r="B41" s="89"/>
      <c r="C41" s="89"/>
      <c r="D41" s="19"/>
      <c r="E41" s="89"/>
      <c r="F41" s="89"/>
      <c r="G41" s="90"/>
      <c r="H41" s="90"/>
      <c r="I41" s="15"/>
      <c r="J41" s="15"/>
    </row>
    <row r="42" spans="1:10">
      <c r="A42" s="91" t="s">
        <v>190</v>
      </c>
      <c r="B42" s="89"/>
      <c r="C42" s="89"/>
      <c r="D42" s="89"/>
      <c r="E42" s="89"/>
      <c r="F42" s="89"/>
      <c r="G42" s="90"/>
      <c r="H42" s="90"/>
      <c r="I42" s="15"/>
      <c r="J42" s="15"/>
    </row>
    <row r="43" spans="1:10">
      <c r="A43" s="91" t="s">
        <v>191</v>
      </c>
      <c r="B43" s="89"/>
      <c r="C43" s="89"/>
      <c r="D43" s="89"/>
      <c r="E43" s="89"/>
      <c r="F43" s="89"/>
      <c r="G43" s="90"/>
      <c r="H43" s="90"/>
      <c r="I43" s="15"/>
      <c r="J43" s="15"/>
    </row>
    <row r="44" spans="1:10">
      <c r="B44" s="16"/>
      <c r="C44" s="16"/>
      <c r="D44" s="16"/>
      <c r="E44" s="16"/>
      <c r="F44" s="16"/>
      <c r="G44" s="18"/>
      <c r="H44" s="18"/>
      <c r="I44" s="18"/>
      <c r="J44" s="18"/>
    </row>
    <row r="45" spans="1:10">
      <c r="A45" s="43" t="s">
        <v>410</v>
      </c>
      <c r="B45" s="12"/>
      <c r="C45" s="12"/>
      <c r="D45" s="12"/>
      <c r="E45" s="12"/>
      <c r="F45" s="12"/>
      <c r="G45" s="13"/>
      <c r="H45" s="13"/>
      <c r="I45" s="13"/>
      <c r="J45" s="13"/>
    </row>
    <row r="46" spans="1:10">
      <c r="B46" s="7"/>
      <c r="C46" s="7"/>
      <c r="D46" s="7"/>
      <c r="E46" s="7"/>
      <c r="F46" s="7"/>
      <c r="G46" s="14"/>
      <c r="H46" s="14"/>
      <c r="I46" s="14"/>
      <c r="J46" s="14"/>
    </row>
    <row r="47" spans="1:10">
      <c r="A47" s="8"/>
      <c r="B47" s="7"/>
      <c r="C47" s="7"/>
      <c r="D47" s="7"/>
      <c r="E47" s="7"/>
      <c r="F47" s="7"/>
      <c r="G47" s="15"/>
      <c r="H47" s="15"/>
      <c r="I47" s="15"/>
      <c r="J47" s="15"/>
    </row>
    <row r="48" spans="1:10">
      <c r="B48" s="16"/>
      <c r="C48" s="16"/>
      <c r="D48" s="16"/>
      <c r="E48" s="16"/>
      <c r="F48" s="16"/>
      <c r="G48" s="18"/>
      <c r="H48" s="18"/>
      <c r="I48" s="18"/>
      <c r="J48" s="18"/>
    </row>
    <row r="49" spans="1:10">
      <c r="B49" s="12"/>
      <c r="C49" s="12"/>
      <c r="D49" s="12"/>
      <c r="E49" s="12"/>
      <c r="F49" s="12"/>
      <c r="G49" s="13"/>
      <c r="H49" s="13"/>
      <c r="I49" s="13"/>
      <c r="J49" s="13"/>
    </row>
    <row r="50" spans="1:10">
      <c r="B50" s="12"/>
      <c r="C50" s="12"/>
      <c r="D50" s="7"/>
      <c r="E50" s="7"/>
      <c r="F50" s="7"/>
      <c r="G50" s="14"/>
      <c r="H50" s="14"/>
      <c r="I50" s="14"/>
      <c r="J50" s="14"/>
    </row>
    <row r="51" spans="1:10">
      <c r="B51" s="12"/>
      <c r="C51" s="12"/>
      <c r="D51" s="7"/>
      <c r="E51" s="7"/>
      <c r="F51" s="7"/>
      <c r="G51" s="15"/>
      <c r="H51" s="15"/>
      <c r="I51" s="15"/>
      <c r="J51" s="15"/>
    </row>
    <row r="52" spans="1:10">
      <c r="B52" s="16"/>
      <c r="C52" s="16"/>
      <c r="D52" s="7"/>
      <c r="E52" s="7"/>
      <c r="F52" s="7"/>
      <c r="G52" s="15"/>
      <c r="H52" s="15"/>
      <c r="I52" s="15"/>
      <c r="J52" s="15"/>
    </row>
    <row r="53" spans="1:10">
      <c r="A53" s="29" t="str">
        <f>"Percentage of patients waiting less than 18 weeks for adjusted waits - "&amp;C7</f>
        <v>Percentage of patients waiting less than 18 weeks for adjusted waits - Scotland</v>
      </c>
      <c r="B53" s="16"/>
      <c r="C53" s="16"/>
      <c r="D53" s="16"/>
      <c r="E53" s="16"/>
      <c r="F53" s="16"/>
      <c r="G53" s="15"/>
      <c r="H53" s="15"/>
      <c r="I53" s="15"/>
      <c r="J53" s="15"/>
    </row>
    <row r="54" spans="1:10">
      <c r="A54" s="28"/>
      <c r="B54" s="16"/>
      <c r="C54" s="16"/>
      <c r="D54" s="16"/>
      <c r="E54" s="16"/>
      <c r="F54" s="16"/>
      <c r="G54" s="18"/>
      <c r="H54" s="18"/>
      <c r="I54" s="18"/>
      <c r="J54" s="18"/>
    </row>
    <row r="55" spans="1:10">
      <c r="B55" s="12"/>
      <c r="C55" s="12"/>
      <c r="D55" s="12"/>
      <c r="E55" s="12"/>
      <c r="F55" s="12"/>
      <c r="G55" s="13"/>
      <c r="H55" s="13"/>
      <c r="I55" s="13"/>
      <c r="J55" s="13"/>
    </row>
    <row r="56" spans="1:10">
      <c r="B56" s="7"/>
      <c r="C56" s="7"/>
      <c r="D56" s="7"/>
      <c r="E56" s="7"/>
      <c r="F56" s="7"/>
      <c r="G56" s="14"/>
      <c r="H56" s="14"/>
      <c r="I56" s="14"/>
      <c r="J56" s="14"/>
    </row>
    <row r="57" spans="1:10">
      <c r="A57" s="29" t="str">
        <f>"Patients seen - adjusted waits - "&amp;C7</f>
        <v>Patients seen - adjusted waits - Scotland</v>
      </c>
      <c r="B57" s="16"/>
      <c r="C57" s="16"/>
      <c r="D57" s="16"/>
      <c r="E57" s="16"/>
      <c r="F57" s="16"/>
      <c r="G57" s="15"/>
      <c r="H57" s="15"/>
      <c r="I57" s="15"/>
      <c r="J57" s="15"/>
    </row>
    <row r="58" spans="1:10">
      <c r="A58" s="29" t="str">
        <f>"Percentage of patients seen 0-18 weeks for adjusted waits - "&amp;C7</f>
        <v>Percentage of patients seen 0-18 weeks for adjusted waits - Scotland</v>
      </c>
      <c r="B58" s="16"/>
      <c r="C58" s="16"/>
      <c r="D58" s="16"/>
      <c r="E58" s="16"/>
      <c r="F58" s="16"/>
      <c r="G58" s="15"/>
      <c r="H58" s="15"/>
      <c r="I58" s="15"/>
      <c r="J58" s="15"/>
    </row>
    <row r="59" spans="1:10">
      <c r="A59" s="29" t="str">
        <f>"Percentage of patients seen - adjusted waits - "&amp;C7</f>
        <v>Percentage of patients seen - adjusted waits - Scotland</v>
      </c>
      <c r="B59" s="16"/>
      <c r="C59" s="16"/>
      <c r="D59" s="16"/>
      <c r="E59" s="16"/>
      <c r="F59" s="16"/>
      <c r="G59" s="17"/>
      <c r="H59" s="17"/>
      <c r="I59" s="17"/>
      <c r="J59" s="17"/>
    </row>
    <row r="60" spans="1:10">
      <c r="B60" s="12"/>
      <c r="C60" s="12"/>
      <c r="D60" s="12"/>
      <c r="E60" s="12"/>
      <c r="F60" s="12"/>
      <c r="G60" s="13"/>
      <c r="H60" s="13"/>
      <c r="I60" s="13"/>
      <c r="J60" s="13"/>
    </row>
    <row r="61" spans="1:10" s="20" customFormat="1">
      <c r="B61" s="21"/>
      <c r="C61" s="21"/>
      <c r="D61" s="21"/>
      <c r="E61" s="21"/>
      <c r="F61" s="21"/>
      <c r="G61" s="22"/>
      <c r="H61" s="22"/>
      <c r="I61" s="22"/>
      <c r="J61" s="22"/>
    </row>
    <row r="62" spans="1:10">
      <c r="B62" s="8"/>
      <c r="C62" s="8"/>
      <c r="D62" s="8"/>
      <c r="E62" s="8"/>
      <c r="F62" s="8"/>
      <c r="G62" s="23"/>
      <c r="H62" s="24"/>
      <c r="I62" s="24"/>
      <c r="J62" s="24"/>
    </row>
    <row r="63" spans="1:10">
      <c r="B63" s="8"/>
      <c r="C63" s="8"/>
      <c r="D63" s="8"/>
      <c r="E63" s="8"/>
      <c r="F63" s="8"/>
      <c r="G63" s="25"/>
      <c r="H63" s="24"/>
      <c r="I63" s="24"/>
      <c r="J63" s="24"/>
    </row>
    <row r="64" spans="1:10">
      <c r="B64" s="8"/>
      <c r="C64" s="8"/>
      <c r="D64" s="8"/>
      <c r="E64" s="8"/>
      <c r="F64" s="8"/>
      <c r="G64" s="23"/>
      <c r="H64" s="24"/>
      <c r="I64" s="24"/>
      <c r="J64" s="24"/>
    </row>
    <row r="65" spans="1:10">
      <c r="A65" s="16"/>
      <c r="B65" s="16"/>
      <c r="C65" s="16"/>
      <c r="D65" s="16"/>
      <c r="E65" s="16"/>
      <c r="F65" s="16"/>
      <c r="G65" s="16"/>
      <c r="H65" s="26"/>
      <c r="I65" s="26"/>
      <c r="J65" s="26"/>
    </row>
    <row r="66" spans="1:10">
      <c r="B66" s="16"/>
      <c r="C66" s="16"/>
      <c r="D66" s="16"/>
      <c r="E66" s="16"/>
      <c r="F66" s="16"/>
      <c r="G66" s="18"/>
      <c r="H66" s="18"/>
      <c r="I66" s="18"/>
      <c r="J66" s="18"/>
    </row>
    <row r="67" spans="1:10">
      <c r="B67" s="12"/>
      <c r="C67" s="12"/>
      <c r="D67" s="12"/>
      <c r="E67" s="12"/>
      <c r="F67" s="12"/>
      <c r="G67" s="13"/>
      <c r="H67" s="13"/>
      <c r="I67" s="13"/>
      <c r="J67" s="13"/>
    </row>
    <row r="68" spans="1:10">
      <c r="B68" s="7"/>
      <c r="C68" s="7"/>
      <c r="D68" s="7"/>
      <c r="E68" s="7"/>
      <c r="F68" s="7"/>
      <c r="G68" s="14"/>
      <c r="H68" s="14"/>
      <c r="I68" s="14"/>
      <c r="J68" s="14"/>
    </row>
    <row r="69" spans="1:10">
      <c r="B69" s="7"/>
      <c r="C69" s="7"/>
      <c r="D69" s="7"/>
      <c r="E69" s="7"/>
      <c r="F69" s="7"/>
      <c r="G69" s="15"/>
      <c r="H69" s="15"/>
      <c r="I69" s="15"/>
      <c r="J69" s="15"/>
    </row>
    <row r="70" spans="1:10">
      <c r="B70" s="7"/>
      <c r="C70" s="7"/>
      <c r="D70" s="7"/>
      <c r="E70" s="7"/>
      <c r="F70" s="7"/>
      <c r="G70" s="15"/>
      <c r="H70" s="15"/>
      <c r="I70" s="15"/>
      <c r="J70" s="15"/>
    </row>
    <row r="71" spans="1:10">
      <c r="B71" s="16"/>
      <c r="C71" s="16"/>
      <c r="D71" s="16"/>
      <c r="E71" s="16"/>
      <c r="F71" s="16"/>
      <c r="G71" s="18"/>
      <c r="H71" s="18"/>
      <c r="I71" s="18"/>
      <c r="J71" s="18"/>
    </row>
    <row r="72" spans="1:10">
      <c r="B72" s="27"/>
      <c r="C72" s="27"/>
      <c r="D72" s="27"/>
      <c r="E72" s="27"/>
      <c r="F72" s="27"/>
      <c r="G72" s="13"/>
      <c r="H72" s="13"/>
      <c r="I72" s="13"/>
      <c r="J72" s="13"/>
    </row>
    <row r="73" spans="1:10">
      <c r="B73" s="28"/>
      <c r="C73" s="28"/>
      <c r="D73" s="28"/>
      <c r="E73" s="28"/>
      <c r="F73" s="28"/>
      <c r="G73" s="14"/>
      <c r="H73" s="14"/>
      <c r="I73" s="14"/>
      <c r="J73" s="14"/>
    </row>
    <row r="74" spans="1:10">
      <c r="G74" s="15"/>
      <c r="H74" s="15"/>
      <c r="I74" s="15"/>
      <c r="J74" s="15"/>
    </row>
    <row r="75" spans="1:10">
      <c r="G75" s="15"/>
      <c r="H75" s="15"/>
      <c r="I75" s="15"/>
      <c r="J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sheetProtection algorithmName="SHA-512" hashValue="1a7xVXHp72DQ+wIe+zb7ddUh/vSxtMgPUSn7JzrsoXs1ezz/dJjWNsnIyPvo9iaRK88r2Jfg750URwocxmObjQ==" saltValue="QAZxBsDS46qU1uEKGr/ieA==" spinCount="100000" sheet="1" objects="1" scenarios="1"/>
  <mergeCells count="10">
    <mergeCell ref="A2:D2"/>
    <mergeCell ref="G9:J9"/>
    <mergeCell ref="D35:J35"/>
    <mergeCell ref="D36:J36"/>
    <mergeCell ref="D37:J37"/>
    <mergeCell ref="D38:J38"/>
    <mergeCell ref="C7:D7"/>
    <mergeCell ref="A9:A10"/>
    <mergeCell ref="B9:B10"/>
    <mergeCell ref="C9:F9"/>
  </mergeCells>
  <dataValidations count="2">
    <dataValidation type="list" allowBlank="1" showInputMessage="1" showErrorMessage="1" sqref="C7:D7">
      <formula1>ISLANDBOARDS</formula1>
    </dataValidation>
    <dataValidation type="list" allowBlank="1" showInputMessage="1" showErrorMessage="1" sqref="WVH983026:WVI983026 C65522:D65522 IV65522:IW65522 SR65522:SS65522 ACN65522:ACO65522 AMJ65522:AMK65522 AWF65522:AWG65522 BGB65522:BGC65522 BPX65522:BPY65522 BZT65522:BZU65522 CJP65522:CJQ65522 CTL65522:CTM65522 DDH65522:DDI65522 DND65522:DNE65522 DWZ65522:DXA65522 EGV65522:EGW65522 EQR65522:EQS65522 FAN65522:FAO65522 FKJ65522:FKK65522 FUF65522:FUG65522 GEB65522:GEC65522 GNX65522:GNY65522 GXT65522:GXU65522 HHP65522:HHQ65522 HRL65522:HRM65522 IBH65522:IBI65522 ILD65522:ILE65522 IUZ65522:IVA65522 JEV65522:JEW65522 JOR65522:JOS65522 JYN65522:JYO65522 KIJ65522:KIK65522 KSF65522:KSG65522 LCB65522:LCC65522 LLX65522:LLY65522 LVT65522:LVU65522 MFP65522:MFQ65522 MPL65522:MPM65522 MZH65522:MZI65522 NJD65522:NJE65522 NSZ65522:NTA65522 OCV65522:OCW65522 OMR65522:OMS65522 OWN65522:OWO65522 PGJ65522:PGK65522 PQF65522:PQG65522 QAB65522:QAC65522 QJX65522:QJY65522 QTT65522:QTU65522 RDP65522:RDQ65522 RNL65522:RNM65522 RXH65522:RXI65522 SHD65522:SHE65522 SQZ65522:SRA65522 TAV65522:TAW65522 TKR65522:TKS65522 TUN65522:TUO65522 UEJ65522:UEK65522 UOF65522:UOG65522 UYB65522:UYC65522 VHX65522:VHY65522 VRT65522:VRU65522 WBP65522:WBQ65522 WLL65522:WLM65522 WVH65522:WVI65522 C131058:D131058 IV131058:IW131058 SR131058:SS131058 ACN131058:ACO131058 AMJ131058:AMK131058 AWF131058:AWG131058 BGB131058:BGC131058 BPX131058:BPY131058 BZT131058:BZU131058 CJP131058:CJQ131058 CTL131058:CTM131058 DDH131058:DDI131058 DND131058:DNE131058 DWZ131058:DXA131058 EGV131058:EGW131058 EQR131058:EQS131058 FAN131058:FAO131058 FKJ131058:FKK131058 FUF131058:FUG131058 GEB131058:GEC131058 GNX131058:GNY131058 GXT131058:GXU131058 HHP131058:HHQ131058 HRL131058:HRM131058 IBH131058:IBI131058 ILD131058:ILE131058 IUZ131058:IVA131058 JEV131058:JEW131058 JOR131058:JOS131058 JYN131058:JYO131058 KIJ131058:KIK131058 KSF131058:KSG131058 LCB131058:LCC131058 LLX131058:LLY131058 LVT131058:LVU131058 MFP131058:MFQ131058 MPL131058:MPM131058 MZH131058:MZI131058 NJD131058:NJE131058 NSZ131058:NTA131058 OCV131058:OCW131058 OMR131058:OMS131058 OWN131058:OWO131058 PGJ131058:PGK131058 PQF131058:PQG131058 QAB131058:QAC131058 QJX131058:QJY131058 QTT131058:QTU131058 RDP131058:RDQ131058 RNL131058:RNM131058 RXH131058:RXI131058 SHD131058:SHE131058 SQZ131058:SRA131058 TAV131058:TAW131058 TKR131058:TKS131058 TUN131058:TUO131058 UEJ131058:UEK131058 UOF131058:UOG131058 UYB131058:UYC131058 VHX131058:VHY131058 VRT131058:VRU131058 WBP131058:WBQ131058 WLL131058:WLM131058 WVH131058:WVI131058 C196594:D196594 IV196594:IW196594 SR196594:SS196594 ACN196594:ACO196594 AMJ196594:AMK196594 AWF196594:AWG196594 BGB196594:BGC196594 BPX196594:BPY196594 BZT196594:BZU196594 CJP196594:CJQ196594 CTL196594:CTM196594 DDH196594:DDI196594 DND196594:DNE196594 DWZ196594:DXA196594 EGV196594:EGW196594 EQR196594:EQS196594 FAN196594:FAO196594 FKJ196594:FKK196594 FUF196594:FUG196594 GEB196594:GEC196594 GNX196594:GNY196594 GXT196594:GXU196594 HHP196594:HHQ196594 HRL196594:HRM196594 IBH196594:IBI196594 ILD196594:ILE196594 IUZ196594:IVA196594 JEV196594:JEW196594 JOR196594:JOS196594 JYN196594:JYO196594 KIJ196594:KIK196594 KSF196594:KSG196594 LCB196594:LCC196594 LLX196594:LLY196594 LVT196594:LVU196594 MFP196594:MFQ196594 MPL196594:MPM196594 MZH196594:MZI196594 NJD196594:NJE196594 NSZ196594:NTA196594 OCV196594:OCW196594 OMR196594:OMS196594 OWN196594:OWO196594 PGJ196594:PGK196594 PQF196594:PQG196594 QAB196594:QAC196594 QJX196594:QJY196594 QTT196594:QTU196594 RDP196594:RDQ196594 RNL196594:RNM196594 RXH196594:RXI196594 SHD196594:SHE196594 SQZ196594:SRA196594 TAV196594:TAW196594 TKR196594:TKS196594 TUN196594:TUO196594 UEJ196594:UEK196594 UOF196594:UOG196594 UYB196594:UYC196594 VHX196594:VHY196594 VRT196594:VRU196594 WBP196594:WBQ196594 WLL196594:WLM196594 WVH196594:WVI196594 C262130:D262130 IV262130:IW262130 SR262130:SS262130 ACN262130:ACO262130 AMJ262130:AMK262130 AWF262130:AWG262130 BGB262130:BGC262130 BPX262130:BPY262130 BZT262130:BZU262130 CJP262130:CJQ262130 CTL262130:CTM262130 DDH262130:DDI262130 DND262130:DNE262130 DWZ262130:DXA262130 EGV262130:EGW262130 EQR262130:EQS262130 FAN262130:FAO262130 FKJ262130:FKK262130 FUF262130:FUG262130 GEB262130:GEC262130 GNX262130:GNY262130 GXT262130:GXU262130 HHP262130:HHQ262130 HRL262130:HRM262130 IBH262130:IBI262130 ILD262130:ILE262130 IUZ262130:IVA262130 JEV262130:JEW262130 JOR262130:JOS262130 JYN262130:JYO262130 KIJ262130:KIK262130 KSF262130:KSG262130 LCB262130:LCC262130 LLX262130:LLY262130 LVT262130:LVU262130 MFP262130:MFQ262130 MPL262130:MPM262130 MZH262130:MZI262130 NJD262130:NJE262130 NSZ262130:NTA262130 OCV262130:OCW262130 OMR262130:OMS262130 OWN262130:OWO262130 PGJ262130:PGK262130 PQF262130:PQG262130 QAB262130:QAC262130 QJX262130:QJY262130 QTT262130:QTU262130 RDP262130:RDQ262130 RNL262130:RNM262130 RXH262130:RXI262130 SHD262130:SHE262130 SQZ262130:SRA262130 TAV262130:TAW262130 TKR262130:TKS262130 TUN262130:TUO262130 UEJ262130:UEK262130 UOF262130:UOG262130 UYB262130:UYC262130 VHX262130:VHY262130 VRT262130:VRU262130 WBP262130:WBQ262130 WLL262130:WLM262130 WVH262130:WVI262130 C327666:D327666 IV327666:IW327666 SR327666:SS327666 ACN327666:ACO327666 AMJ327666:AMK327666 AWF327666:AWG327666 BGB327666:BGC327666 BPX327666:BPY327666 BZT327666:BZU327666 CJP327666:CJQ327666 CTL327666:CTM327666 DDH327666:DDI327666 DND327666:DNE327666 DWZ327666:DXA327666 EGV327666:EGW327666 EQR327666:EQS327666 FAN327666:FAO327666 FKJ327666:FKK327666 FUF327666:FUG327666 GEB327666:GEC327666 GNX327666:GNY327666 GXT327666:GXU327666 HHP327666:HHQ327666 HRL327666:HRM327666 IBH327666:IBI327666 ILD327666:ILE327666 IUZ327666:IVA327666 JEV327666:JEW327666 JOR327666:JOS327666 JYN327666:JYO327666 KIJ327666:KIK327666 KSF327666:KSG327666 LCB327666:LCC327666 LLX327666:LLY327666 LVT327666:LVU327666 MFP327666:MFQ327666 MPL327666:MPM327666 MZH327666:MZI327666 NJD327666:NJE327666 NSZ327666:NTA327666 OCV327666:OCW327666 OMR327666:OMS327666 OWN327666:OWO327666 PGJ327666:PGK327666 PQF327666:PQG327666 QAB327666:QAC327666 QJX327666:QJY327666 QTT327666:QTU327666 RDP327666:RDQ327666 RNL327666:RNM327666 RXH327666:RXI327666 SHD327666:SHE327666 SQZ327666:SRA327666 TAV327666:TAW327666 TKR327666:TKS327666 TUN327666:TUO327666 UEJ327666:UEK327666 UOF327666:UOG327666 UYB327666:UYC327666 VHX327666:VHY327666 VRT327666:VRU327666 WBP327666:WBQ327666 WLL327666:WLM327666 WVH327666:WVI327666 C393202:D393202 IV393202:IW393202 SR393202:SS393202 ACN393202:ACO393202 AMJ393202:AMK393202 AWF393202:AWG393202 BGB393202:BGC393202 BPX393202:BPY393202 BZT393202:BZU393202 CJP393202:CJQ393202 CTL393202:CTM393202 DDH393202:DDI393202 DND393202:DNE393202 DWZ393202:DXA393202 EGV393202:EGW393202 EQR393202:EQS393202 FAN393202:FAO393202 FKJ393202:FKK393202 FUF393202:FUG393202 GEB393202:GEC393202 GNX393202:GNY393202 GXT393202:GXU393202 HHP393202:HHQ393202 HRL393202:HRM393202 IBH393202:IBI393202 ILD393202:ILE393202 IUZ393202:IVA393202 JEV393202:JEW393202 JOR393202:JOS393202 JYN393202:JYO393202 KIJ393202:KIK393202 KSF393202:KSG393202 LCB393202:LCC393202 LLX393202:LLY393202 LVT393202:LVU393202 MFP393202:MFQ393202 MPL393202:MPM393202 MZH393202:MZI393202 NJD393202:NJE393202 NSZ393202:NTA393202 OCV393202:OCW393202 OMR393202:OMS393202 OWN393202:OWO393202 PGJ393202:PGK393202 PQF393202:PQG393202 QAB393202:QAC393202 QJX393202:QJY393202 QTT393202:QTU393202 RDP393202:RDQ393202 RNL393202:RNM393202 RXH393202:RXI393202 SHD393202:SHE393202 SQZ393202:SRA393202 TAV393202:TAW393202 TKR393202:TKS393202 TUN393202:TUO393202 UEJ393202:UEK393202 UOF393202:UOG393202 UYB393202:UYC393202 VHX393202:VHY393202 VRT393202:VRU393202 WBP393202:WBQ393202 WLL393202:WLM393202 WVH393202:WVI393202 C458738:D458738 IV458738:IW458738 SR458738:SS458738 ACN458738:ACO458738 AMJ458738:AMK458738 AWF458738:AWG458738 BGB458738:BGC458738 BPX458738:BPY458738 BZT458738:BZU458738 CJP458738:CJQ458738 CTL458738:CTM458738 DDH458738:DDI458738 DND458738:DNE458738 DWZ458738:DXA458738 EGV458738:EGW458738 EQR458738:EQS458738 FAN458738:FAO458738 FKJ458738:FKK458738 FUF458738:FUG458738 GEB458738:GEC458738 GNX458738:GNY458738 GXT458738:GXU458738 HHP458738:HHQ458738 HRL458738:HRM458738 IBH458738:IBI458738 ILD458738:ILE458738 IUZ458738:IVA458738 JEV458738:JEW458738 JOR458738:JOS458738 JYN458738:JYO458738 KIJ458738:KIK458738 KSF458738:KSG458738 LCB458738:LCC458738 LLX458738:LLY458738 LVT458738:LVU458738 MFP458738:MFQ458738 MPL458738:MPM458738 MZH458738:MZI458738 NJD458738:NJE458738 NSZ458738:NTA458738 OCV458738:OCW458738 OMR458738:OMS458738 OWN458738:OWO458738 PGJ458738:PGK458738 PQF458738:PQG458738 QAB458738:QAC458738 QJX458738:QJY458738 QTT458738:QTU458738 RDP458738:RDQ458738 RNL458738:RNM458738 RXH458738:RXI458738 SHD458738:SHE458738 SQZ458738:SRA458738 TAV458738:TAW458738 TKR458738:TKS458738 TUN458738:TUO458738 UEJ458738:UEK458738 UOF458738:UOG458738 UYB458738:UYC458738 VHX458738:VHY458738 VRT458738:VRU458738 WBP458738:WBQ458738 WLL458738:WLM458738 WVH458738:WVI458738 C524274:D524274 IV524274:IW524274 SR524274:SS524274 ACN524274:ACO524274 AMJ524274:AMK524274 AWF524274:AWG524274 BGB524274:BGC524274 BPX524274:BPY524274 BZT524274:BZU524274 CJP524274:CJQ524274 CTL524274:CTM524274 DDH524274:DDI524274 DND524274:DNE524274 DWZ524274:DXA524274 EGV524274:EGW524274 EQR524274:EQS524274 FAN524274:FAO524274 FKJ524274:FKK524274 FUF524274:FUG524274 GEB524274:GEC524274 GNX524274:GNY524274 GXT524274:GXU524274 HHP524274:HHQ524274 HRL524274:HRM524274 IBH524274:IBI524274 ILD524274:ILE524274 IUZ524274:IVA524274 JEV524274:JEW524274 JOR524274:JOS524274 JYN524274:JYO524274 KIJ524274:KIK524274 KSF524274:KSG524274 LCB524274:LCC524274 LLX524274:LLY524274 LVT524274:LVU524274 MFP524274:MFQ524274 MPL524274:MPM524274 MZH524274:MZI524274 NJD524274:NJE524274 NSZ524274:NTA524274 OCV524274:OCW524274 OMR524274:OMS524274 OWN524274:OWO524274 PGJ524274:PGK524274 PQF524274:PQG524274 QAB524274:QAC524274 QJX524274:QJY524274 QTT524274:QTU524274 RDP524274:RDQ524274 RNL524274:RNM524274 RXH524274:RXI524274 SHD524274:SHE524274 SQZ524274:SRA524274 TAV524274:TAW524274 TKR524274:TKS524274 TUN524274:TUO524274 UEJ524274:UEK524274 UOF524274:UOG524274 UYB524274:UYC524274 VHX524274:VHY524274 VRT524274:VRU524274 WBP524274:WBQ524274 WLL524274:WLM524274 WVH524274:WVI524274 C589810:D589810 IV589810:IW589810 SR589810:SS589810 ACN589810:ACO589810 AMJ589810:AMK589810 AWF589810:AWG589810 BGB589810:BGC589810 BPX589810:BPY589810 BZT589810:BZU589810 CJP589810:CJQ589810 CTL589810:CTM589810 DDH589810:DDI589810 DND589810:DNE589810 DWZ589810:DXA589810 EGV589810:EGW589810 EQR589810:EQS589810 FAN589810:FAO589810 FKJ589810:FKK589810 FUF589810:FUG589810 GEB589810:GEC589810 GNX589810:GNY589810 GXT589810:GXU589810 HHP589810:HHQ589810 HRL589810:HRM589810 IBH589810:IBI589810 ILD589810:ILE589810 IUZ589810:IVA589810 JEV589810:JEW589810 JOR589810:JOS589810 JYN589810:JYO589810 KIJ589810:KIK589810 KSF589810:KSG589810 LCB589810:LCC589810 LLX589810:LLY589810 LVT589810:LVU589810 MFP589810:MFQ589810 MPL589810:MPM589810 MZH589810:MZI589810 NJD589810:NJE589810 NSZ589810:NTA589810 OCV589810:OCW589810 OMR589810:OMS589810 OWN589810:OWO589810 PGJ589810:PGK589810 PQF589810:PQG589810 QAB589810:QAC589810 QJX589810:QJY589810 QTT589810:QTU589810 RDP589810:RDQ589810 RNL589810:RNM589810 RXH589810:RXI589810 SHD589810:SHE589810 SQZ589810:SRA589810 TAV589810:TAW589810 TKR589810:TKS589810 TUN589810:TUO589810 UEJ589810:UEK589810 UOF589810:UOG589810 UYB589810:UYC589810 VHX589810:VHY589810 VRT589810:VRU589810 WBP589810:WBQ589810 WLL589810:WLM589810 WVH589810:WVI589810 C655346:D655346 IV655346:IW655346 SR655346:SS655346 ACN655346:ACO655346 AMJ655346:AMK655346 AWF655346:AWG655346 BGB655346:BGC655346 BPX655346:BPY655346 BZT655346:BZU655346 CJP655346:CJQ655346 CTL655346:CTM655346 DDH655346:DDI655346 DND655346:DNE655346 DWZ655346:DXA655346 EGV655346:EGW655346 EQR655346:EQS655346 FAN655346:FAO655346 FKJ655346:FKK655346 FUF655346:FUG655346 GEB655346:GEC655346 GNX655346:GNY655346 GXT655346:GXU655346 HHP655346:HHQ655346 HRL655346:HRM655346 IBH655346:IBI655346 ILD655346:ILE655346 IUZ655346:IVA655346 JEV655346:JEW655346 JOR655346:JOS655346 JYN655346:JYO655346 KIJ655346:KIK655346 KSF655346:KSG655346 LCB655346:LCC655346 LLX655346:LLY655346 LVT655346:LVU655346 MFP655346:MFQ655346 MPL655346:MPM655346 MZH655346:MZI655346 NJD655346:NJE655346 NSZ655346:NTA655346 OCV655346:OCW655346 OMR655346:OMS655346 OWN655346:OWO655346 PGJ655346:PGK655346 PQF655346:PQG655346 QAB655346:QAC655346 QJX655346:QJY655346 QTT655346:QTU655346 RDP655346:RDQ655346 RNL655346:RNM655346 RXH655346:RXI655346 SHD655346:SHE655346 SQZ655346:SRA655346 TAV655346:TAW655346 TKR655346:TKS655346 TUN655346:TUO655346 UEJ655346:UEK655346 UOF655346:UOG655346 UYB655346:UYC655346 VHX655346:VHY655346 VRT655346:VRU655346 WBP655346:WBQ655346 WLL655346:WLM655346 WVH655346:WVI655346 C720882:D720882 IV720882:IW720882 SR720882:SS720882 ACN720882:ACO720882 AMJ720882:AMK720882 AWF720882:AWG720882 BGB720882:BGC720882 BPX720882:BPY720882 BZT720882:BZU720882 CJP720882:CJQ720882 CTL720882:CTM720882 DDH720882:DDI720882 DND720882:DNE720882 DWZ720882:DXA720882 EGV720882:EGW720882 EQR720882:EQS720882 FAN720882:FAO720882 FKJ720882:FKK720882 FUF720882:FUG720882 GEB720882:GEC720882 GNX720882:GNY720882 GXT720882:GXU720882 HHP720882:HHQ720882 HRL720882:HRM720882 IBH720882:IBI720882 ILD720882:ILE720882 IUZ720882:IVA720882 JEV720882:JEW720882 JOR720882:JOS720882 JYN720882:JYO720882 KIJ720882:KIK720882 KSF720882:KSG720882 LCB720882:LCC720882 LLX720882:LLY720882 LVT720882:LVU720882 MFP720882:MFQ720882 MPL720882:MPM720882 MZH720882:MZI720882 NJD720882:NJE720882 NSZ720882:NTA720882 OCV720882:OCW720882 OMR720882:OMS720882 OWN720882:OWO720882 PGJ720882:PGK720882 PQF720882:PQG720882 QAB720882:QAC720882 QJX720882:QJY720882 QTT720882:QTU720882 RDP720882:RDQ720882 RNL720882:RNM720882 RXH720882:RXI720882 SHD720882:SHE720882 SQZ720882:SRA720882 TAV720882:TAW720882 TKR720882:TKS720882 TUN720882:TUO720882 UEJ720882:UEK720882 UOF720882:UOG720882 UYB720882:UYC720882 VHX720882:VHY720882 VRT720882:VRU720882 WBP720882:WBQ720882 WLL720882:WLM720882 WVH720882:WVI720882 C786418:D786418 IV786418:IW786418 SR786418:SS786418 ACN786418:ACO786418 AMJ786418:AMK786418 AWF786418:AWG786418 BGB786418:BGC786418 BPX786418:BPY786418 BZT786418:BZU786418 CJP786418:CJQ786418 CTL786418:CTM786418 DDH786418:DDI786418 DND786418:DNE786418 DWZ786418:DXA786418 EGV786418:EGW786418 EQR786418:EQS786418 FAN786418:FAO786418 FKJ786418:FKK786418 FUF786418:FUG786418 GEB786418:GEC786418 GNX786418:GNY786418 GXT786418:GXU786418 HHP786418:HHQ786418 HRL786418:HRM786418 IBH786418:IBI786418 ILD786418:ILE786418 IUZ786418:IVA786418 JEV786418:JEW786418 JOR786418:JOS786418 JYN786418:JYO786418 KIJ786418:KIK786418 KSF786418:KSG786418 LCB786418:LCC786418 LLX786418:LLY786418 LVT786418:LVU786418 MFP786418:MFQ786418 MPL786418:MPM786418 MZH786418:MZI786418 NJD786418:NJE786418 NSZ786418:NTA786418 OCV786418:OCW786418 OMR786418:OMS786418 OWN786418:OWO786418 PGJ786418:PGK786418 PQF786418:PQG786418 QAB786418:QAC786418 QJX786418:QJY786418 QTT786418:QTU786418 RDP786418:RDQ786418 RNL786418:RNM786418 RXH786418:RXI786418 SHD786418:SHE786418 SQZ786418:SRA786418 TAV786418:TAW786418 TKR786418:TKS786418 TUN786418:TUO786418 UEJ786418:UEK786418 UOF786418:UOG786418 UYB786418:UYC786418 VHX786418:VHY786418 VRT786418:VRU786418 WBP786418:WBQ786418 WLL786418:WLM786418 WVH786418:WVI786418 C851954:D851954 IV851954:IW851954 SR851954:SS851954 ACN851954:ACO851954 AMJ851954:AMK851954 AWF851954:AWG851954 BGB851954:BGC851954 BPX851954:BPY851954 BZT851954:BZU851954 CJP851954:CJQ851954 CTL851954:CTM851954 DDH851954:DDI851954 DND851954:DNE851954 DWZ851954:DXA851954 EGV851954:EGW851954 EQR851954:EQS851954 FAN851954:FAO851954 FKJ851954:FKK851954 FUF851954:FUG851954 GEB851954:GEC851954 GNX851954:GNY851954 GXT851954:GXU851954 HHP851954:HHQ851954 HRL851954:HRM851954 IBH851954:IBI851954 ILD851954:ILE851954 IUZ851954:IVA851954 JEV851954:JEW851954 JOR851954:JOS851954 JYN851954:JYO851954 KIJ851954:KIK851954 KSF851954:KSG851954 LCB851954:LCC851954 LLX851954:LLY851954 LVT851954:LVU851954 MFP851954:MFQ851954 MPL851954:MPM851954 MZH851954:MZI851954 NJD851954:NJE851954 NSZ851954:NTA851954 OCV851954:OCW851954 OMR851954:OMS851954 OWN851954:OWO851954 PGJ851954:PGK851954 PQF851954:PQG851954 QAB851954:QAC851954 QJX851954:QJY851954 QTT851954:QTU851954 RDP851954:RDQ851954 RNL851954:RNM851954 RXH851954:RXI851954 SHD851954:SHE851954 SQZ851954:SRA851954 TAV851954:TAW851954 TKR851954:TKS851954 TUN851954:TUO851954 UEJ851954:UEK851954 UOF851954:UOG851954 UYB851954:UYC851954 VHX851954:VHY851954 VRT851954:VRU851954 WBP851954:WBQ851954 WLL851954:WLM851954 WVH851954:WVI851954 C917490:D917490 IV917490:IW917490 SR917490:SS917490 ACN917490:ACO917490 AMJ917490:AMK917490 AWF917490:AWG917490 BGB917490:BGC917490 BPX917490:BPY917490 BZT917490:BZU917490 CJP917490:CJQ917490 CTL917490:CTM917490 DDH917490:DDI917490 DND917490:DNE917490 DWZ917490:DXA917490 EGV917490:EGW917490 EQR917490:EQS917490 FAN917490:FAO917490 FKJ917490:FKK917490 FUF917490:FUG917490 GEB917490:GEC917490 GNX917490:GNY917490 GXT917490:GXU917490 HHP917490:HHQ917490 HRL917490:HRM917490 IBH917490:IBI917490 ILD917490:ILE917490 IUZ917490:IVA917490 JEV917490:JEW917490 JOR917490:JOS917490 JYN917490:JYO917490 KIJ917490:KIK917490 KSF917490:KSG917490 LCB917490:LCC917490 LLX917490:LLY917490 LVT917490:LVU917490 MFP917490:MFQ917490 MPL917490:MPM917490 MZH917490:MZI917490 NJD917490:NJE917490 NSZ917490:NTA917490 OCV917490:OCW917490 OMR917490:OMS917490 OWN917490:OWO917490 PGJ917490:PGK917490 PQF917490:PQG917490 QAB917490:QAC917490 QJX917490:QJY917490 QTT917490:QTU917490 RDP917490:RDQ917490 RNL917490:RNM917490 RXH917490:RXI917490 SHD917490:SHE917490 SQZ917490:SRA917490 TAV917490:TAW917490 TKR917490:TKS917490 TUN917490:TUO917490 UEJ917490:UEK917490 UOF917490:UOG917490 UYB917490:UYC917490 VHX917490:VHY917490 VRT917490:VRU917490 WBP917490:WBQ917490 WLL917490:WLM917490 WVH917490:WVI917490 C983026:D983026 IV983026:IW983026 SR983026:SS983026 ACN983026:ACO983026 AMJ983026:AMK983026 AWF983026:AWG983026 BGB983026:BGC983026 BPX983026:BPY983026 BZT983026:BZU983026 CJP983026:CJQ983026 CTL983026:CTM983026 DDH983026:DDI983026 DND983026:DNE983026 DWZ983026:DXA983026 EGV983026:EGW983026 EQR983026:EQS983026 FAN983026:FAO983026 FKJ983026:FKK983026 FUF983026:FUG983026 GEB983026:GEC983026 GNX983026:GNY983026 GXT983026:GXU983026 HHP983026:HHQ983026 HRL983026:HRM983026 IBH983026:IBI983026 ILD983026:ILE983026 IUZ983026:IVA983026 JEV983026:JEW983026 JOR983026:JOS983026 JYN983026:JYO983026 KIJ983026:KIK983026 KSF983026:KSG983026 LCB983026:LCC983026 LLX983026:LLY983026 LVT983026:LVU983026 MFP983026:MFQ983026 MPL983026:MPM983026 MZH983026:MZI983026 NJD983026:NJE983026 NSZ983026:NTA983026 OCV983026:OCW983026 OMR983026:OMS983026 OWN983026:OWO983026 PGJ983026:PGK983026 PQF983026:PQG983026 QAB983026:QAC983026 QJX983026:QJY983026 QTT983026:QTU983026 RDP983026:RDQ983026 RNL983026:RNM983026 RXH983026:RXI983026 SHD983026:SHE983026 SQZ983026:SRA983026 TAV983026:TAW983026 TKR983026:TKS983026 TUN983026:TUO983026 UEJ983026:UEK983026 UOF983026:UOG983026 UYB983026:UYC983026 VHX983026:VHY983026 VRT983026:VRU983026 WBP983026:WBQ983026 WLL983026:WLM983026 WVH7:WVI7 WLL7:WLM7 WBP7:WBQ7 VRT7:VRU7 VHX7:VHY7 UYB7:UYC7 UOF7:UOG7 UEJ7:UEK7 TUN7:TUO7 TKR7:TKS7 TAV7:TAW7 SQZ7:SRA7 SHD7:SHE7 RXH7:RXI7 RNL7:RNM7 RDP7:RDQ7 QTT7:QTU7 QJX7:QJY7 QAB7:QAC7 PQF7:PQG7 PGJ7:PGK7 OWN7:OWO7 OMR7:OMS7 OCV7:OCW7 NSZ7:NTA7 NJD7:NJE7 MZH7:MZI7 MPL7:MPM7 MFP7:MFQ7 LVT7:LVU7 LLX7:LLY7 LCB7:LCC7 KSF7:KSG7 KIJ7:KIK7 JYN7:JYO7 JOR7:JOS7 JEV7:JEW7 IUZ7:IVA7 ILD7:ILE7 IBH7:IBI7 HRL7:HRM7 HHP7:HHQ7 GXT7:GXU7 GNX7:GNY7 GEB7:GEC7 FUF7:FUG7 FKJ7:FKK7 FAN7:FAO7 EQR7:EQS7 EGV7:EGW7 DWZ7:DXA7 DND7:DNE7 DDH7:DDI7 CTL7:CTM7 CJP7:CJQ7 BZT7:BZU7 BPX7:BPY7 BGB7:BGC7 AWF7:AWG7 AMJ7:AMK7 ACN7:ACO7 SR7:SS7 IV7:IW7">
      <formula1>NHSBOARDS11</formula1>
    </dataValidation>
  </dataValidations>
  <hyperlinks>
    <hyperlink ref="A6" r:id="rId1"/>
  </hyperlinks>
  <pageMargins left="0.7" right="0.7" top="0.75" bottom="0.75" header="0.3" footer="0.3"/>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M117"/>
  <sheetViews>
    <sheetView workbookViewId="0">
      <selection activeCell="C7" sqref="C7:D7"/>
    </sheetView>
  </sheetViews>
  <sheetFormatPr defaultRowHeight="15"/>
  <cols>
    <col min="1" max="1" width="18.28515625" style="6" customWidth="1"/>
    <col min="2" max="2" width="13.5703125" style="6" customWidth="1"/>
    <col min="3" max="3" width="15.140625" style="6" customWidth="1"/>
    <col min="4" max="5" width="12.85546875" style="6" customWidth="1"/>
    <col min="6" max="6" width="12.5703125" style="6" customWidth="1"/>
    <col min="7" max="7" width="10.85546875" style="6" customWidth="1"/>
    <col min="8" max="10" width="14.5703125" style="6" customWidth="1"/>
    <col min="11" max="11" width="12.85546875" style="6" customWidth="1"/>
    <col min="12" max="256" width="9.140625" style="6"/>
    <col min="257" max="257" width="18.28515625" style="6" customWidth="1"/>
    <col min="258" max="258" width="13.5703125" style="6" customWidth="1"/>
    <col min="259" max="259" width="15.140625" style="6" customWidth="1"/>
    <col min="260" max="261" width="12.85546875" style="6" customWidth="1"/>
    <col min="262" max="262" width="12.5703125" style="6" customWidth="1"/>
    <col min="263" max="263" width="10.85546875" style="6" customWidth="1"/>
    <col min="264" max="266" width="14.5703125" style="6" customWidth="1"/>
    <col min="267" max="267" width="12.85546875" style="6" customWidth="1"/>
    <col min="268" max="512" width="9.140625" style="6"/>
    <col min="513" max="513" width="18.28515625" style="6" customWidth="1"/>
    <col min="514" max="514" width="13.5703125" style="6" customWidth="1"/>
    <col min="515" max="515" width="15.140625" style="6" customWidth="1"/>
    <col min="516" max="517" width="12.85546875" style="6" customWidth="1"/>
    <col min="518" max="518" width="12.5703125" style="6" customWidth="1"/>
    <col min="519" max="519" width="10.85546875" style="6" customWidth="1"/>
    <col min="520" max="522" width="14.5703125" style="6" customWidth="1"/>
    <col min="523" max="523" width="12.85546875" style="6" customWidth="1"/>
    <col min="524" max="768" width="9.140625" style="6"/>
    <col min="769" max="769" width="18.28515625" style="6" customWidth="1"/>
    <col min="770" max="770" width="13.5703125" style="6" customWidth="1"/>
    <col min="771" max="771" width="15.140625" style="6" customWidth="1"/>
    <col min="772" max="773" width="12.85546875" style="6" customWidth="1"/>
    <col min="774" max="774" width="12.5703125" style="6" customWidth="1"/>
    <col min="775" max="775" width="10.85546875" style="6" customWidth="1"/>
    <col min="776" max="778" width="14.5703125" style="6" customWidth="1"/>
    <col min="779" max="779" width="12.85546875" style="6" customWidth="1"/>
    <col min="780" max="1024" width="9.140625" style="6"/>
    <col min="1025" max="1025" width="18.28515625" style="6" customWidth="1"/>
    <col min="1026" max="1026" width="13.5703125" style="6" customWidth="1"/>
    <col min="1027" max="1027" width="15.140625" style="6" customWidth="1"/>
    <col min="1028" max="1029" width="12.85546875" style="6" customWidth="1"/>
    <col min="1030" max="1030" width="12.5703125" style="6" customWidth="1"/>
    <col min="1031" max="1031" width="10.85546875" style="6" customWidth="1"/>
    <col min="1032" max="1034" width="14.5703125" style="6" customWidth="1"/>
    <col min="1035" max="1035" width="12.85546875" style="6" customWidth="1"/>
    <col min="1036" max="1280" width="9.140625" style="6"/>
    <col min="1281" max="1281" width="18.28515625" style="6" customWidth="1"/>
    <col min="1282" max="1282" width="13.5703125" style="6" customWidth="1"/>
    <col min="1283" max="1283" width="15.140625" style="6" customWidth="1"/>
    <col min="1284" max="1285" width="12.85546875" style="6" customWidth="1"/>
    <col min="1286" max="1286" width="12.5703125" style="6" customWidth="1"/>
    <col min="1287" max="1287" width="10.85546875" style="6" customWidth="1"/>
    <col min="1288" max="1290" width="14.5703125" style="6" customWidth="1"/>
    <col min="1291" max="1291" width="12.85546875" style="6" customWidth="1"/>
    <col min="1292" max="1536" width="9.140625" style="6"/>
    <col min="1537" max="1537" width="18.28515625" style="6" customWidth="1"/>
    <col min="1538" max="1538" width="13.5703125" style="6" customWidth="1"/>
    <col min="1539" max="1539" width="15.140625" style="6" customWidth="1"/>
    <col min="1540" max="1541" width="12.85546875" style="6" customWidth="1"/>
    <col min="1542" max="1542" width="12.5703125" style="6" customWidth="1"/>
    <col min="1543" max="1543" width="10.85546875" style="6" customWidth="1"/>
    <col min="1544" max="1546" width="14.5703125" style="6" customWidth="1"/>
    <col min="1547" max="1547" width="12.85546875" style="6" customWidth="1"/>
    <col min="1548" max="1792" width="9.140625" style="6"/>
    <col min="1793" max="1793" width="18.28515625" style="6" customWidth="1"/>
    <col min="1794" max="1794" width="13.5703125" style="6" customWidth="1"/>
    <col min="1795" max="1795" width="15.140625" style="6" customWidth="1"/>
    <col min="1796" max="1797" width="12.85546875" style="6" customWidth="1"/>
    <col min="1798" max="1798" width="12.5703125" style="6" customWidth="1"/>
    <col min="1799" max="1799" width="10.85546875" style="6" customWidth="1"/>
    <col min="1800" max="1802" width="14.5703125" style="6" customWidth="1"/>
    <col min="1803" max="1803" width="12.85546875" style="6" customWidth="1"/>
    <col min="1804" max="2048" width="9.140625" style="6"/>
    <col min="2049" max="2049" width="18.28515625" style="6" customWidth="1"/>
    <col min="2050" max="2050" width="13.5703125" style="6" customWidth="1"/>
    <col min="2051" max="2051" width="15.140625" style="6" customWidth="1"/>
    <col min="2052" max="2053" width="12.85546875" style="6" customWidth="1"/>
    <col min="2054" max="2054" width="12.5703125" style="6" customWidth="1"/>
    <col min="2055" max="2055" width="10.85546875" style="6" customWidth="1"/>
    <col min="2056" max="2058" width="14.5703125" style="6" customWidth="1"/>
    <col min="2059" max="2059" width="12.85546875" style="6" customWidth="1"/>
    <col min="2060" max="2304" width="9.140625" style="6"/>
    <col min="2305" max="2305" width="18.28515625" style="6" customWidth="1"/>
    <col min="2306" max="2306" width="13.5703125" style="6" customWidth="1"/>
    <col min="2307" max="2307" width="15.140625" style="6" customWidth="1"/>
    <col min="2308" max="2309" width="12.85546875" style="6" customWidth="1"/>
    <col min="2310" max="2310" width="12.5703125" style="6" customWidth="1"/>
    <col min="2311" max="2311" width="10.85546875" style="6" customWidth="1"/>
    <col min="2312" max="2314" width="14.5703125" style="6" customWidth="1"/>
    <col min="2315" max="2315" width="12.85546875" style="6" customWidth="1"/>
    <col min="2316" max="2560" width="9.140625" style="6"/>
    <col min="2561" max="2561" width="18.28515625" style="6" customWidth="1"/>
    <col min="2562" max="2562" width="13.5703125" style="6" customWidth="1"/>
    <col min="2563" max="2563" width="15.140625" style="6" customWidth="1"/>
    <col min="2564" max="2565" width="12.85546875" style="6" customWidth="1"/>
    <col min="2566" max="2566" width="12.5703125" style="6" customWidth="1"/>
    <col min="2567" max="2567" width="10.85546875" style="6" customWidth="1"/>
    <col min="2568" max="2570" width="14.5703125" style="6" customWidth="1"/>
    <col min="2571" max="2571" width="12.85546875" style="6" customWidth="1"/>
    <col min="2572" max="2816" width="9.140625" style="6"/>
    <col min="2817" max="2817" width="18.28515625" style="6" customWidth="1"/>
    <col min="2818" max="2818" width="13.5703125" style="6" customWidth="1"/>
    <col min="2819" max="2819" width="15.140625" style="6" customWidth="1"/>
    <col min="2820" max="2821" width="12.85546875" style="6" customWidth="1"/>
    <col min="2822" max="2822" width="12.5703125" style="6" customWidth="1"/>
    <col min="2823" max="2823" width="10.85546875" style="6" customWidth="1"/>
    <col min="2824" max="2826" width="14.5703125" style="6" customWidth="1"/>
    <col min="2827" max="2827" width="12.85546875" style="6" customWidth="1"/>
    <col min="2828" max="3072" width="9.140625" style="6"/>
    <col min="3073" max="3073" width="18.28515625" style="6" customWidth="1"/>
    <col min="3074" max="3074" width="13.5703125" style="6" customWidth="1"/>
    <col min="3075" max="3075" width="15.140625" style="6" customWidth="1"/>
    <col min="3076" max="3077" width="12.85546875" style="6" customWidth="1"/>
    <col min="3078" max="3078" width="12.5703125" style="6" customWidth="1"/>
    <col min="3079" max="3079" width="10.85546875" style="6" customWidth="1"/>
    <col min="3080" max="3082" width="14.5703125" style="6" customWidth="1"/>
    <col min="3083" max="3083" width="12.85546875" style="6" customWidth="1"/>
    <col min="3084" max="3328" width="9.140625" style="6"/>
    <col min="3329" max="3329" width="18.28515625" style="6" customWidth="1"/>
    <col min="3330" max="3330" width="13.5703125" style="6" customWidth="1"/>
    <col min="3331" max="3331" width="15.140625" style="6" customWidth="1"/>
    <col min="3332" max="3333" width="12.85546875" style="6" customWidth="1"/>
    <col min="3334" max="3334" width="12.5703125" style="6" customWidth="1"/>
    <col min="3335" max="3335" width="10.85546875" style="6" customWidth="1"/>
    <col min="3336" max="3338" width="14.5703125" style="6" customWidth="1"/>
    <col min="3339" max="3339" width="12.85546875" style="6" customWidth="1"/>
    <col min="3340" max="3584" width="9.140625" style="6"/>
    <col min="3585" max="3585" width="18.28515625" style="6" customWidth="1"/>
    <col min="3586" max="3586" width="13.5703125" style="6" customWidth="1"/>
    <col min="3587" max="3587" width="15.140625" style="6" customWidth="1"/>
    <col min="3588" max="3589" width="12.85546875" style="6" customWidth="1"/>
    <col min="3590" max="3590" width="12.5703125" style="6" customWidth="1"/>
    <col min="3591" max="3591" width="10.85546875" style="6" customWidth="1"/>
    <col min="3592" max="3594" width="14.5703125" style="6" customWidth="1"/>
    <col min="3595" max="3595" width="12.85546875" style="6" customWidth="1"/>
    <col min="3596" max="3840" width="9.140625" style="6"/>
    <col min="3841" max="3841" width="18.28515625" style="6" customWidth="1"/>
    <col min="3842" max="3842" width="13.5703125" style="6" customWidth="1"/>
    <col min="3843" max="3843" width="15.140625" style="6" customWidth="1"/>
    <col min="3844" max="3845" width="12.85546875" style="6" customWidth="1"/>
    <col min="3846" max="3846" width="12.5703125" style="6" customWidth="1"/>
    <col min="3847" max="3847" width="10.85546875" style="6" customWidth="1"/>
    <col min="3848" max="3850" width="14.5703125" style="6" customWidth="1"/>
    <col min="3851" max="3851" width="12.85546875" style="6" customWidth="1"/>
    <col min="3852" max="4096" width="9.140625" style="6"/>
    <col min="4097" max="4097" width="18.28515625" style="6" customWidth="1"/>
    <col min="4098" max="4098" width="13.5703125" style="6" customWidth="1"/>
    <col min="4099" max="4099" width="15.140625" style="6" customWidth="1"/>
    <col min="4100" max="4101" width="12.85546875" style="6" customWidth="1"/>
    <col min="4102" max="4102" width="12.5703125" style="6" customWidth="1"/>
    <col min="4103" max="4103" width="10.85546875" style="6" customWidth="1"/>
    <col min="4104" max="4106" width="14.5703125" style="6" customWidth="1"/>
    <col min="4107" max="4107" width="12.85546875" style="6" customWidth="1"/>
    <col min="4108" max="4352" width="9.140625" style="6"/>
    <col min="4353" max="4353" width="18.28515625" style="6" customWidth="1"/>
    <col min="4354" max="4354" width="13.5703125" style="6" customWidth="1"/>
    <col min="4355" max="4355" width="15.140625" style="6" customWidth="1"/>
    <col min="4356" max="4357" width="12.85546875" style="6" customWidth="1"/>
    <col min="4358" max="4358" width="12.5703125" style="6" customWidth="1"/>
    <col min="4359" max="4359" width="10.85546875" style="6" customWidth="1"/>
    <col min="4360" max="4362" width="14.5703125" style="6" customWidth="1"/>
    <col min="4363" max="4363" width="12.85546875" style="6" customWidth="1"/>
    <col min="4364" max="4608" width="9.140625" style="6"/>
    <col min="4609" max="4609" width="18.28515625" style="6" customWidth="1"/>
    <col min="4610" max="4610" width="13.5703125" style="6" customWidth="1"/>
    <col min="4611" max="4611" width="15.140625" style="6" customWidth="1"/>
    <col min="4612" max="4613" width="12.85546875" style="6" customWidth="1"/>
    <col min="4614" max="4614" width="12.5703125" style="6" customWidth="1"/>
    <col min="4615" max="4615" width="10.85546875" style="6" customWidth="1"/>
    <col min="4616" max="4618" width="14.5703125" style="6" customWidth="1"/>
    <col min="4619" max="4619" width="12.85546875" style="6" customWidth="1"/>
    <col min="4620" max="4864" width="9.140625" style="6"/>
    <col min="4865" max="4865" width="18.28515625" style="6" customWidth="1"/>
    <col min="4866" max="4866" width="13.5703125" style="6" customWidth="1"/>
    <col min="4867" max="4867" width="15.140625" style="6" customWidth="1"/>
    <col min="4868" max="4869" width="12.85546875" style="6" customWidth="1"/>
    <col min="4870" max="4870" width="12.5703125" style="6" customWidth="1"/>
    <col min="4871" max="4871" width="10.85546875" style="6" customWidth="1"/>
    <col min="4872" max="4874" width="14.5703125" style="6" customWidth="1"/>
    <col min="4875" max="4875" width="12.85546875" style="6" customWidth="1"/>
    <col min="4876" max="5120" width="9.140625" style="6"/>
    <col min="5121" max="5121" width="18.28515625" style="6" customWidth="1"/>
    <col min="5122" max="5122" width="13.5703125" style="6" customWidth="1"/>
    <col min="5123" max="5123" width="15.140625" style="6" customWidth="1"/>
    <col min="5124" max="5125" width="12.85546875" style="6" customWidth="1"/>
    <col min="5126" max="5126" width="12.5703125" style="6" customWidth="1"/>
    <col min="5127" max="5127" width="10.85546875" style="6" customWidth="1"/>
    <col min="5128" max="5130" width="14.5703125" style="6" customWidth="1"/>
    <col min="5131" max="5131" width="12.85546875" style="6" customWidth="1"/>
    <col min="5132" max="5376" width="9.140625" style="6"/>
    <col min="5377" max="5377" width="18.28515625" style="6" customWidth="1"/>
    <col min="5378" max="5378" width="13.5703125" style="6" customWidth="1"/>
    <col min="5379" max="5379" width="15.140625" style="6" customWidth="1"/>
    <col min="5380" max="5381" width="12.85546875" style="6" customWidth="1"/>
    <col min="5382" max="5382" width="12.5703125" style="6" customWidth="1"/>
    <col min="5383" max="5383" width="10.85546875" style="6" customWidth="1"/>
    <col min="5384" max="5386" width="14.5703125" style="6" customWidth="1"/>
    <col min="5387" max="5387" width="12.85546875" style="6" customWidth="1"/>
    <col min="5388" max="5632" width="9.140625" style="6"/>
    <col min="5633" max="5633" width="18.28515625" style="6" customWidth="1"/>
    <col min="5634" max="5634" width="13.5703125" style="6" customWidth="1"/>
    <col min="5635" max="5635" width="15.140625" style="6" customWidth="1"/>
    <col min="5636" max="5637" width="12.85546875" style="6" customWidth="1"/>
    <col min="5638" max="5638" width="12.5703125" style="6" customWidth="1"/>
    <col min="5639" max="5639" width="10.85546875" style="6" customWidth="1"/>
    <col min="5640" max="5642" width="14.5703125" style="6" customWidth="1"/>
    <col min="5643" max="5643" width="12.85546875" style="6" customWidth="1"/>
    <col min="5644" max="5888" width="9.140625" style="6"/>
    <col min="5889" max="5889" width="18.28515625" style="6" customWidth="1"/>
    <col min="5890" max="5890" width="13.5703125" style="6" customWidth="1"/>
    <col min="5891" max="5891" width="15.140625" style="6" customWidth="1"/>
    <col min="5892" max="5893" width="12.85546875" style="6" customWidth="1"/>
    <col min="5894" max="5894" width="12.5703125" style="6" customWidth="1"/>
    <col min="5895" max="5895" width="10.85546875" style="6" customWidth="1"/>
    <col min="5896" max="5898" width="14.5703125" style="6" customWidth="1"/>
    <col min="5899" max="5899" width="12.85546875" style="6" customWidth="1"/>
    <col min="5900" max="6144" width="9.140625" style="6"/>
    <col min="6145" max="6145" width="18.28515625" style="6" customWidth="1"/>
    <col min="6146" max="6146" width="13.5703125" style="6" customWidth="1"/>
    <col min="6147" max="6147" width="15.140625" style="6" customWidth="1"/>
    <col min="6148" max="6149" width="12.85546875" style="6" customWidth="1"/>
    <col min="6150" max="6150" width="12.5703125" style="6" customWidth="1"/>
    <col min="6151" max="6151" width="10.85546875" style="6" customWidth="1"/>
    <col min="6152" max="6154" width="14.5703125" style="6" customWidth="1"/>
    <col min="6155" max="6155" width="12.85546875" style="6" customWidth="1"/>
    <col min="6156" max="6400" width="9.140625" style="6"/>
    <col min="6401" max="6401" width="18.28515625" style="6" customWidth="1"/>
    <col min="6402" max="6402" width="13.5703125" style="6" customWidth="1"/>
    <col min="6403" max="6403" width="15.140625" style="6" customWidth="1"/>
    <col min="6404" max="6405" width="12.85546875" style="6" customWidth="1"/>
    <col min="6406" max="6406" width="12.5703125" style="6" customWidth="1"/>
    <col min="6407" max="6407" width="10.85546875" style="6" customWidth="1"/>
    <col min="6408" max="6410" width="14.5703125" style="6" customWidth="1"/>
    <col min="6411" max="6411" width="12.85546875" style="6" customWidth="1"/>
    <col min="6412" max="6656" width="9.140625" style="6"/>
    <col min="6657" max="6657" width="18.28515625" style="6" customWidth="1"/>
    <col min="6658" max="6658" width="13.5703125" style="6" customWidth="1"/>
    <col min="6659" max="6659" width="15.140625" style="6" customWidth="1"/>
    <col min="6660" max="6661" width="12.85546875" style="6" customWidth="1"/>
    <col min="6662" max="6662" width="12.5703125" style="6" customWidth="1"/>
    <col min="6663" max="6663" width="10.85546875" style="6" customWidth="1"/>
    <col min="6664" max="6666" width="14.5703125" style="6" customWidth="1"/>
    <col min="6667" max="6667" width="12.85546875" style="6" customWidth="1"/>
    <col min="6668" max="6912" width="9.140625" style="6"/>
    <col min="6913" max="6913" width="18.28515625" style="6" customWidth="1"/>
    <col min="6914" max="6914" width="13.5703125" style="6" customWidth="1"/>
    <col min="6915" max="6915" width="15.140625" style="6" customWidth="1"/>
    <col min="6916" max="6917" width="12.85546875" style="6" customWidth="1"/>
    <col min="6918" max="6918" width="12.5703125" style="6" customWidth="1"/>
    <col min="6919" max="6919" width="10.85546875" style="6" customWidth="1"/>
    <col min="6920" max="6922" width="14.5703125" style="6" customWidth="1"/>
    <col min="6923" max="6923" width="12.85546875" style="6" customWidth="1"/>
    <col min="6924" max="7168" width="9.140625" style="6"/>
    <col min="7169" max="7169" width="18.28515625" style="6" customWidth="1"/>
    <col min="7170" max="7170" width="13.5703125" style="6" customWidth="1"/>
    <col min="7171" max="7171" width="15.140625" style="6" customWidth="1"/>
    <col min="7172" max="7173" width="12.85546875" style="6" customWidth="1"/>
    <col min="7174" max="7174" width="12.5703125" style="6" customWidth="1"/>
    <col min="7175" max="7175" width="10.85546875" style="6" customWidth="1"/>
    <col min="7176" max="7178" width="14.5703125" style="6" customWidth="1"/>
    <col min="7179" max="7179" width="12.85546875" style="6" customWidth="1"/>
    <col min="7180" max="7424" width="9.140625" style="6"/>
    <col min="7425" max="7425" width="18.28515625" style="6" customWidth="1"/>
    <col min="7426" max="7426" width="13.5703125" style="6" customWidth="1"/>
    <col min="7427" max="7427" width="15.140625" style="6" customWidth="1"/>
    <col min="7428" max="7429" width="12.85546875" style="6" customWidth="1"/>
    <col min="7430" max="7430" width="12.5703125" style="6" customWidth="1"/>
    <col min="7431" max="7431" width="10.85546875" style="6" customWidth="1"/>
    <col min="7432" max="7434" width="14.5703125" style="6" customWidth="1"/>
    <col min="7435" max="7435" width="12.85546875" style="6" customWidth="1"/>
    <col min="7436" max="7680" width="9.140625" style="6"/>
    <col min="7681" max="7681" width="18.28515625" style="6" customWidth="1"/>
    <col min="7682" max="7682" width="13.5703125" style="6" customWidth="1"/>
    <col min="7683" max="7683" width="15.140625" style="6" customWidth="1"/>
    <col min="7684" max="7685" width="12.85546875" style="6" customWidth="1"/>
    <col min="7686" max="7686" width="12.5703125" style="6" customWidth="1"/>
    <col min="7687" max="7687" width="10.85546875" style="6" customWidth="1"/>
    <col min="7688" max="7690" width="14.5703125" style="6" customWidth="1"/>
    <col min="7691" max="7691" width="12.85546875" style="6" customWidth="1"/>
    <col min="7692" max="7936" width="9.140625" style="6"/>
    <col min="7937" max="7937" width="18.28515625" style="6" customWidth="1"/>
    <col min="7938" max="7938" width="13.5703125" style="6" customWidth="1"/>
    <col min="7939" max="7939" width="15.140625" style="6" customWidth="1"/>
    <col min="7940" max="7941" width="12.85546875" style="6" customWidth="1"/>
    <col min="7942" max="7942" width="12.5703125" style="6" customWidth="1"/>
    <col min="7943" max="7943" width="10.85546875" style="6" customWidth="1"/>
    <col min="7944" max="7946" width="14.5703125" style="6" customWidth="1"/>
    <col min="7947" max="7947" width="12.85546875" style="6" customWidth="1"/>
    <col min="7948" max="8192" width="9.140625" style="6"/>
    <col min="8193" max="8193" width="18.28515625" style="6" customWidth="1"/>
    <col min="8194" max="8194" width="13.5703125" style="6" customWidth="1"/>
    <col min="8195" max="8195" width="15.140625" style="6" customWidth="1"/>
    <col min="8196" max="8197" width="12.85546875" style="6" customWidth="1"/>
    <col min="8198" max="8198" width="12.5703125" style="6" customWidth="1"/>
    <col min="8199" max="8199" width="10.85546875" style="6" customWidth="1"/>
    <col min="8200" max="8202" width="14.5703125" style="6" customWidth="1"/>
    <col min="8203" max="8203" width="12.85546875" style="6" customWidth="1"/>
    <col min="8204" max="8448" width="9.140625" style="6"/>
    <col min="8449" max="8449" width="18.28515625" style="6" customWidth="1"/>
    <col min="8450" max="8450" width="13.5703125" style="6" customWidth="1"/>
    <col min="8451" max="8451" width="15.140625" style="6" customWidth="1"/>
    <col min="8452" max="8453" width="12.85546875" style="6" customWidth="1"/>
    <col min="8454" max="8454" width="12.5703125" style="6" customWidth="1"/>
    <col min="8455" max="8455" width="10.85546875" style="6" customWidth="1"/>
    <col min="8456" max="8458" width="14.5703125" style="6" customWidth="1"/>
    <col min="8459" max="8459" width="12.85546875" style="6" customWidth="1"/>
    <col min="8460" max="8704" width="9.140625" style="6"/>
    <col min="8705" max="8705" width="18.28515625" style="6" customWidth="1"/>
    <col min="8706" max="8706" width="13.5703125" style="6" customWidth="1"/>
    <col min="8707" max="8707" width="15.140625" style="6" customWidth="1"/>
    <col min="8708" max="8709" width="12.85546875" style="6" customWidth="1"/>
    <col min="8710" max="8710" width="12.5703125" style="6" customWidth="1"/>
    <col min="8711" max="8711" width="10.85546875" style="6" customWidth="1"/>
    <col min="8712" max="8714" width="14.5703125" style="6" customWidth="1"/>
    <col min="8715" max="8715" width="12.85546875" style="6" customWidth="1"/>
    <col min="8716" max="8960" width="9.140625" style="6"/>
    <col min="8961" max="8961" width="18.28515625" style="6" customWidth="1"/>
    <col min="8962" max="8962" width="13.5703125" style="6" customWidth="1"/>
    <col min="8963" max="8963" width="15.140625" style="6" customWidth="1"/>
    <col min="8964" max="8965" width="12.85546875" style="6" customWidth="1"/>
    <col min="8966" max="8966" width="12.5703125" style="6" customWidth="1"/>
    <col min="8967" max="8967" width="10.85546875" style="6" customWidth="1"/>
    <col min="8968" max="8970" width="14.5703125" style="6" customWidth="1"/>
    <col min="8971" max="8971" width="12.85546875" style="6" customWidth="1"/>
    <col min="8972" max="9216" width="9.140625" style="6"/>
    <col min="9217" max="9217" width="18.28515625" style="6" customWidth="1"/>
    <col min="9218" max="9218" width="13.5703125" style="6" customWidth="1"/>
    <col min="9219" max="9219" width="15.140625" style="6" customWidth="1"/>
    <col min="9220" max="9221" width="12.85546875" style="6" customWidth="1"/>
    <col min="9222" max="9222" width="12.5703125" style="6" customWidth="1"/>
    <col min="9223" max="9223" width="10.85546875" style="6" customWidth="1"/>
    <col min="9224" max="9226" width="14.5703125" style="6" customWidth="1"/>
    <col min="9227" max="9227" width="12.85546875" style="6" customWidth="1"/>
    <col min="9228" max="9472" width="9.140625" style="6"/>
    <col min="9473" max="9473" width="18.28515625" style="6" customWidth="1"/>
    <col min="9474" max="9474" width="13.5703125" style="6" customWidth="1"/>
    <col min="9475" max="9475" width="15.140625" style="6" customWidth="1"/>
    <col min="9476" max="9477" width="12.85546875" style="6" customWidth="1"/>
    <col min="9478" max="9478" width="12.5703125" style="6" customWidth="1"/>
    <col min="9479" max="9479" width="10.85546875" style="6" customWidth="1"/>
    <col min="9480" max="9482" width="14.5703125" style="6" customWidth="1"/>
    <col min="9483" max="9483" width="12.85546875" style="6" customWidth="1"/>
    <col min="9484" max="9728" width="9.140625" style="6"/>
    <col min="9729" max="9729" width="18.28515625" style="6" customWidth="1"/>
    <col min="9730" max="9730" width="13.5703125" style="6" customWidth="1"/>
    <col min="9731" max="9731" width="15.140625" style="6" customWidth="1"/>
    <col min="9732" max="9733" width="12.85546875" style="6" customWidth="1"/>
    <col min="9734" max="9734" width="12.5703125" style="6" customWidth="1"/>
    <col min="9735" max="9735" width="10.85546875" style="6" customWidth="1"/>
    <col min="9736" max="9738" width="14.5703125" style="6" customWidth="1"/>
    <col min="9739" max="9739" width="12.85546875" style="6" customWidth="1"/>
    <col min="9740" max="9984" width="9.140625" style="6"/>
    <col min="9985" max="9985" width="18.28515625" style="6" customWidth="1"/>
    <col min="9986" max="9986" width="13.5703125" style="6" customWidth="1"/>
    <col min="9987" max="9987" width="15.140625" style="6" customWidth="1"/>
    <col min="9988" max="9989" width="12.85546875" style="6" customWidth="1"/>
    <col min="9990" max="9990" width="12.5703125" style="6" customWidth="1"/>
    <col min="9991" max="9991" width="10.85546875" style="6" customWidth="1"/>
    <col min="9992" max="9994" width="14.5703125" style="6" customWidth="1"/>
    <col min="9995" max="9995" width="12.85546875" style="6" customWidth="1"/>
    <col min="9996" max="10240" width="9.140625" style="6"/>
    <col min="10241" max="10241" width="18.28515625" style="6" customWidth="1"/>
    <col min="10242" max="10242" width="13.5703125" style="6" customWidth="1"/>
    <col min="10243" max="10243" width="15.140625" style="6" customWidth="1"/>
    <col min="10244" max="10245" width="12.85546875" style="6" customWidth="1"/>
    <col min="10246" max="10246" width="12.5703125" style="6" customWidth="1"/>
    <col min="10247" max="10247" width="10.85546875" style="6" customWidth="1"/>
    <col min="10248" max="10250" width="14.5703125" style="6" customWidth="1"/>
    <col min="10251" max="10251" width="12.85546875" style="6" customWidth="1"/>
    <col min="10252" max="10496" width="9.140625" style="6"/>
    <col min="10497" max="10497" width="18.28515625" style="6" customWidth="1"/>
    <col min="10498" max="10498" width="13.5703125" style="6" customWidth="1"/>
    <col min="10499" max="10499" width="15.140625" style="6" customWidth="1"/>
    <col min="10500" max="10501" width="12.85546875" style="6" customWidth="1"/>
    <col min="10502" max="10502" width="12.5703125" style="6" customWidth="1"/>
    <col min="10503" max="10503" width="10.85546875" style="6" customWidth="1"/>
    <col min="10504" max="10506" width="14.5703125" style="6" customWidth="1"/>
    <col min="10507" max="10507" width="12.85546875" style="6" customWidth="1"/>
    <col min="10508" max="10752" width="9.140625" style="6"/>
    <col min="10753" max="10753" width="18.28515625" style="6" customWidth="1"/>
    <col min="10754" max="10754" width="13.5703125" style="6" customWidth="1"/>
    <col min="10755" max="10755" width="15.140625" style="6" customWidth="1"/>
    <col min="10756" max="10757" width="12.85546875" style="6" customWidth="1"/>
    <col min="10758" max="10758" width="12.5703125" style="6" customWidth="1"/>
    <col min="10759" max="10759" width="10.85546875" style="6" customWidth="1"/>
    <col min="10760" max="10762" width="14.5703125" style="6" customWidth="1"/>
    <col min="10763" max="10763" width="12.85546875" style="6" customWidth="1"/>
    <col min="10764" max="11008" width="9.140625" style="6"/>
    <col min="11009" max="11009" width="18.28515625" style="6" customWidth="1"/>
    <col min="11010" max="11010" width="13.5703125" style="6" customWidth="1"/>
    <col min="11011" max="11011" width="15.140625" style="6" customWidth="1"/>
    <col min="11012" max="11013" width="12.85546875" style="6" customWidth="1"/>
    <col min="11014" max="11014" width="12.5703125" style="6" customWidth="1"/>
    <col min="11015" max="11015" width="10.85546875" style="6" customWidth="1"/>
    <col min="11016" max="11018" width="14.5703125" style="6" customWidth="1"/>
    <col min="11019" max="11019" width="12.85546875" style="6" customWidth="1"/>
    <col min="11020" max="11264" width="9.140625" style="6"/>
    <col min="11265" max="11265" width="18.28515625" style="6" customWidth="1"/>
    <col min="11266" max="11266" width="13.5703125" style="6" customWidth="1"/>
    <col min="11267" max="11267" width="15.140625" style="6" customWidth="1"/>
    <col min="11268" max="11269" width="12.85546875" style="6" customWidth="1"/>
    <col min="11270" max="11270" width="12.5703125" style="6" customWidth="1"/>
    <col min="11271" max="11271" width="10.85546875" style="6" customWidth="1"/>
    <col min="11272" max="11274" width="14.5703125" style="6" customWidth="1"/>
    <col min="11275" max="11275" width="12.85546875" style="6" customWidth="1"/>
    <col min="11276" max="11520" width="9.140625" style="6"/>
    <col min="11521" max="11521" width="18.28515625" style="6" customWidth="1"/>
    <col min="11522" max="11522" width="13.5703125" style="6" customWidth="1"/>
    <col min="11523" max="11523" width="15.140625" style="6" customWidth="1"/>
    <col min="11524" max="11525" width="12.85546875" style="6" customWidth="1"/>
    <col min="11526" max="11526" width="12.5703125" style="6" customWidth="1"/>
    <col min="11527" max="11527" width="10.85546875" style="6" customWidth="1"/>
    <col min="11528" max="11530" width="14.5703125" style="6" customWidth="1"/>
    <col min="11531" max="11531" width="12.85546875" style="6" customWidth="1"/>
    <col min="11532" max="11776" width="9.140625" style="6"/>
    <col min="11777" max="11777" width="18.28515625" style="6" customWidth="1"/>
    <col min="11778" max="11778" width="13.5703125" style="6" customWidth="1"/>
    <col min="11779" max="11779" width="15.140625" style="6" customWidth="1"/>
    <col min="11780" max="11781" width="12.85546875" style="6" customWidth="1"/>
    <col min="11782" max="11782" width="12.5703125" style="6" customWidth="1"/>
    <col min="11783" max="11783" width="10.85546875" style="6" customWidth="1"/>
    <col min="11784" max="11786" width="14.5703125" style="6" customWidth="1"/>
    <col min="11787" max="11787" width="12.85546875" style="6" customWidth="1"/>
    <col min="11788" max="12032" width="9.140625" style="6"/>
    <col min="12033" max="12033" width="18.28515625" style="6" customWidth="1"/>
    <col min="12034" max="12034" width="13.5703125" style="6" customWidth="1"/>
    <col min="12035" max="12035" width="15.140625" style="6" customWidth="1"/>
    <col min="12036" max="12037" width="12.85546875" style="6" customWidth="1"/>
    <col min="12038" max="12038" width="12.5703125" style="6" customWidth="1"/>
    <col min="12039" max="12039" width="10.85546875" style="6" customWidth="1"/>
    <col min="12040" max="12042" width="14.5703125" style="6" customWidth="1"/>
    <col min="12043" max="12043" width="12.85546875" style="6" customWidth="1"/>
    <col min="12044" max="12288" width="9.140625" style="6"/>
    <col min="12289" max="12289" width="18.28515625" style="6" customWidth="1"/>
    <col min="12290" max="12290" width="13.5703125" style="6" customWidth="1"/>
    <col min="12291" max="12291" width="15.140625" style="6" customWidth="1"/>
    <col min="12292" max="12293" width="12.85546875" style="6" customWidth="1"/>
    <col min="12294" max="12294" width="12.5703125" style="6" customWidth="1"/>
    <col min="12295" max="12295" width="10.85546875" style="6" customWidth="1"/>
    <col min="12296" max="12298" width="14.5703125" style="6" customWidth="1"/>
    <col min="12299" max="12299" width="12.85546875" style="6" customWidth="1"/>
    <col min="12300" max="12544" width="9.140625" style="6"/>
    <col min="12545" max="12545" width="18.28515625" style="6" customWidth="1"/>
    <col min="12546" max="12546" width="13.5703125" style="6" customWidth="1"/>
    <col min="12547" max="12547" width="15.140625" style="6" customWidth="1"/>
    <col min="12548" max="12549" width="12.85546875" style="6" customWidth="1"/>
    <col min="12550" max="12550" width="12.5703125" style="6" customWidth="1"/>
    <col min="12551" max="12551" width="10.85546875" style="6" customWidth="1"/>
    <col min="12552" max="12554" width="14.5703125" style="6" customWidth="1"/>
    <col min="12555" max="12555" width="12.85546875" style="6" customWidth="1"/>
    <col min="12556" max="12800" width="9.140625" style="6"/>
    <col min="12801" max="12801" width="18.28515625" style="6" customWidth="1"/>
    <col min="12802" max="12802" width="13.5703125" style="6" customWidth="1"/>
    <col min="12803" max="12803" width="15.140625" style="6" customWidth="1"/>
    <col min="12804" max="12805" width="12.85546875" style="6" customWidth="1"/>
    <col min="12806" max="12806" width="12.5703125" style="6" customWidth="1"/>
    <col min="12807" max="12807" width="10.85546875" style="6" customWidth="1"/>
    <col min="12808" max="12810" width="14.5703125" style="6" customWidth="1"/>
    <col min="12811" max="12811" width="12.85546875" style="6" customWidth="1"/>
    <col min="12812" max="13056" width="9.140625" style="6"/>
    <col min="13057" max="13057" width="18.28515625" style="6" customWidth="1"/>
    <col min="13058" max="13058" width="13.5703125" style="6" customWidth="1"/>
    <col min="13059" max="13059" width="15.140625" style="6" customWidth="1"/>
    <col min="13060" max="13061" width="12.85546875" style="6" customWidth="1"/>
    <col min="13062" max="13062" width="12.5703125" style="6" customWidth="1"/>
    <col min="13063" max="13063" width="10.85546875" style="6" customWidth="1"/>
    <col min="13064" max="13066" width="14.5703125" style="6" customWidth="1"/>
    <col min="13067" max="13067" width="12.85546875" style="6" customWidth="1"/>
    <col min="13068" max="13312" width="9.140625" style="6"/>
    <col min="13313" max="13313" width="18.28515625" style="6" customWidth="1"/>
    <col min="13314" max="13314" width="13.5703125" style="6" customWidth="1"/>
    <col min="13315" max="13315" width="15.140625" style="6" customWidth="1"/>
    <col min="13316" max="13317" width="12.85546875" style="6" customWidth="1"/>
    <col min="13318" max="13318" width="12.5703125" style="6" customWidth="1"/>
    <col min="13319" max="13319" width="10.85546875" style="6" customWidth="1"/>
    <col min="13320" max="13322" width="14.5703125" style="6" customWidth="1"/>
    <col min="13323" max="13323" width="12.85546875" style="6" customWidth="1"/>
    <col min="13324" max="13568" width="9.140625" style="6"/>
    <col min="13569" max="13569" width="18.28515625" style="6" customWidth="1"/>
    <col min="13570" max="13570" width="13.5703125" style="6" customWidth="1"/>
    <col min="13571" max="13571" width="15.140625" style="6" customWidth="1"/>
    <col min="13572" max="13573" width="12.85546875" style="6" customWidth="1"/>
    <col min="13574" max="13574" width="12.5703125" style="6" customWidth="1"/>
    <col min="13575" max="13575" width="10.85546875" style="6" customWidth="1"/>
    <col min="13576" max="13578" width="14.5703125" style="6" customWidth="1"/>
    <col min="13579" max="13579" width="12.85546875" style="6" customWidth="1"/>
    <col min="13580" max="13824" width="9.140625" style="6"/>
    <col min="13825" max="13825" width="18.28515625" style="6" customWidth="1"/>
    <col min="13826" max="13826" width="13.5703125" style="6" customWidth="1"/>
    <col min="13827" max="13827" width="15.140625" style="6" customWidth="1"/>
    <col min="13828" max="13829" width="12.85546875" style="6" customWidth="1"/>
    <col min="13830" max="13830" width="12.5703125" style="6" customWidth="1"/>
    <col min="13831" max="13831" width="10.85546875" style="6" customWidth="1"/>
    <col min="13832" max="13834" width="14.5703125" style="6" customWidth="1"/>
    <col min="13835" max="13835" width="12.85546875" style="6" customWidth="1"/>
    <col min="13836" max="14080" width="9.140625" style="6"/>
    <col min="14081" max="14081" width="18.28515625" style="6" customWidth="1"/>
    <col min="14082" max="14082" width="13.5703125" style="6" customWidth="1"/>
    <col min="14083" max="14083" width="15.140625" style="6" customWidth="1"/>
    <col min="14084" max="14085" width="12.85546875" style="6" customWidth="1"/>
    <col min="14086" max="14086" width="12.5703125" style="6" customWidth="1"/>
    <col min="14087" max="14087" width="10.85546875" style="6" customWidth="1"/>
    <col min="14088" max="14090" width="14.5703125" style="6" customWidth="1"/>
    <col min="14091" max="14091" width="12.85546875" style="6" customWidth="1"/>
    <col min="14092" max="14336" width="9.140625" style="6"/>
    <col min="14337" max="14337" width="18.28515625" style="6" customWidth="1"/>
    <col min="14338" max="14338" width="13.5703125" style="6" customWidth="1"/>
    <col min="14339" max="14339" width="15.140625" style="6" customWidth="1"/>
    <col min="14340" max="14341" width="12.85546875" style="6" customWidth="1"/>
    <col min="14342" max="14342" width="12.5703125" style="6" customWidth="1"/>
    <col min="14343" max="14343" width="10.85546875" style="6" customWidth="1"/>
    <col min="14344" max="14346" width="14.5703125" style="6" customWidth="1"/>
    <col min="14347" max="14347" width="12.85546875" style="6" customWidth="1"/>
    <col min="14348" max="14592" width="9.140625" style="6"/>
    <col min="14593" max="14593" width="18.28515625" style="6" customWidth="1"/>
    <col min="14594" max="14594" width="13.5703125" style="6" customWidth="1"/>
    <col min="14595" max="14595" width="15.140625" style="6" customWidth="1"/>
    <col min="14596" max="14597" width="12.85546875" style="6" customWidth="1"/>
    <col min="14598" max="14598" width="12.5703125" style="6" customWidth="1"/>
    <col min="14599" max="14599" width="10.85546875" style="6" customWidth="1"/>
    <col min="14600" max="14602" width="14.5703125" style="6" customWidth="1"/>
    <col min="14603" max="14603" width="12.85546875" style="6" customWidth="1"/>
    <col min="14604" max="14848" width="9.140625" style="6"/>
    <col min="14849" max="14849" width="18.28515625" style="6" customWidth="1"/>
    <col min="14850" max="14850" width="13.5703125" style="6" customWidth="1"/>
    <col min="14851" max="14851" width="15.140625" style="6" customWidth="1"/>
    <col min="14852" max="14853" width="12.85546875" style="6" customWidth="1"/>
    <col min="14854" max="14854" width="12.5703125" style="6" customWidth="1"/>
    <col min="14855" max="14855" width="10.85546875" style="6" customWidth="1"/>
    <col min="14856" max="14858" width="14.5703125" style="6" customWidth="1"/>
    <col min="14859" max="14859" width="12.85546875" style="6" customWidth="1"/>
    <col min="14860" max="15104" width="9.140625" style="6"/>
    <col min="15105" max="15105" width="18.28515625" style="6" customWidth="1"/>
    <col min="15106" max="15106" width="13.5703125" style="6" customWidth="1"/>
    <col min="15107" max="15107" width="15.140625" style="6" customWidth="1"/>
    <col min="15108" max="15109" width="12.85546875" style="6" customWidth="1"/>
    <col min="15110" max="15110" width="12.5703125" style="6" customWidth="1"/>
    <col min="15111" max="15111" width="10.85546875" style="6" customWidth="1"/>
    <col min="15112" max="15114" width="14.5703125" style="6" customWidth="1"/>
    <col min="15115" max="15115" width="12.85546875" style="6" customWidth="1"/>
    <col min="15116" max="15360" width="9.140625" style="6"/>
    <col min="15361" max="15361" width="18.28515625" style="6" customWidth="1"/>
    <col min="15362" max="15362" width="13.5703125" style="6" customWidth="1"/>
    <col min="15363" max="15363" width="15.140625" style="6" customWidth="1"/>
    <col min="15364" max="15365" width="12.85546875" style="6" customWidth="1"/>
    <col min="15366" max="15366" width="12.5703125" style="6" customWidth="1"/>
    <col min="15367" max="15367" width="10.85546875" style="6" customWidth="1"/>
    <col min="15368" max="15370" width="14.5703125" style="6" customWidth="1"/>
    <col min="15371" max="15371" width="12.85546875" style="6" customWidth="1"/>
    <col min="15372" max="15616" width="9.140625" style="6"/>
    <col min="15617" max="15617" width="18.28515625" style="6" customWidth="1"/>
    <col min="15618" max="15618" width="13.5703125" style="6" customWidth="1"/>
    <col min="15619" max="15619" width="15.140625" style="6" customWidth="1"/>
    <col min="15620" max="15621" width="12.85546875" style="6" customWidth="1"/>
    <col min="15622" max="15622" width="12.5703125" style="6" customWidth="1"/>
    <col min="15623" max="15623" width="10.85546875" style="6" customWidth="1"/>
    <col min="15624" max="15626" width="14.5703125" style="6" customWidth="1"/>
    <col min="15627" max="15627" width="12.85546875" style="6" customWidth="1"/>
    <col min="15628" max="15872" width="9.140625" style="6"/>
    <col min="15873" max="15873" width="18.28515625" style="6" customWidth="1"/>
    <col min="15874" max="15874" width="13.5703125" style="6" customWidth="1"/>
    <col min="15875" max="15875" width="15.140625" style="6" customWidth="1"/>
    <col min="15876" max="15877" width="12.85546875" style="6" customWidth="1"/>
    <col min="15878" max="15878" width="12.5703125" style="6" customWidth="1"/>
    <col min="15879" max="15879" width="10.85546875" style="6" customWidth="1"/>
    <col min="15880" max="15882" width="14.5703125" style="6" customWidth="1"/>
    <col min="15883" max="15883" width="12.85546875" style="6" customWidth="1"/>
    <col min="15884" max="16128" width="9.140625" style="6"/>
    <col min="16129" max="16129" width="18.28515625" style="6" customWidth="1"/>
    <col min="16130" max="16130" width="13.5703125" style="6" customWidth="1"/>
    <col min="16131" max="16131" width="15.140625" style="6" customWidth="1"/>
    <col min="16132" max="16133" width="12.85546875" style="6" customWidth="1"/>
    <col min="16134" max="16134" width="12.5703125" style="6" customWidth="1"/>
    <col min="16135" max="16135" width="10.85546875" style="6" customWidth="1"/>
    <col min="16136" max="16138" width="14.5703125" style="6" customWidth="1"/>
    <col min="16139" max="16139" width="12.85546875" style="6" customWidth="1"/>
    <col min="16140" max="16384" width="9.140625" style="6"/>
  </cols>
  <sheetData>
    <row r="1" spans="1:13" ht="15.75">
      <c r="A1" s="205" t="str">
        <f xml:space="preserve"> "Psychological Therapies Waiting Times - Number of patients seen during the month by Health Board, "&amp;TEXT(A25,"mmm yyyy")&amp;" - "&amp;TEXT(A11,"mmm yyyy")&amp; " - Distribution of waits"</f>
        <v>Psychological Therapies Waiting Times - Number of patients seen during the month by Health Board, Apr 2020 - Jun 2021 - Distribution of waits</v>
      </c>
      <c r="B1" s="206"/>
      <c r="C1" s="206"/>
      <c r="D1" s="206"/>
    </row>
    <row r="2" spans="1:13">
      <c r="A2" s="456" t="s">
        <v>456</v>
      </c>
      <c r="B2" s="457"/>
      <c r="C2" s="457"/>
      <c r="D2" s="457"/>
    </row>
    <row r="3" spans="1:13">
      <c r="A3" s="207" t="s">
        <v>186</v>
      </c>
      <c r="B3" s="206"/>
      <c r="C3" s="206"/>
      <c r="D3" s="206"/>
      <c r="E3" s="65"/>
      <c r="F3" s="65"/>
      <c r="G3" s="65"/>
      <c r="H3" s="65"/>
      <c r="I3" s="65"/>
      <c r="J3" s="65"/>
      <c r="K3" s="48"/>
    </row>
    <row r="4" spans="1:13">
      <c r="A4" s="66"/>
      <c r="B4" s="65"/>
      <c r="C4" s="65"/>
      <c r="D4" s="65"/>
      <c r="E4" s="65"/>
      <c r="F4" s="65"/>
      <c r="G4" s="65"/>
      <c r="H4" s="65"/>
      <c r="I4" s="65"/>
      <c r="J4" s="65"/>
      <c r="K4" s="48"/>
    </row>
    <row r="5" spans="1:13">
      <c r="A5" s="199" t="s">
        <v>453</v>
      </c>
      <c r="B5" s="65"/>
      <c r="C5" s="65"/>
      <c r="D5" s="65"/>
      <c r="E5" s="65"/>
      <c r="F5" s="65"/>
      <c r="G5" s="65"/>
      <c r="H5" s="65"/>
      <c r="I5" s="65"/>
      <c r="J5" s="65"/>
      <c r="K5" s="48"/>
    </row>
    <row r="6" spans="1:13" ht="15.75" thickBot="1">
      <c r="A6" s="458"/>
      <c r="B6" s="458"/>
      <c r="C6" s="458"/>
      <c r="D6" s="458"/>
      <c r="E6" s="67"/>
      <c r="F6" s="67"/>
      <c r="G6" s="67"/>
      <c r="H6" s="67"/>
      <c r="I6" s="67"/>
      <c r="J6" s="67"/>
      <c r="K6" s="67"/>
    </row>
    <row r="7" spans="1:13" ht="15.75" thickBot="1">
      <c r="A7" s="6" t="s">
        <v>180</v>
      </c>
      <c r="B7" s="9"/>
      <c r="C7" s="440" t="s">
        <v>28</v>
      </c>
      <c r="D7" s="441"/>
      <c r="E7" s="67"/>
      <c r="F7" s="67"/>
      <c r="G7" s="67"/>
      <c r="H7" s="67"/>
      <c r="I7" s="67"/>
      <c r="J7" s="67"/>
      <c r="K7" s="67"/>
    </row>
    <row r="8" spans="1:13">
      <c r="A8" s="220" t="s">
        <v>1302</v>
      </c>
      <c r="B8" s="33" t="s">
        <v>183</v>
      </c>
      <c r="C8" s="9"/>
      <c r="D8" s="9"/>
      <c r="E8" s="34"/>
      <c r="F8" s="92" t="s">
        <v>172</v>
      </c>
      <c r="G8" s="68" t="s">
        <v>30</v>
      </c>
      <c r="H8" s="34"/>
      <c r="I8" s="34"/>
      <c r="J8" s="34"/>
      <c r="K8" s="28"/>
      <c r="L8" s="28"/>
    </row>
    <row r="9" spans="1:13" ht="21.75" customHeight="1">
      <c r="A9" s="442" t="s">
        <v>31</v>
      </c>
      <c r="B9" s="445" t="s">
        <v>193</v>
      </c>
      <c r="C9" s="449" t="s">
        <v>33</v>
      </c>
      <c r="D9" s="446"/>
      <c r="E9" s="446"/>
      <c r="F9" s="443"/>
      <c r="G9" s="449" t="s">
        <v>187</v>
      </c>
      <c r="H9" s="446"/>
      <c r="I9" s="446"/>
      <c r="J9" s="446"/>
      <c r="K9" s="20"/>
    </row>
    <row r="10" spans="1:13" ht="16.5" customHeight="1">
      <c r="A10" s="442"/>
      <c r="B10" s="445"/>
      <c r="C10" s="151" t="s">
        <v>34</v>
      </c>
      <c r="D10" s="151" t="s">
        <v>188</v>
      </c>
      <c r="E10" s="151" t="s">
        <v>317</v>
      </c>
      <c r="F10" s="275" t="s">
        <v>331</v>
      </c>
      <c r="G10" s="164" t="s">
        <v>34</v>
      </c>
      <c r="H10" s="151" t="s">
        <v>188</v>
      </c>
      <c r="I10" s="151" t="s">
        <v>317</v>
      </c>
      <c r="J10" s="151" t="s">
        <v>331</v>
      </c>
      <c r="K10" s="93"/>
      <c r="L10" s="40"/>
    </row>
    <row r="11" spans="1:13">
      <c r="A11" s="359">
        <f>REPORT_raw_dataseen!R1</f>
        <v>44348</v>
      </c>
      <c r="B11" s="260">
        <f>VLOOKUP($C$7&amp;"Unadjusted waiting "&amp;$B$9,REPORT_raw_datawaiting!$A$1:$R$817,MATCH($A11,REPORT_raw_datawaiting!$D$1:$R$1,1)+3, FALSE)</f>
        <v>22401</v>
      </c>
      <c r="C11" s="260">
        <f>VLOOKUP($C$7&amp;"Unadjusted waiting "&amp;$C$10,REPORT_raw_datawaiting!$A$1:$R$817,MATCH($A11,REPORT_raw_datawaiting!$D$1:$R$1,1)+3, FALSE)</f>
        <v>13407</v>
      </c>
      <c r="D11" s="260">
        <f>IF(VLOOKUP($C$7&amp;"Unadjusted waiting "&amp;$D$10,REPORT_raw_datawaiting!$A$1:$R$817,MATCH($A11,REPORT_raw_datawaiting!$D$1:$R$1,1)+3, FALSE)=0,"-",VLOOKUP($C$7&amp;"Unadjusted waiting "&amp;$D$10,REPORT_raw_datawaiting!$A$1:$R$817,MATCH($A11,REPORT_raw_datawaiting!$D$1:$R$1,1)+3, FALSE))</f>
        <v>3138</v>
      </c>
      <c r="E11" s="260">
        <f>IF(VLOOKUP($C$7&amp;"Unadjusted waiting "&amp;$F$8,REPORT_raw_datawaiting!$A$1:$R$817,MATCH($A11,REPORT_raw_datawaiting!$D$1:$R$1,1)+3, FALSE)=0,"-",VLOOKUP($C$7&amp;"Unadjusted waiting "&amp;$F$8,REPORT_raw_datawaiting!$A$1:$R$817,MATCH($A11,REPORT_raw_datawaiting!$D$1:$R$1,1)+3, FALSE))</f>
        <v>1861</v>
      </c>
      <c r="F11" s="260">
        <f>IF(VLOOKUP($C$7&amp;"Unadjusted waiting "&amp;$G$8,REPORT_raw_datawaiting!$A$1:$R$817,MATCH($A11,REPORT_raw_datawaiting!$D$1:$R$1,1)+3, FALSE)=0,"-",VLOOKUP($C$7&amp;"Unadjusted waiting "&amp;$G$8,REPORT_raw_datawaiting!$A$1:$R$817,MATCH($A11,REPORT_raw_datawaiting!$D$1:$R$1,1)+3, FALSE))</f>
        <v>3995</v>
      </c>
      <c r="G11" s="263">
        <f t="shared" ref="G11:J25" si="0">IF(C11="-","-",IF(C11=0,"-",IF(C11="..","..",IF((C11/$B11%)=0,"-",ROUND(C11/$B11%,2)))))</f>
        <v>59.85</v>
      </c>
      <c r="H11" s="263">
        <f t="shared" si="0"/>
        <v>14.01</v>
      </c>
      <c r="I11" s="263">
        <f t="shared" si="0"/>
        <v>8.31</v>
      </c>
      <c r="J11" s="257">
        <f t="shared" si="0"/>
        <v>17.829999999999998</v>
      </c>
      <c r="K11" s="94"/>
      <c r="L11" s="94"/>
      <c r="M11" s="94"/>
    </row>
    <row r="12" spans="1:13">
      <c r="A12" s="360">
        <f>DATE(YEAR(A11),MONTH(A11)-1,DAY(A11))</f>
        <v>44317</v>
      </c>
      <c r="B12" s="261">
        <f>VLOOKUP($C$7&amp;"Adjusted waiting "&amp;$B$9,REPORT_raw_datawaiting!$A$1:$R$817,MATCH($A12,REPORT_raw_datawaiting!$D$1:$R$1,1)+3, FALSE)</f>
        <v>21308</v>
      </c>
      <c r="C12" s="261">
        <f>VLOOKUP($C$7&amp;"Unadjusted waiting "&amp;$C$10,REPORT_raw_datawaiting!$A$1:$R$817,MATCH($A12,REPORT_raw_datawaiting!$D$1:$R$1,1)+3, FALSE)</f>
        <v>12356</v>
      </c>
      <c r="D12" s="261">
        <f>IF(VLOOKUP($C$7&amp;"Unadjusted waiting "&amp;$D$10,REPORT_raw_datawaiting!$A$1:$R$817,MATCH($A12,REPORT_raw_datawaiting!$D$1:$R$1,1)+3, FALSE)=0,"-",VLOOKUP($C$7&amp;"Unadjusted waiting "&amp;$D$10,REPORT_raw_datawaiting!$A$1:$R$817,MATCH($A12,REPORT_raw_datawaiting!$D$1:$R$1,1)+3, FALSE))</f>
        <v>3276</v>
      </c>
      <c r="E12" s="261">
        <f>IF(VLOOKUP($C$7&amp;"Unadjusted waiting "&amp;$F$8,REPORT_raw_datawaiting!$A$1:$R$817,MATCH($A12,REPORT_raw_datawaiting!$D$1:$R$1,1)+3, FALSE)=0,"-",VLOOKUP($C$7&amp;"Unadjusted waiting "&amp;$F$8,REPORT_raw_datawaiting!$A$1:$R$817,MATCH($A12,REPORT_raw_datawaiting!$D$1:$R$1,1)+3, FALSE))</f>
        <v>1802</v>
      </c>
      <c r="F12" s="261">
        <f>IF(VLOOKUP($C$7&amp;"Unadjusted waiting "&amp;$G$8,REPORT_raw_datawaiting!$A$1:$R$817,MATCH($A12,REPORT_raw_datawaiting!$D$1:$R$1,1)+3, FALSE)=0,"-",VLOOKUP($C$7&amp;"Unadjusted waiting "&amp;$G$8,REPORT_raw_datawaiting!$A$1:$R$817,MATCH($A12,REPORT_raw_datawaiting!$D$1:$R$1,1)+3, FALSE))</f>
        <v>3874</v>
      </c>
      <c r="G12" s="264">
        <f t="shared" si="0"/>
        <v>57.99</v>
      </c>
      <c r="H12" s="264">
        <f t="shared" si="0"/>
        <v>15.37</v>
      </c>
      <c r="I12" s="264">
        <f t="shared" si="0"/>
        <v>8.4600000000000009</v>
      </c>
      <c r="J12" s="258">
        <f t="shared" si="0"/>
        <v>18.18</v>
      </c>
      <c r="K12" s="94"/>
      <c r="L12" s="94"/>
      <c r="M12" s="94"/>
    </row>
    <row r="13" spans="1:13">
      <c r="A13" s="360">
        <f>DATE(YEAR(A12),MONTH(A12)-1,DAY(A12))</f>
        <v>44287</v>
      </c>
      <c r="B13" s="261">
        <f>VLOOKUP($C$7&amp;"Adjusted waiting "&amp;$B$9,REPORT_raw_datawaiting!$A$1:$R$817,MATCH($A13,REPORT_raw_datawaiting!$D$1:$R$1,1)+3, FALSE)</f>
        <v>21167</v>
      </c>
      <c r="C13" s="261">
        <f>VLOOKUP($C$7&amp;"Unadjusted waiting "&amp;$C$10,REPORT_raw_datawaiting!$A$1:$R$817,MATCH($A13,REPORT_raw_datawaiting!$D$1:$R$1,1)+3, FALSE)</f>
        <v>11411</v>
      </c>
      <c r="D13" s="261">
        <f>IF(VLOOKUP($C$7&amp;"Unadjusted waiting "&amp;$D$10,REPORT_raw_datawaiting!$A$1:$R$817,MATCH($A13,REPORT_raw_datawaiting!$D$1:$R$1,1)+3, FALSE)=0,"-",VLOOKUP($C$7&amp;"Unadjusted waiting "&amp;$D$10,REPORT_raw_datawaiting!$A$1:$R$817,MATCH($A13,REPORT_raw_datawaiting!$D$1:$R$1,1)+3, FALSE))</f>
        <v>3882</v>
      </c>
      <c r="E13" s="261">
        <f>IF(VLOOKUP($C$7&amp;"Unadjusted waiting "&amp;$F$8,REPORT_raw_datawaiting!$A$1:$R$817,MATCH($A13,REPORT_raw_datawaiting!$D$1:$R$1,1)+3, FALSE)=0,"-",VLOOKUP($C$7&amp;"Unadjusted waiting "&amp;$F$8,REPORT_raw_datawaiting!$A$1:$R$817,MATCH($A13,REPORT_raw_datawaiting!$D$1:$R$1,1)+3, FALSE))</f>
        <v>1710</v>
      </c>
      <c r="F13" s="261">
        <f>IF(VLOOKUP($C$7&amp;"Unadjusted waiting "&amp;$G$8,REPORT_raw_datawaiting!$A$1:$R$817,MATCH($A13,REPORT_raw_datawaiting!$D$1:$R$1,1)+3, FALSE)=0,"-",VLOOKUP($C$7&amp;"Unadjusted waiting "&amp;$G$8,REPORT_raw_datawaiting!$A$1:$R$817,MATCH($A13,REPORT_raw_datawaiting!$D$1:$R$1,1)+3, FALSE))</f>
        <v>4164</v>
      </c>
      <c r="G13" s="264">
        <f t="shared" si="0"/>
        <v>53.91</v>
      </c>
      <c r="H13" s="264">
        <f t="shared" si="0"/>
        <v>18.34</v>
      </c>
      <c r="I13" s="264">
        <f t="shared" si="0"/>
        <v>8.08</v>
      </c>
      <c r="J13" s="258">
        <f t="shared" si="0"/>
        <v>19.670000000000002</v>
      </c>
      <c r="K13" s="94"/>
      <c r="L13" s="94"/>
      <c r="M13" s="94"/>
    </row>
    <row r="14" spans="1:13">
      <c r="A14" s="360">
        <f>DATE(YEAR(A13),MONTH(A13)-1,DAY(A13))</f>
        <v>44256</v>
      </c>
      <c r="B14" s="261">
        <f>VLOOKUP($C$7&amp;"Adjusted waiting "&amp;$B$9,REPORT_raw_datawaiting!$A$1:$R$817,MATCH($A14,REPORT_raw_datawaiting!$D$1:$R$1,1)+3, FALSE)</f>
        <v>22599</v>
      </c>
      <c r="C14" s="261">
        <f>VLOOKUP($C$7&amp;"Unadjusted waiting "&amp;$C$10,REPORT_raw_datawaiting!$A$1:$R$817,MATCH($A14,REPORT_raw_datawaiting!$D$1:$R$1,1)+3, FALSE)</f>
        <v>11742</v>
      </c>
      <c r="D14" s="261">
        <f>IF(VLOOKUP($C$7&amp;"Unadjusted waiting "&amp;$D$10,REPORT_raw_datawaiting!$A$1:$R$817,MATCH($A14,REPORT_raw_datawaiting!$D$1:$R$1,1)+3, FALSE)=0,"-",VLOOKUP($C$7&amp;"Unadjusted waiting "&amp;$D$10,REPORT_raw_datawaiting!$A$1:$R$817,MATCH($A14,REPORT_raw_datawaiting!$D$1:$R$1,1)+3, FALSE))</f>
        <v>4364</v>
      </c>
      <c r="E14" s="261">
        <f>IF(VLOOKUP($C$7&amp;"Unadjusted waiting "&amp;$F$8,REPORT_raw_datawaiting!$A$1:$R$817,MATCH($A14,REPORT_raw_datawaiting!$D$1:$R$1,1)+3, FALSE)=0,"-",VLOOKUP($C$7&amp;"Unadjusted waiting "&amp;$F$8,REPORT_raw_datawaiting!$A$1:$R$817,MATCH($A14,REPORT_raw_datawaiting!$D$1:$R$1,1)+3, FALSE))</f>
        <v>1726</v>
      </c>
      <c r="F14" s="261">
        <f>IF(VLOOKUP($C$7&amp;"Unadjusted waiting "&amp;$G$8,REPORT_raw_datawaiting!$A$1:$R$817,MATCH($A14,REPORT_raw_datawaiting!$D$1:$R$1,1)+3, FALSE)=0,"-",VLOOKUP($C$7&amp;"Unadjusted waiting "&amp;$G$8,REPORT_raw_datawaiting!$A$1:$R$817,MATCH($A14,REPORT_raw_datawaiting!$D$1:$R$1,1)+3, FALSE))</f>
        <v>4767</v>
      </c>
      <c r="G14" s="264">
        <f t="shared" si="0"/>
        <v>51.96</v>
      </c>
      <c r="H14" s="264">
        <f t="shared" si="0"/>
        <v>19.309999999999999</v>
      </c>
      <c r="I14" s="264">
        <f t="shared" si="0"/>
        <v>7.64</v>
      </c>
      <c r="J14" s="258">
        <f t="shared" si="0"/>
        <v>21.09</v>
      </c>
      <c r="K14" s="94"/>
      <c r="L14" s="94"/>
      <c r="M14" s="94"/>
    </row>
    <row r="15" spans="1:13">
      <c r="A15" s="360">
        <f>DATE(YEAR(A14),MONTH(A14)-1,DAY(A14))</f>
        <v>44228</v>
      </c>
      <c r="B15" s="261">
        <f>VLOOKUP($C$7&amp;"Adjusted waiting "&amp;$B$9,REPORT_raw_datawaiting!$A$1:$R$817,MATCH($A15,REPORT_raw_datawaiting!$D$1:$R$1,1)+3, FALSE)</f>
        <v>22091</v>
      </c>
      <c r="C15" s="261">
        <f>VLOOKUP($C$7&amp;"Unadjusted waiting "&amp;$C$10,REPORT_raw_datawaiting!$A$1:$R$817,MATCH($A15,REPORT_raw_datawaiting!$D$1:$R$1,1)+3, FALSE)</f>
        <v>10966</v>
      </c>
      <c r="D15" s="261">
        <f>IF(VLOOKUP($C$7&amp;"Unadjusted waiting "&amp;$D$10,REPORT_raw_datawaiting!$A$1:$R$817,MATCH($A15,REPORT_raw_datawaiting!$D$1:$R$1,1)+3, FALSE)=0,"-",VLOOKUP($C$7&amp;"Unadjusted waiting "&amp;$D$10,REPORT_raw_datawaiting!$A$1:$R$817,MATCH($A15,REPORT_raw_datawaiting!$D$1:$R$1,1)+3, FALSE))</f>
        <v>4218</v>
      </c>
      <c r="E15" s="261">
        <f>IF(VLOOKUP($C$7&amp;"Unadjusted waiting "&amp;$F$8,REPORT_raw_datawaiting!$A$1:$R$817,MATCH($A15,REPORT_raw_datawaiting!$D$1:$R$1,1)+3, FALSE)=0,"-",VLOOKUP($C$7&amp;"Unadjusted waiting "&amp;$F$8,REPORT_raw_datawaiting!$A$1:$R$817,MATCH($A15,REPORT_raw_datawaiting!$D$1:$R$1,1)+3, FALSE))</f>
        <v>2096</v>
      </c>
      <c r="F15" s="261">
        <f>IF(VLOOKUP($C$7&amp;"Unadjusted waiting "&amp;$G$8,REPORT_raw_datawaiting!$A$1:$R$817,MATCH($A15,REPORT_raw_datawaiting!$D$1:$R$1,1)+3, FALSE)=0,"-",VLOOKUP($C$7&amp;"Unadjusted waiting "&amp;$G$8,REPORT_raw_datawaiting!$A$1:$R$817,MATCH($A15,REPORT_raw_datawaiting!$D$1:$R$1,1)+3, FALSE))</f>
        <v>4811</v>
      </c>
      <c r="G15" s="264">
        <f t="shared" si="0"/>
        <v>49.64</v>
      </c>
      <c r="H15" s="264">
        <f t="shared" si="0"/>
        <v>19.09</v>
      </c>
      <c r="I15" s="264">
        <f t="shared" si="0"/>
        <v>9.49</v>
      </c>
      <c r="J15" s="258">
        <f t="shared" si="0"/>
        <v>21.78</v>
      </c>
      <c r="K15" s="94"/>
      <c r="L15" s="94"/>
      <c r="M15" s="94"/>
    </row>
    <row r="16" spans="1:13">
      <c r="A16" s="360">
        <f>DATE(YEAR(A15),MONTH(A15)-1,DAY(A15))</f>
        <v>44197</v>
      </c>
      <c r="B16" s="261">
        <f>VLOOKUP($C$7&amp;"Adjusted waiting "&amp;$B$9,REPORT_raw_datawaiting!$A$1:$R$817,MATCH($A16,REPORT_raw_datawaiting!$D$1:$R$1,1)+3, FALSE)</f>
        <v>22662</v>
      </c>
      <c r="C16" s="261">
        <f>VLOOKUP($C$7&amp;"Unadjusted waiting "&amp;$C$10,REPORT_raw_datawaiting!$A$1:$R$817,MATCH($A16,REPORT_raw_datawaiting!$D$1:$R$1,1)+3, FALSE)</f>
        <v>10952</v>
      </c>
      <c r="D16" s="261">
        <f>IF(VLOOKUP($C$7&amp;"Unadjusted waiting "&amp;$D$10,REPORT_raw_datawaiting!$A$1:$R$817,MATCH($A16,REPORT_raw_datawaiting!$D$1:$R$1,1)+3, FALSE)=0,"-",VLOOKUP($C$7&amp;"Unadjusted waiting "&amp;$D$10,REPORT_raw_datawaiting!$A$1:$R$817,MATCH($A16,REPORT_raw_datawaiting!$D$1:$R$1,1)+3, FALSE))</f>
        <v>4071</v>
      </c>
      <c r="E16" s="261">
        <f>IF(VLOOKUP($C$7&amp;"Unadjusted waiting "&amp;$F$8,REPORT_raw_datawaiting!$A$1:$R$817,MATCH($A16,REPORT_raw_datawaiting!$D$1:$R$1,1)+3, FALSE)=0,"-",VLOOKUP($C$7&amp;"Unadjusted waiting "&amp;$F$8,REPORT_raw_datawaiting!$A$1:$R$817,MATCH($A16,REPORT_raw_datawaiting!$D$1:$R$1,1)+3, FALSE))</f>
        <v>3012</v>
      </c>
      <c r="F16" s="261">
        <f>IF(VLOOKUP($C$7&amp;"Unadjusted waiting "&amp;$G$8,REPORT_raw_datawaiting!$A$1:$R$817,MATCH($A16,REPORT_raw_datawaiting!$D$1:$R$1,1)+3, FALSE)=0,"-",VLOOKUP($C$7&amp;"Unadjusted waiting "&amp;$G$8,REPORT_raw_datawaiting!$A$1:$R$817,MATCH($A16,REPORT_raw_datawaiting!$D$1:$R$1,1)+3, FALSE))</f>
        <v>4627</v>
      </c>
      <c r="G16" s="264">
        <f t="shared" si="0"/>
        <v>48.33</v>
      </c>
      <c r="H16" s="264">
        <f t="shared" si="0"/>
        <v>17.96</v>
      </c>
      <c r="I16" s="264">
        <f t="shared" si="0"/>
        <v>13.29</v>
      </c>
      <c r="J16" s="258">
        <f t="shared" si="0"/>
        <v>20.420000000000002</v>
      </c>
      <c r="K16" s="94"/>
      <c r="L16" s="94"/>
      <c r="M16" s="94"/>
    </row>
    <row r="17" spans="1:13">
      <c r="A17" s="360">
        <f t="shared" ref="A17:A25" si="1">DATE(YEAR(A16),MONTH(A16)-1,DAY(A16))</f>
        <v>44166</v>
      </c>
      <c r="B17" s="261">
        <f>VLOOKUP($C$7&amp;"Adjusted waiting "&amp;$B$9,REPORT_raw_datawaiting!$A$1:$R$817,MATCH($A17,REPORT_raw_datawaiting!$D$1:$R$1,1)+3, FALSE)</f>
        <v>23780</v>
      </c>
      <c r="C17" s="261">
        <f>VLOOKUP($C$7&amp;"Unadjusted waiting "&amp;$C$10,REPORT_raw_datawaiting!$A$1:$R$817,MATCH($A17,REPORT_raw_datawaiting!$D$1:$R$1,1)+3, FALSE)</f>
        <v>11799</v>
      </c>
      <c r="D17" s="261">
        <f>IF(VLOOKUP($C$7&amp;"Unadjusted waiting "&amp;$D$10,REPORT_raw_datawaiting!$A$1:$R$817,MATCH($A17,REPORT_raw_datawaiting!$D$1:$R$1,1)+3, FALSE)=0,"-",VLOOKUP($C$7&amp;"Unadjusted waiting "&amp;$D$10,REPORT_raw_datawaiting!$A$1:$R$817,MATCH($A17,REPORT_raw_datawaiting!$D$1:$R$1,1)+3, FALSE))</f>
        <v>3595</v>
      </c>
      <c r="E17" s="261">
        <f>IF(VLOOKUP($C$7&amp;"Unadjusted waiting "&amp;$F$8,REPORT_raw_datawaiting!$A$1:$R$817,MATCH($A17,REPORT_raw_datawaiting!$D$1:$R$1,1)+3, FALSE)=0,"-",VLOOKUP($C$7&amp;"Unadjusted waiting "&amp;$F$8,REPORT_raw_datawaiting!$A$1:$R$817,MATCH($A17,REPORT_raw_datawaiting!$D$1:$R$1,1)+3, FALSE))</f>
        <v>3911</v>
      </c>
      <c r="F17" s="261">
        <f>IF(VLOOKUP($C$7&amp;"Unadjusted waiting "&amp;$G$8,REPORT_raw_datawaiting!$A$1:$R$817,MATCH($A17,REPORT_raw_datawaiting!$D$1:$R$1,1)+3, FALSE)=0,"-",VLOOKUP($C$7&amp;"Unadjusted waiting "&amp;$G$8,REPORT_raw_datawaiting!$A$1:$R$817,MATCH($A17,REPORT_raw_datawaiting!$D$1:$R$1,1)+3, FALSE))</f>
        <v>4475</v>
      </c>
      <c r="G17" s="264">
        <f>IF(C17="-","-",IF(C17=0,"-",IF(C17="..","..",IF((C17/$B17%)=0,"-",ROUND(C17/$B17%,2)))))</f>
        <v>49.62</v>
      </c>
      <c r="H17" s="264">
        <f t="shared" si="0"/>
        <v>15.12</v>
      </c>
      <c r="I17" s="264">
        <f t="shared" si="0"/>
        <v>16.45</v>
      </c>
      <c r="J17" s="258">
        <f t="shared" si="0"/>
        <v>18.82</v>
      </c>
      <c r="K17" s="94"/>
      <c r="L17" s="94"/>
      <c r="M17" s="94"/>
    </row>
    <row r="18" spans="1:13">
      <c r="A18" s="360">
        <f t="shared" si="1"/>
        <v>44136</v>
      </c>
      <c r="B18" s="261">
        <f>VLOOKUP($C$7&amp;"Adjusted waiting "&amp;$B$9,REPORT_raw_datawaiting!$A$1:$R$817,MATCH($A18,REPORT_raw_datawaiting!$D$1:$R$1,1)+3, FALSE)</f>
        <v>23760</v>
      </c>
      <c r="C18" s="261">
        <f>VLOOKUP($C$7&amp;"Unadjusted waiting "&amp;$C$10,REPORT_raw_datawaiting!$A$1:$R$817,MATCH($A18,REPORT_raw_datawaiting!$D$1:$R$1,1)+3, FALSE)</f>
        <v>11633</v>
      </c>
      <c r="D18" s="261">
        <f>IF(VLOOKUP($C$7&amp;"Unadjusted waiting "&amp;$D$10,REPORT_raw_datawaiting!$A$1:$R$817,MATCH($A18,REPORT_raw_datawaiting!$D$1:$R$1,1)+3, FALSE)=0,"-",VLOOKUP($C$7&amp;"Unadjusted waiting "&amp;$D$10,REPORT_raw_datawaiting!$A$1:$R$817,MATCH($A18,REPORT_raw_datawaiting!$D$1:$R$1,1)+3, FALSE))</f>
        <v>3080</v>
      </c>
      <c r="E18" s="261">
        <f>IF(VLOOKUP($C$7&amp;"Unadjusted waiting "&amp;$F$8,REPORT_raw_datawaiting!$A$1:$R$817,MATCH($A18,REPORT_raw_datawaiting!$D$1:$R$1,1)+3, FALSE)=0,"-",VLOOKUP($C$7&amp;"Unadjusted waiting "&amp;$F$8,REPORT_raw_datawaiting!$A$1:$R$817,MATCH($A18,REPORT_raw_datawaiting!$D$1:$R$1,1)+3, FALSE))</f>
        <v>4914</v>
      </c>
      <c r="F18" s="261">
        <f>IF(VLOOKUP($C$7&amp;"Unadjusted waiting "&amp;$G$8,REPORT_raw_datawaiting!$A$1:$R$817,MATCH($A18,REPORT_raw_datawaiting!$D$1:$R$1,1)+3, FALSE)=0,"-",VLOOKUP($C$7&amp;"Unadjusted waiting "&amp;$G$8,REPORT_raw_datawaiting!$A$1:$R$817,MATCH($A18,REPORT_raw_datawaiting!$D$1:$R$1,1)+3, FALSE))</f>
        <v>4133</v>
      </c>
      <c r="G18" s="264">
        <f t="shared" ref="G18:G25" si="2">IF(C18="-","-",IF(C18=0,"-",IF(C18="..","..",IF((C18/$B18%)=0,"-",ROUND(C18/$B18%,2)))))</f>
        <v>48.96</v>
      </c>
      <c r="H18" s="264">
        <f t="shared" si="0"/>
        <v>12.96</v>
      </c>
      <c r="I18" s="264">
        <f t="shared" si="0"/>
        <v>20.68</v>
      </c>
      <c r="J18" s="258">
        <f t="shared" si="0"/>
        <v>17.39</v>
      </c>
      <c r="K18" s="94"/>
      <c r="L18" s="94"/>
      <c r="M18" s="94"/>
    </row>
    <row r="19" spans="1:13">
      <c r="A19" s="360">
        <f t="shared" si="1"/>
        <v>44105</v>
      </c>
      <c r="B19" s="261">
        <f>VLOOKUP($C$7&amp;"Adjusted waiting "&amp;$B$9,REPORT_raw_datawaiting!$A$1:$R$817,MATCH($A19,REPORT_raw_datawaiting!$D$1:$R$1,1)+3, FALSE)</f>
        <v>23859</v>
      </c>
      <c r="C19" s="261">
        <f>VLOOKUP($C$7&amp;"Unadjusted waiting "&amp;$C$10,REPORT_raw_datawaiting!$A$1:$R$817,MATCH($A19,REPORT_raw_datawaiting!$D$1:$R$1,1)+3, FALSE)</f>
        <v>10827</v>
      </c>
      <c r="D19" s="261">
        <f>IF(VLOOKUP($C$7&amp;"Unadjusted waiting "&amp;$D$10,REPORT_raw_datawaiting!$A$1:$R$817,MATCH($A19,REPORT_raw_datawaiting!$D$1:$R$1,1)+3, FALSE)=0,"-",VLOOKUP($C$7&amp;"Unadjusted waiting "&amp;$D$10,REPORT_raw_datawaiting!$A$1:$R$817,MATCH($A19,REPORT_raw_datawaiting!$D$1:$R$1,1)+3, FALSE))</f>
        <v>3855</v>
      </c>
      <c r="E19" s="261">
        <f>IF(VLOOKUP($C$7&amp;"Unadjusted waiting "&amp;$F$8,REPORT_raw_datawaiting!$A$1:$R$817,MATCH($A19,REPORT_raw_datawaiting!$D$1:$R$1,1)+3, FALSE)=0,"-",VLOOKUP($C$7&amp;"Unadjusted waiting "&amp;$F$8,REPORT_raw_datawaiting!$A$1:$R$817,MATCH($A19,REPORT_raw_datawaiting!$D$1:$R$1,1)+3, FALSE))</f>
        <v>5105</v>
      </c>
      <c r="F19" s="261">
        <f>IF(VLOOKUP($C$7&amp;"Unadjusted waiting "&amp;$G$8,REPORT_raw_datawaiting!$A$1:$R$817,MATCH($A19,REPORT_raw_datawaiting!$D$1:$R$1,1)+3, FALSE)=0,"-",VLOOKUP($C$7&amp;"Unadjusted waiting "&amp;$G$8,REPORT_raw_datawaiting!$A$1:$R$817,MATCH($A19,REPORT_raw_datawaiting!$D$1:$R$1,1)+3, FALSE))</f>
        <v>4072</v>
      </c>
      <c r="G19" s="264">
        <f t="shared" si="2"/>
        <v>45.38</v>
      </c>
      <c r="H19" s="264">
        <f t="shared" si="0"/>
        <v>16.16</v>
      </c>
      <c r="I19" s="264">
        <f t="shared" si="0"/>
        <v>21.4</v>
      </c>
      <c r="J19" s="258">
        <f t="shared" si="0"/>
        <v>17.07</v>
      </c>
      <c r="K19" s="94"/>
      <c r="L19" s="94"/>
      <c r="M19" s="94"/>
    </row>
    <row r="20" spans="1:13">
      <c r="A20" s="360">
        <f t="shared" si="1"/>
        <v>44075</v>
      </c>
      <c r="B20" s="261">
        <f>VLOOKUP($C$7&amp;"Adjusted waiting "&amp;$B$9,REPORT_raw_datawaiting!$A$1:$R$817,MATCH($A20,REPORT_raw_datawaiting!$D$1:$R$1,1)+3, FALSE)</f>
        <v>23652</v>
      </c>
      <c r="C20" s="261">
        <f>VLOOKUP($C$7&amp;"Unadjusted waiting "&amp;$C$10,REPORT_raw_datawaiting!$A$1:$R$817,MATCH($A20,REPORT_raw_datawaiting!$D$1:$R$1,1)+3, FALSE)</f>
        <v>9645</v>
      </c>
      <c r="D20" s="261">
        <f>IF(VLOOKUP($C$7&amp;"Unadjusted waiting "&amp;$D$10,REPORT_raw_datawaiting!$A$1:$R$817,MATCH($A20,REPORT_raw_datawaiting!$D$1:$R$1,1)+3, FALSE)=0,"-",VLOOKUP($C$7&amp;"Unadjusted waiting "&amp;$D$10,REPORT_raw_datawaiting!$A$1:$R$817,MATCH($A20,REPORT_raw_datawaiting!$D$1:$R$1,1)+3, FALSE))</f>
        <v>5372</v>
      </c>
      <c r="E20" s="261">
        <f>IF(VLOOKUP($C$7&amp;"Unadjusted waiting "&amp;$F$8,REPORT_raw_datawaiting!$A$1:$R$817,MATCH($A20,REPORT_raw_datawaiting!$D$1:$R$1,1)+3, FALSE)=0,"-",VLOOKUP($C$7&amp;"Unadjusted waiting "&amp;$F$8,REPORT_raw_datawaiting!$A$1:$R$817,MATCH($A20,REPORT_raw_datawaiting!$D$1:$R$1,1)+3, FALSE))</f>
        <v>4660</v>
      </c>
      <c r="F20" s="261">
        <f>IF(VLOOKUP($C$7&amp;"Unadjusted waiting "&amp;$G$8,REPORT_raw_datawaiting!$A$1:$R$817,MATCH($A20,REPORT_raw_datawaiting!$D$1:$R$1,1)+3, FALSE)=0,"-",VLOOKUP($C$7&amp;"Unadjusted waiting "&amp;$G$8,REPORT_raw_datawaiting!$A$1:$R$817,MATCH($A20,REPORT_raw_datawaiting!$D$1:$R$1,1)+3, FALSE))</f>
        <v>3975</v>
      </c>
      <c r="G20" s="264">
        <f t="shared" si="2"/>
        <v>40.78</v>
      </c>
      <c r="H20" s="264">
        <f t="shared" si="0"/>
        <v>22.71</v>
      </c>
      <c r="I20" s="264">
        <f t="shared" si="0"/>
        <v>19.7</v>
      </c>
      <c r="J20" s="258">
        <f t="shared" si="0"/>
        <v>16.809999999999999</v>
      </c>
      <c r="K20" s="94"/>
      <c r="L20" s="94"/>
      <c r="M20" s="94"/>
    </row>
    <row r="21" spans="1:13">
      <c r="A21" s="360">
        <f t="shared" si="1"/>
        <v>44044</v>
      </c>
      <c r="B21" s="261">
        <f>VLOOKUP($C$7&amp;"Adjusted waiting "&amp;$B$9,REPORT_raw_datawaiting!$A$1:$R$817,MATCH($A21,REPORT_raw_datawaiting!$D$1:$R$1,1)+3, FALSE)</f>
        <v>23673</v>
      </c>
      <c r="C21" s="261">
        <f>VLOOKUP($C$7&amp;"Unadjusted waiting "&amp;$C$10,REPORT_raw_datawaiting!$A$1:$R$817,MATCH($A21,REPORT_raw_datawaiting!$D$1:$R$1,1)+3, FALSE)</f>
        <v>8490</v>
      </c>
      <c r="D21" s="261">
        <f>IF(VLOOKUP($C$7&amp;"Unadjusted waiting "&amp;$D$10,REPORT_raw_datawaiting!$A$1:$R$817,MATCH($A21,REPORT_raw_datawaiting!$D$1:$R$1,1)+3, FALSE)=0,"-",VLOOKUP($C$7&amp;"Unadjusted waiting "&amp;$D$10,REPORT_raw_datawaiting!$A$1:$R$817,MATCH($A21,REPORT_raw_datawaiting!$D$1:$R$1,1)+3, FALSE))</f>
        <v>7071</v>
      </c>
      <c r="E21" s="261">
        <f>IF(VLOOKUP($C$7&amp;"Unadjusted waiting "&amp;$F$8,REPORT_raw_datawaiting!$A$1:$R$817,MATCH($A21,REPORT_raw_datawaiting!$D$1:$R$1,1)+3, FALSE)=0,"-",VLOOKUP($C$7&amp;"Unadjusted waiting "&amp;$F$8,REPORT_raw_datawaiting!$A$1:$R$817,MATCH($A21,REPORT_raw_datawaiting!$D$1:$R$1,1)+3, FALSE))</f>
        <v>4393</v>
      </c>
      <c r="F21" s="261">
        <f>IF(VLOOKUP($C$7&amp;"Unadjusted waiting "&amp;$G$8,REPORT_raw_datawaiting!$A$1:$R$817,MATCH($A21,REPORT_raw_datawaiting!$D$1:$R$1,1)+3, FALSE)=0,"-",VLOOKUP($C$7&amp;"Unadjusted waiting "&amp;$G$8,REPORT_raw_datawaiting!$A$1:$R$817,MATCH($A21,REPORT_raw_datawaiting!$D$1:$R$1,1)+3, FALSE))</f>
        <v>3719</v>
      </c>
      <c r="G21" s="264">
        <f t="shared" si="2"/>
        <v>35.86</v>
      </c>
      <c r="H21" s="264">
        <f t="shared" si="0"/>
        <v>29.87</v>
      </c>
      <c r="I21" s="264">
        <f t="shared" si="0"/>
        <v>18.559999999999999</v>
      </c>
      <c r="J21" s="258">
        <f t="shared" si="0"/>
        <v>15.71</v>
      </c>
      <c r="K21" s="94"/>
      <c r="L21" s="94"/>
      <c r="M21" s="94"/>
    </row>
    <row r="22" spans="1:13">
      <c r="A22" s="360">
        <f t="shared" si="1"/>
        <v>44013</v>
      </c>
      <c r="B22" s="261">
        <f>VLOOKUP($C$7&amp;"Adjusted waiting "&amp;$B$9,REPORT_raw_datawaiting!$A$1:$R$817,MATCH($A22,REPORT_raw_datawaiting!$D$1:$R$1,1)+3, FALSE)</f>
        <v>23804</v>
      </c>
      <c r="C22" s="261">
        <f>VLOOKUP($C$7&amp;"Unadjusted waiting "&amp;$C$10,REPORT_raw_datawaiting!$A$1:$R$817,MATCH($A22,REPORT_raw_datawaiting!$D$1:$R$1,1)+3, FALSE)</f>
        <v>7363</v>
      </c>
      <c r="D22" s="261">
        <f>IF(VLOOKUP($C$7&amp;"Unadjusted waiting "&amp;$D$10,REPORT_raw_datawaiting!$A$1:$R$817,MATCH($A22,REPORT_raw_datawaiting!$D$1:$R$1,1)+3, FALSE)=0,"-",VLOOKUP($C$7&amp;"Unadjusted waiting "&amp;$D$10,REPORT_raw_datawaiting!$A$1:$R$817,MATCH($A22,REPORT_raw_datawaiting!$D$1:$R$1,1)+3, FALSE))</f>
        <v>8749</v>
      </c>
      <c r="E22" s="261">
        <f>IF(VLOOKUP($C$7&amp;"Unadjusted waiting "&amp;$F$8,REPORT_raw_datawaiting!$A$1:$R$817,MATCH($A22,REPORT_raw_datawaiting!$D$1:$R$1,1)+3, FALSE)=0,"-",VLOOKUP($C$7&amp;"Unadjusted waiting "&amp;$F$8,REPORT_raw_datawaiting!$A$1:$R$817,MATCH($A22,REPORT_raw_datawaiting!$D$1:$R$1,1)+3, FALSE))</f>
        <v>4175</v>
      </c>
      <c r="F22" s="261">
        <f>IF(VLOOKUP($C$7&amp;"Unadjusted waiting "&amp;$G$8,REPORT_raw_datawaiting!$A$1:$R$817,MATCH($A22,REPORT_raw_datawaiting!$D$1:$R$1,1)+3, FALSE)=0,"-",VLOOKUP($C$7&amp;"Unadjusted waiting "&amp;$G$8,REPORT_raw_datawaiting!$A$1:$R$817,MATCH($A22,REPORT_raw_datawaiting!$D$1:$R$1,1)+3, FALSE))</f>
        <v>3517</v>
      </c>
      <c r="G22" s="264">
        <f t="shared" si="2"/>
        <v>30.93</v>
      </c>
      <c r="H22" s="264">
        <f t="shared" si="0"/>
        <v>36.75</v>
      </c>
      <c r="I22" s="264">
        <f t="shared" si="0"/>
        <v>17.54</v>
      </c>
      <c r="J22" s="258">
        <f t="shared" si="0"/>
        <v>14.77</v>
      </c>
      <c r="K22" s="94"/>
      <c r="L22" s="94"/>
      <c r="M22" s="94"/>
    </row>
    <row r="23" spans="1:13">
      <c r="A23" s="360">
        <f t="shared" si="1"/>
        <v>43983</v>
      </c>
      <c r="B23" s="261">
        <f>VLOOKUP($C$7&amp;"Adjusted waiting "&amp;$B$9,REPORT_raw_datawaiting!$A$1:$R$817,MATCH($A23,REPORT_raw_datawaiting!$D$1:$R$1,1)+3, FALSE)</f>
        <v>24049</v>
      </c>
      <c r="C23" s="261">
        <f>VLOOKUP($C$7&amp;"Unadjusted waiting "&amp;$C$10,REPORT_raw_datawaiting!$A$1:$R$817,MATCH($A23,REPORT_raw_datawaiting!$D$1:$R$1,1)+3, FALSE)</f>
        <v>8473</v>
      </c>
      <c r="D23" s="261">
        <f>IF(VLOOKUP($C$7&amp;"Unadjusted waiting "&amp;$D$10,REPORT_raw_datawaiting!$A$1:$R$817,MATCH($A23,REPORT_raw_datawaiting!$D$1:$R$1,1)+3, FALSE)=0,"-",VLOOKUP($C$7&amp;"Unadjusted waiting "&amp;$D$10,REPORT_raw_datawaiting!$A$1:$R$817,MATCH($A23,REPORT_raw_datawaiting!$D$1:$R$1,1)+3, FALSE))</f>
        <v>8522</v>
      </c>
      <c r="E23" s="261">
        <f>IF(VLOOKUP($C$7&amp;"Unadjusted waiting "&amp;$F$8,REPORT_raw_datawaiting!$A$1:$R$817,MATCH($A23,REPORT_raw_datawaiting!$D$1:$R$1,1)+3, FALSE)=0,"-",VLOOKUP($C$7&amp;"Unadjusted waiting "&amp;$F$8,REPORT_raw_datawaiting!$A$1:$R$817,MATCH($A23,REPORT_raw_datawaiting!$D$1:$R$1,1)+3, FALSE))</f>
        <v>3679</v>
      </c>
      <c r="F23" s="261">
        <f>IF(VLOOKUP($C$7&amp;"Unadjusted waiting "&amp;$G$8,REPORT_raw_datawaiting!$A$1:$R$817,MATCH($A23,REPORT_raw_datawaiting!$D$1:$R$1,1)+3, FALSE)=0,"-",VLOOKUP($C$7&amp;"Unadjusted waiting "&amp;$G$8,REPORT_raw_datawaiting!$A$1:$R$817,MATCH($A23,REPORT_raw_datawaiting!$D$1:$R$1,1)+3, FALSE))</f>
        <v>3375</v>
      </c>
      <c r="G23" s="264">
        <f t="shared" si="2"/>
        <v>35.229999999999997</v>
      </c>
      <c r="H23" s="264">
        <f t="shared" si="0"/>
        <v>35.44</v>
      </c>
      <c r="I23" s="264">
        <f t="shared" si="0"/>
        <v>15.3</v>
      </c>
      <c r="J23" s="258">
        <f t="shared" si="0"/>
        <v>14.03</v>
      </c>
    </row>
    <row r="24" spans="1:13">
      <c r="A24" s="360">
        <f t="shared" si="1"/>
        <v>43952</v>
      </c>
      <c r="B24" s="261">
        <f>VLOOKUP($C$7&amp;"Adjusted waiting "&amp;$B$9,REPORT_raw_datawaiting!$A$1:$R$817,MATCH($A24,REPORT_raw_datawaiting!$D$1:$R$1,1)+3, FALSE)</f>
        <v>24778</v>
      </c>
      <c r="C24" s="261">
        <f>VLOOKUP($C$7&amp;"Unadjusted waiting "&amp;$C$10,REPORT_raw_datawaiting!$A$1:$R$817,MATCH($A24,REPORT_raw_datawaiting!$D$1:$R$1,1)+3, FALSE)</f>
        <v>10524</v>
      </c>
      <c r="D24" s="261">
        <f>IF(VLOOKUP($C$7&amp;"Unadjusted waiting "&amp;$D$10,REPORT_raw_datawaiting!$A$1:$R$817,MATCH($A24,REPORT_raw_datawaiting!$D$1:$R$1,1)+3, FALSE)=0,"-",VLOOKUP($C$7&amp;"Unadjusted waiting "&amp;$D$10,REPORT_raw_datawaiting!$A$1:$R$817,MATCH($A24,REPORT_raw_datawaiting!$D$1:$R$1,1)+3, FALSE))</f>
        <v>7544</v>
      </c>
      <c r="E24" s="261">
        <f>IF(VLOOKUP($C$7&amp;"Unadjusted waiting "&amp;$F$8,REPORT_raw_datawaiting!$A$1:$R$817,MATCH($A24,REPORT_raw_datawaiting!$D$1:$R$1,1)+3, FALSE)=0,"-",VLOOKUP($C$7&amp;"Unadjusted waiting "&amp;$F$8,REPORT_raw_datawaiting!$A$1:$R$817,MATCH($A24,REPORT_raw_datawaiting!$D$1:$R$1,1)+3, FALSE))</f>
        <v>3424</v>
      </c>
      <c r="F24" s="261">
        <f>IF(VLOOKUP($C$7&amp;"Unadjusted waiting "&amp;$G$8,REPORT_raw_datawaiting!$A$1:$R$817,MATCH($A24,REPORT_raw_datawaiting!$D$1:$R$1,1)+3, FALSE)=0,"-",VLOOKUP($C$7&amp;"Unadjusted waiting "&amp;$G$8,REPORT_raw_datawaiting!$A$1:$R$817,MATCH($A24,REPORT_raw_datawaiting!$D$1:$R$1,1)+3, FALSE))</f>
        <v>3286</v>
      </c>
      <c r="G24" s="264">
        <f t="shared" si="2"/>
        <v>42.47</v>
      </c>
      <c r="H24" s="264">
        <f t="shared" si="0"/>
        <v>30.45</v>
      </c>
      <c r="I24" s="264">
        <f t="shared" si="0"/>
        <v>13.82</v>
      </c>
      <c r="J24" s="258">
        <f t="shared" si="0"/>
        <v>13.26</v>
      </c>
    </row>
    <row r="25" spans="1:13">
      <c r="A25" s="361">
        <f t="shared" si="1"/>
        <v>43922</v>
      </c>
      <c r="B25" s="262">
        <f>VLOOKUP($C$7&amp;"Adjusted waiting "&amp;$B$9,REPORT_raw_datawaiting!$A$1:$R$817,MATCH($A25,REPORT_raw_datawaiting!$D$1:$R$1,1)+3, FALSE)</f>
        <v>26017</v>
      </c>
      <c r="C25" s="262">
        <f>VLOOKUP($C$7&amp;"Unadjusted waiting "&amp;$C$10,REPORT_raw_datawaiting!$A$1:$R$817,MATCH($A25,REPORT_raw_datawaiting!$D$1:$R$1,1)+3, FALSE)</f>
        <v>12611</v>
      </c>
      <c r="D25" s="262">
        <f>IF(VLOOKUP($C$7&amp;"Unadjusted waiting "&amp;$D$10,REPORT_raw_datawaiting!$A$1:$R$817,MATCH($A25,REPORT_raw_datawaiting!$D$1:$R$1,1)+3, FALSE)=0,"-",VLOOKUP($C$7&amp;"Unadjusted waiting "&amp;$D$10,REPORT_raw_datawaiting!$A$1:$R$817,MATCH($A25,REPORT_raw_datawaiting!$D$1:$R$1,1)+3, FALSE))</f>
        <v>7128</v>
      </c>
      <c r="E25" s="262">
        <f>IF(VLOOKUP($C$7&amp;"Unadjusted waiting "&amp;$F$8,REPORT_raw_datawaiting!$A$1:$R$817,MATCH($A25,REPORT_raw_datawaiting!$D$1:$R$1,1)+3, FALSE)=0,"-",VLOOKUP($C$7&amp;"Unadjusted waiting "&amp;$F$8,REPORT_raw_datawaiting!$A$1:$R$817,MATCH($A25,REPORT_raw_datawaiting!$D$1:$R$1,1)+3, FALSE))</f>
        <v>3150</v>
      </c>
      <c r="F25" s="262">
        <f>IF(VLOOKUP($C$7&amp;"Unadjusted waiting "&amp;$G$8,REPORT_raw_datawaiting!$A$1:$R$817,MATCH($A25,REPORT_raw_datawaiting!$D$1:$R$1,1)+3, FALSE)=0,"-",VLOOKUP($C$7&amp;"Unadjusted waiting "&amp;$G$8,REPORT_raw_datawaiting!$A$1:$R$817,MATCH($A25,REPORT_raw_datawaiting!$D$1:$R$1,1)+3, FALSE))</f>
        <v>3128</v>
      </c>
      <c r="G25" s="265">
        <f t="shared" si="2"/>
        <v>48.47</v>
      </c>
      <c r="H25" s="265">
        <f t="shared" si="0"/>
        <v>27.4</v>
      </c>
      <c r="I25" s="265">
        <f t="shared" si="0"/>
        <v>12.11</v>
      </c>
      <c r="J25" s="259">
        <f t="shared" si="0"/>
        <v>12.02</v>
      </c>
    </row>
    <row r="26" spans="1:13">
      <c r="A26" s="32"/>
      <c r="B26" s="16"/>
      <c r="C26" s="16"/>
      <c r="D26" s="16"/>
      <c r="E26" s="16"/>
      <c r="F26" s="16"/>
      <c r="G26" s="17"/>
      <c r="H26" s="17"/>
      <c r="I26" s="17"/>
      <c r="J26" s="17"/>
    </row>
    <row r="27" spans="1:13">
      <c r="A27" s="8"/>
      <c r="B27" s="16"/>
      <c r="C27" s="16"/>
      <c r="D27" s="16"/>
      <c r="E27" s="16"/>
      <c r="F27" s="16"/>
      <c r="G27" s="17"/>
      <c r="H27" s="17"/>
      <c r="I27" s="17"/>
      <c r="J27" s="17"/>
    </row>
    <row r="28" spans="1:13" ht="20.25">
      <c r="A28" s="76" t="s">
        <v>337</v>
      </c>
      <c r="B28" s="16"/>
      <c r="C28" s="16"/>
      <c r="D28" s="16"/>
      <c r="E28" s="16"/>
      <c r="F28" s="16"/>
      <c r="G28" s="17"/>
      <c r="H28" s="17"/>
      <c r="I28" s="17"/>
      <c r="J28" s="17"/>
    </row>
    <row r="29" spans="1:13">
      <c r="A29" s="77" t="s">
        <v>338</v>
      </c>
      <c r="B29" s="77" t="s">
        <v>339</v>
      </c>
      <c r="C29" s="78"/>
      <c r="D29" s="450" t="s">
        <v>340</v>
      </c>
      <c r="E29" s="450"/>
      <c r="F29" s="450"/>
      <c r="G29" s="450"/>
      <c r="H29" s="450"/>
      <c r="I29" s="450"/>
      <c r="J29" s="450"/>
      <c r="K29" s="450"/>
    </row>
    <row r="30" spans="1:13">
      <c r="A30" s="79" t="s">
        <v>55</v>
      </c>
      <c r="B30" s="80" t="s">
        <v>341</v>
      </c>
      <c r="C30" s="81"/>
      <c r="D30" s="451" t="s">
        <v>342</v>
      </c>
      <c r="E30" s="451"/>
      <c r="F30" s="451"/>
      <c r="G30" s="451"/>
      <c r="H30" s="451"/>
      <c r="I30" s="451"/>
      <c r="J30" s="451"/>
      <c r="K30" s="451"/>
    </row>
    <row r="31" spans="1:13" ht="51">
      <c r="A31" s="82" t="s">
        <v>343</v>
      </c>
      <c r="B31" s="83" t="s">
        <v>344</v>
      </c>
      <c r="C31" s="84"/>
      <c r="D31" s="452" t="s">
        <v>345</v>
      </c>
      <c r="E31" s="452"/>
      <c r="F31" s="452"/>
      <c r="G31" s="452"/>
      <c r="H31" s="452"/>
      <c r="I31" s="452"/>
      <c r="J31" s="452"/>
      <c r="K31" s="452"/>
    </row>
    <row r="32" spans="1:13">
      <c r="A32" s="85" t="s">
        <v>27</v>
      </c>
      <c r="B32" s="86"/>
      <c r="C32" s="87"/>
      <c r="D32" s="439" t="s">
        <v>346</v>
      </c>
      <c r="E32" s="439"/>
      <c r="F32" s="439"/>
      <c r="G32" s="439"/>
      <c r="H32" s="439"/>
      <c r="I32" s="439"/>
      <c r="J32" s="439"/>
      <c r="K32" s="439"/>
    </row>
    <row r="33" spans="1:10">
      <c r="A33" s="88"/>
      <c r="B33" s="89"/>
      <c r="C33" s="89"/>
      <c r="D33" s="19"/>
      <c r="E33" s="89"/>
      <c r="F33" s="89"/>
      <c r="G33" s="90"/>
      <c r="H33" s="90"/>
      <c r="I33" s="15"/>
      <c r="J33" s="15"/>
    </row>
    <row r="34" spans="1:10">
      <c r="A34" s="88"/>
      <c r="B34" s="89"/>
      <c r="C34" s="89"/>
      <c r="D34" s="19"/>
      <c r="E34" s="89"/>
      <c r="F34" s="89"/>
      <c r="G34" s="90"/>
      <c r="H34" s="90"/>
      <c r="I34" s="15"/>
      <c r="J34" s="15"/>
    </row>
    <row r="35" spans="1:10">
      <c r="A35" s="88"/>
      <c r="B35" s="89"/>
      <c r="C35" s="89"/>
      <c r="D35" s="19"/>
      <c r="E35" s="89"/>
      <c r="F35" s="89"/>
      <c r="G35" s="90"/>
      <c r="H35" s="90"/>
      <c r="I35" s="15"/>
      <c r="J35" s="15"/>
    </row>
    <row r="36" spans="1:10">
      <c r="A36" s="91" t="s">
        <v>190</v>
      </c>
      <c r="B36" s="89"/>
      <c r="C36" s="89"/>
      <c r="D36" s="89"/>
      <c r="E36" s="89"/>
      <c r="F36" s="89"/>
      <c r="G36" s="90"/>
      <c r="H36" s="90"/>
      <c r="I36" s="15"/>
      <c r="J36" s="15"/>
    </row>
    <row r="37" spans="1:10">
      <c r="A37" s="91" t="s">
        <v>191</v>
      </c>
      <c r="B37" s="89"/>
      <c r="C37" s="89"/>
      <c r="D37" s="89"/>
      <c r="E37" s="89"/>
      <c r="F37" s="89"/>
      <c r="G37" s="90"/>
      <c r="H37" s="90"/>
      <c r="I37" s="15"/>
      <c r="J37" s="15"/>
    </row>
    <row r="38" spans="1:10">
      <c r="B38" s="16"/>
      <c r="C38" s="16"/>
      <c r="D38" s="16"/>
      <c r="E38" s="16"/>
      <c r="F38" s="16"/>
      <c r="G38" s="18"/>
      <c r="H38" s="18"/>
      <c r="I38" s="18"/>
      <c r="J38" s="18"/>
    </row>
    <row r="39" spans="1:10">
      <c r="A39" s="43" t="s">
        <v>410</v>
      </c>
      <c r="B39" s="12"/>
      <c r="C39" s="12"/>
      <c r="D39" s="12"/>
      <c r="E39" s="12"/>
      <c r="F39" s="12"/>
      <c r="G39" s="13"/>
      <c r="H39" s="13"/>
      <c r="I39" s="13"/>
      <c r="J39" s="13"/>
    </row>
    <row r="40" spans="1:10">
      <c r="B40" s="7"/>
      <c r="C40" s="7"/>
      <c r="D40" s="7"/>
      <c r="E40" s="7"/>
      <c r="F40" s="7"/>
      <c r="G40" s="14"/>
      <c r="H40" s="14"/>
      <c r="I40" s="14"/>
      <c r="J40" s="14"/>
    </row>
    <row r="41" spans="1:10">
      <c r="A41" s="8"/>
      <c r="B41" s="7"/>
      <c r="C41" s="7"/>
      <c r="D41" s="7"/>
      <c r="E41" s="7"/>
      <c r="F41" s="7"/>
      <c r="G41" s="15"/>
      <c r="H41" s="15"/>
      <c r="I41" s="15"/>
      <c r="J41" s="15"/>
    </row>
    <row r="42" spans="1:10">
      <c r="B42" s="16"/>
      <c r="C42" s="16"/>
      <c r="D42" s="16"/>
      <c r="E42" s="16"/>
      <c r="F42" s="16"/>
      <c r="G42" s="18"/>
      <c r="H42" s="18"/>
      <c r="I42" s="18"/>
      <c r="J42" s="18"/>
    </row>
    <row r="43" spans="1:10">
      <c r="B43" s="12"/>
      <c r="C43" s="12"/>
      <c r="D43" s="12"/>
      <c r="E43" s="12"/>
      <c r="F43" s="12"/>
      <c r="G43" s="13"/>
      <c r="H43" s="13"/>
      <c r="I43" s="13"/>
      <c r="J43" s="13"/>
    </row>
    <row r="44" spans="1:10">
      <c r="B44" s="12"/>
      <c r="C44" s="12"/>
      <c r="D44" s="7"/>
      <c r="E44" s="7"/>
      <c r="F44" s="7"/>
      <c r="G44" s="14"/>
      <c r="H44" s="14"/>
      <c r="I44" s="14"/>
      <c r="J44" s="14"/>
    </row>
    <row r="45" spans="1:10">
      <c r="B45" s="12"/>
      <c r="C45" s="12"/>
      <c r="D45" s="7"/>
      <c r="E45" s="7"/>
      <c r="F45" s="7"/>
      <c r="G45" s="15"/>
      <c r="H45" s="15"/>
      <c r="I45" s="15"/>
      <c r="J45" s="15"/>
    </row>
    <row r="46" spans="1:10">
      <c r="B46" s="16"/>
      <c r="C46" s="16"/>
      <c r="D46" s="7"/>
      <c r="E46" s="7"/>
      <c r="F46" s="7"/>
      <c r="G46" s="15"/>
      <c r="H46" s="15"/>
      <c r="I46" s="15"/>
      <c r="J46" s="15"/>
    </row>
    <row r="47" spans="1:10">
      <c r="A47" s="29" t="str">
        <f>"Percentage of patients waiting less than 18 weeks for adjusted waits - "&amp;C7</f>
        <v>Percentage of patients waiting less than 18 weeks for adjusted waits - Scotland</v>
      </c>
      <c r="B47" s="16"/>
      <c r="C47" s="16"/>
      <c r="D47" s="16"/>
      <c r="E47" s="16"/>
      <c r="F47" s="16"/>
      <c r="G47" s="15"/>
      <c r="H47" s="15"/>
      <c r="I47" s="15"/>
      <c r="J47" s="15"/>
    </row>
    <row r="48" spans="1:10">
      <c r="A48" s="28"/>
      <c r="B48" s="16"/>
      <c r="C48" s="16"/>
      <c r="D48" s="16"/>
      <c r="E48" s="16"/>
      <c r="F48" s="16"/>
      <c r="G48" s="18"/>
      <c r="H48" s="18"/>
      <c r="I48" s="18"/>
      <c r="J48" s="18"/>
    </row>
    <row r="49" spans="1:10">
      <c r="B49" s="12"/>
      <c r="C49" s="12"/>
      <c r="D49" s="12"/>
      <c r="E49" s="12"/>
      <c r="F49" s="12"/>
      <c r="G49" s="13"/>
      <c r="H49" s="13"/>
      <c r="I49" s="13"/>
      <c r="J49" s="13"/>
    </row>
    <row r="50" spans="1:10">
      <c r="B50" s="7"/>
      <c r="C50" s="7"/>
      <c r="D50" s="7"/>
      <c r="E50" s="7"/>
      <c r="F50" s="7"/>
      <c r="G50" s="14"/>
      <c r="H50" s="14"/>
      <c r="I50" s="14"/>
      <c r="J50" s="14"/>
    </row>
    <row r="51" spans="1:10">
      <c r="A51" s="29" t="str">
        <f>"Patients waiting - adjusted waits - "&amp;C7</f>
        <v>Patients waiting - adjusted waits - Scotland</v>
      </c>
      <c r="B51" s="16"/>
      <c r="C51" s="16"/>
      <c r="D51" s="16"/>
      <c r="E51" s="16"/>
      <c r="F51" s="16"/>
      <c r="G51" s="15"/>
      <c r="H51" s="15"/>
      <c r="I51" s="15"/>
      <c r="J51" s="15"/>
    </row>
    <row r="52" spans="1:10">
      <c r="A52" s="29" t="str">
        <f>"Percentage of patients waiting 0-18 weeks - adjusted waits - "&amp;C7</f>
        <v>Percentage of patients waiting 0-18 weeks - adjusted waits - Scotland</v>
      </c>
      <c r="B52" s="16"/>
      <c r="C52" s="16"/>
      <c r="D52" s="16"/>
      <c r="E52" s="16"/>
      <c r="F52" s="16"/>
      <c r="G52" s="15"/>
      <c r="H52" s="15"/>
      <c r="I52" s="15"/>
      <c r="J52" s="15"/>
    </row>
    <row r="53" spans="1:10">
      <c r="A53" s="29" t="str">
        <f>"Percentage of patients waiting - adjusted waits - "&amp;C7</f>
        <v>Percentage of patients waiting - adjusted waits - Scotland</v>
      </c>
      <c r="B53" s="16"/>
      <c r="C53" s="16"/>
      <c r="D53" s="16"/>
      <c r="E53" s="16"/>
      <c r="F53" s="16"/>
      <c r="G53" s="17"/>
      <c r="H53" s="17"/>
      <c r="I53" s="17"/>
      <c r="J53" s="17"/>
    </row>
    <row r="54" spans="1:10">
      <c r="B54" s="12"/>
      <c r="C54" s="12"/>
      <c r="D54" s="12"/>
      <c r="E54" s="12"/>
      <c r="F54" s="12"/>
      <c r="G54" s="13"/>
      <c r="H54" s="13"/>
      <c r="I54" s="13"/>
      <c r="J54" s="13"/>
    </row>
    <row r="55" spans="1:10" s="20" customFormat="1">
      <c r="B55" s="21"/>
      <c r="C55" s="21"/>
      <c r="D55" s="21"/>
      <c r="E55" s="21"/>
      <c r="F55" s="21"/>
      <c r="G55" s="22"/>
      <c r="H55" s="22"/>
      <c r="I55" s="22"/>
      <c r="J55" s="22"/>
    </row>
    <row r="56" spans="1:10">
      <c r="B56" s="8"/>
      <c r="C56" s="8"/>
      <c r="D56" s="8"/>
      <c r="E56" s="8"/>
      <c r="F56" s="8"/>
      <c r="G56" s="23"/>
      <c r="H56" s="24"/>
      <c r="I56" s="24"/>
      <c r="J56" s="24"/>
    </row>
    <row r="57" spans="1:10">
      <c r="B57" s="8"/>
      <c r="C57" s="8"/>
      <c r="D57" s="8"/>
      <c r="E57" s="8"/>
      <c r="F57" s="8"/>
      <c r="G57" s="25"/>
      <c r="H57" s="24"/>
      <c r="I57" s="24"/>
      <c r="J57" s="24"/>
    </row>
    <row r="58" spans="1:10">
      <c r="B58" s="8"/>
      <c r="C58" s="8"/>
      <c r="D58" s="8"/>
      <c r="E58" s="8"/>
      <c r="F58" s="8"/>
      <c r="G58" s="23"/>
      <c r="H58" s="24"/>
      <c r="I58" s="24"/>
      <c r="J58" s="24"/>
    </row>
    <row r="59" spans="1:10">
      <c r="A59" s="16"/>
      <c r="B59" s="16"/>
      <c r="C59" s="16"/>
      <c r="D59" s="16"/>
      <c r="E59" s="16"/>
      <c r="F59" s="16"/>
      <c r="G59" s="16"/>
      <c r="H59" s="26"/>
      <c r="I59" s="26"/>
      <c r="J59" s="26"/>
    </row>
    <row r="60" spans="1:10">
      <c r="B60" s="16"/>
      <c r="C60" s="16"/>
      <c r="D60" s="16"/>
      <c r="E60" s="16"/>
      <c r="F60" s="16"/>
      <c r="G60" s="18"/>
      <c r="H60" s="18"/>
      <c r="I60" s="18"/>
      <c r="J60" s="18"/>
    </row>
    <row r="61" spans="1:10">
      <c r="B61" s="12"/>
      <c r="C61" s="12"/>
      <c r="D61" s="12"/>
      <c r="E61" s="12"/>
      <c r="F61" s="12"/>
      <c r="G61" s="13"/>
      <c r="H61" s="13"/>
      <c r="I61" s="13"/>
      <c r="J61" s="13"/>
    </row>
    <row r="62" spans="1:10">
      <c r="B62" s="7"/>
      <c r="C62" s="7"/>
      <c r="D62" s="7"/>
      <c r="E62" s="7"/>
      <c r="F62" s="7"/>
      <c r="G62" s="14"/>
      <c r="H62" s="14"/>
      <c r="I62" s="14"/>
      <c r="J62" s="14"/>
    </row>
    <row r="63" spans="1:10">
      <c r="B63" s="7"/>
      <c r="C63" s="7"/>
      <c r="D63" s="7"/>
      <c r="E63" s="7"/>
      <c r="F63" s="7"/>
      <c r="G63" s="15"/>
      <c r="H63" s="15"/>
      <c r="I63" s="15"/>
      <c r="J63" s="15"/>
    </row>
    <row r="64" spans="1:10">
      <c r="B64" s="7"/>
      <c r="C64" s="7"/>
      <c r="D64" s="7"/>
      <c r="E64" s="7"/>
      <c r="F64" s="7"/>
      <c r="G64" s="15"/>
      <c r="H64" s="15"/>
      <c r="I64" s="15"/>
      <c r="J64" s="15"/>
    </row>
    <row r="65" spans="2:10">
      <c r="B65" s="16"/>
      <c r="C65" s="16"/>
      <c r="D65" s="16"/>
      <c r="E65" s="16"/>
      <c r="F65" s="16"/>
      <c r="G65" s="18"/>
      <c r="H65" s="18"/>
      <c r="I65" s="18"/>
      <c r="J65" s="18"/>
    </row>
    <row r="66" spans="2:10">
      <c r="B66" s="27"/>
      <c r="C66" s="27"/>
      <c r="D66" s="27"/>
      <c r="E66" s="27"/>
      <c r="F66" s="27"/>
      <c r="G66" s="13"/>
      <c r="H66" s="13"/>
      <c r="I66" s="13"/>
      <c r="J66" s="13"/>
    </row>
    <row r="67" spans="2:10">
      <c r="B67" s="28"/>
      <c r="C67" s="28"/>
      <c r="D67" s="28"/>
      <c r="E67" s="28"/>
      <c r="F67" s="28"/>
      <c r="G67" s="14"/>
      <c r="H67" s="14"/>
      <c r="I67" s="14"/>
      <c r="J67" s="14"/>
    </row>
    <row r="68" spans="2:10">
      <c r="G68" s="15"/>
      <c r="H68" s="15"/>
      <c r="I68" s="15"/>
      <c r="J68" s="15"/>
    </row>
    <row r="69" spans="2:10">
      <c r="G69" s="15"/>
      <c r="H69" s="15"/>
      <c r="I69" s="15"/>
      <c r="J69" s="15"/>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9"/>
      <c r="B91" s="29"/>
      <c r="C91" s="29"/>
      <c r="D91" s="29"/>
    </row>
    <row r="92" spans="1:4">
      <c r="A92" s="29"/>
      <c r="B92" s="29"/>
      <c r="C92" s="29"/>
      <c r="D92" s="29"/>
    </row>
    <row r="93" spans="1:4">
      <c r="A93" s="29"/>
      <c r="B93" s="29"/>
      <c r="C93" s="29"/>
      <c r="D93" s="29"/>
    </row>
    <row r="94" spans="1:4">
      <c r="A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sheetData>
  <sheetProtection algorithmName="SHA-512" hashValue="1eYTZT8p9+Hf8YCBXn5fapmHGk3AW4OjEg8h8q+WbkKSfhxSiEFNvvcPvM6wLIYOnKK85dxj1iB9OonGNYUK6A==" saltValue="8UxYtU36l3ezyhxIhvt/WQ==" spinCount="100000" sheet="1" objects="1" scenarios="1"/>
  <mergeCells count="11">
    <mergeCell ref="A2:D2"/>
    <mergeCell ref="D32:K32"/>
    <mergeCell ref="A6:D6"/>
    <mergeCell ref="C7:D7"/>
    <mergeCell ref="A9:A10"/>
    <mergeCell ref="B9:B10"/>
    <mergeCell ref="C9:F9"/>
    <mergeCell ref="G9:J9"/>
    <mergeCell ref="D29:K29"/>
    <mergeCell ref="D30:K30"/>
    <mergeCell ref="D31:K31"/>
  </mergeCells>
  <dataValidations count="2">
    <dataValidation type="list" allowBlank="1" showInputMessage="1" showErrorMessage="1" sqref="WVK983022:WVL983022 WLO983022:WLP983022 WBS983022:WBT983022 VRW983022:VRX983022 VIA983022:VIB983022 UYE983022:UYF983022 UOI983022:UOJ983022 UEM983022:UEN983022 TUQ983022:TUR983022 TKU983022:TKV983022 TAY983022:TAZ983022 SRC983022:SRD983022 SHG983022:SHH983022 RXK983022:RXL983022 RNO983022:RNP983022 RDS983022:RDT983022 QTW983022:QTX983022 QKA983022:QKB983022 QAE983022:QAF983022 PQI983022:PQJ983022 PGM983022:PGN983022 OWQ983022:OWR983022 OMU983022:OMV983022 OCY983022:OCZ983022 NTC983022:NTD983022 NJG983022:NJH983022 MZK983022:MZL983022 MPO983022:MPP983022 MFS983022:MFT983022 LVW983022:LVX983022 LMA983022:LMB983022 LCE983022:LCF983022 KSI983022:KSJ983022 KIM983022:KIN983022 JYQ983022:JYR983022 JOU983022:JOV983022 JEY983022:JEZ983022 IVC983022:IVD983022 ILG983022:ILH983022 IBK983022:IBL983022 HRO983022:HRP983022 HHS983022:HHT983022 GXW983022:GXX983022 GOA983022:GOB983022 GEE983022:GEF983022 FUI983022:FUJ983022 FKM983022:FKN983022 FAQ983022:FAR983022 EQU983022:EQV983022 EGY983022:EGZ983022 DXC983022:DXD983022 DNG983022:DNH983022 DDK983022:DDL983022 CTO983022:CTP983022 CJS983022:CJT983022 BZW983022:BZX983022 BQA983022:BQB983022 BGE983022:BGF983022 AWI983022:AWJ983022 AMM983022:AMN983022 ACQ983022:ACR983022 SU983022:SV983022 IY983022:IZ983022 C983022:D983022 WVK917486:WVL917486 WLO917486:WLP917486 WBS917486:WBT917486 VRW917486:VRX917486 VIA917486:VIB917486 UYE917486:UYF917486 UOI917486:UOJ917486 UEM917486:UEN917486 TUQ917486:TUR917486 TKU917486:TKV917486 TAY917486:TAZ917486 SRC917486:SRD917486 SHG917486:SHH917486 RXK917486:RXL917486 RNO917486:RNP917486 RDS917486:RDT917486 QTW917486:QTX917486 QKA917486:QKB917486 QAE917486:QAF917486 PQI917486:PQJ917486 PGM917486:PGN917486 OWQ917486:OWR917486 OMU917486:OMV917486 OCY917486:OCZ917486 NTC917486:NTD917486 NJG917486:NJH917486 MZK917486:MZL917486 MPO917486:MPP917486 MFS917486:MFT917486 LVW917486:LVX917486 LMA917486:LMB917486 LCE917486:LCF917486 KSI917486:KSJ917486 KIM917486:KIN917486 JYQ917486:JYR917486 JOU917486:JOV917486 JEY917486:JEZ917486 IVC917486:IVD917486 ILG917486:ILH917486 IBK917486:IBL917486 HRO917486:HRP917486 HHS917486:HHT917486 GXW917486:GXX917486 GOA917486:GOB917486 GEE917486:GEF917486 FUI917486:FUJ917486 FKM917486:FKN917486 FAQ917486:FAR917486 EQU917486:EQV917486 EGY917486:EGZ917486 DXC917486:DXD917486 DNG917486:DNH917486 DDK917486:DDL917486 CTO917486:CTP917486 CJS917486:CJT917486 BZW917486:BZX917486 BQA917486:BQB917486 BGE917486:BGF917486 AWI917486:AWJ917486 AMM917486:AMN917486 ACQ917486:ACR917486 SU917486:SV917486 IY917486:IZ917486 C917486:D917486 WVK851950:WVL851950 WLO851950:WLP851950 WBS851950:WBT851950 VRW851950:VRX851950 VIA851950:VIB851950 UYE851950:UYF851950 UOI851950:UOJ851950 UEM851950:UEN851950 TUQ851950:TUR851950 TKU851950:TKV851950 TAY851950:TAZ851950 SRC851950:SRD851950 SHG851950:SHH851950 RXK851950:RXL851950 RNO851950:RNP851950 RDS851950:RDT851950 QTW851950:QTX851950 QKA851950:QKB851950 QAE851950:QAF851950 PQI851950:PQJ851950 PGM851950:PGN851950 OWQ851950:OWR851950 OMU851950:OMV851950 OCY851950:OCZ851950 NTC851950:NTD851950 NJG851950:NJH851950 MZK851950:MZL851950 MPO851950:MPP851950 MFS851950:MFT851950 LVW851950:LVX851950 LMA851950:LMB851950 LCE851950:LCF851950 KSI851950:KSJ851950 KIM851950:KIN851950 JYQ851950:JYR851950 JOU851950:JOV851950 JEY851950:JEZ851950 IVC851950:IVD851950 ILG851950:ILH851950 IBK851950:IBL851950 HRO851950:HRP851950 HHS851950:HHT851950 GXW851950:GXX851950 GOA851950:GOB851950 GEE851950:GEF851950 FUI851950:FUJ851950 FKM851950:FKN851950 FAQ851950:FAR851950 EQU851950:EQV851950 EGY851950:EGZ851950 DXC851950:DXD851950 DNG851950:DNH851950 DDK851950:DDL851950 CTO851950:CTP851950 CJS851950:CJT851950 BZW851950:BZX851950 BQA851950:BQB851950 BGE851950:BGF851950 AWI851950:AWJ851950 AMM851950:AMN851950 ACQ851950:ACR851950 SU851950:SV851950 IY851950:IZ851950 C851950:D851950 WVK786414:WVL786414 WLO786414:WLP786414 WBS786414:WBT786414 VRW786414:VRX786414 VIA786414:VIB786414 UYE786414:UYF786414 UOI786414:UOJ786414 UEM786414:UEN786414 TUQ786414:TUR786414 TKU786414:TKV786414 TAY786414:TAZ786414 SRC786414:SRD786414 SHG786414:SHH786414 RXK786414:RXL786414 RNO786414:RNP786414 RDS786414:RDT786414 QTW786414:QTX786414 QKA786414:QKB786414 QAE786414:QAF786414 PQI786414:PQJ786414 PGM786414:PGN786414 OWQ786414:OWR786414 OMU786414:OMV786414 OCY786414:OCZ786414 NTC786414:NTD786414 NJG786414:NJH786414 MZK786414:MZL786414 MPO786414:MPP786414 MFS786414:MFT786414 LVW786414:LVX786414 LMA786414:LMB786414 LCE786414:LCF786414 KSI786414:KSJ786414 KIM786414:KIN786414 JYQ786414:JYR786414 JOU786414:JOV786414 JEY786414:JEZ786414 IVC786414:IVD786414 ILG786414:ILH786414 IBK786414:IBL786414 HRO786414:HRP786414 HHS786414:HHT786414 GXW786414:GXX786414 GOA786414:GOB786414 GEE786414:GEF786414 FUI786414:FUJ786414 FKM786414:FKN786414 FAQ786414:FAR786414 EQU786414:EQV786414 EGY786414:EGZ786414 DXC786414:DXD786414 DNG786414:DNH786414 DDK786414:DDL786414 CTO786414:CTP786414 CJS786414:CJT786414 BZW786414:BZX786414 BQA786414:BQB786414 BGE786414:BGF786414 AWI786414:AWJ786414 AMM786414:AMN786414 ACQ786414:ACR786414 SU786414:SV786414 IY786414:IZ786414 C786414:D786414 WVK720878:WVL720878 WLO720878:WLP720878 WBS720878:WBT720878 VRW720878:VRX720878 VIA720878:VIB720878 UYE720878:UYF720878 UOI720878:UOJ720878 UEM720878:UEN720878 TUQ720878:TUR720878 TKU720878:TKV720878 TAY720878:TAZ720878 SRC720878:SRD720878 SHG720878:SHH720878 RXK720878:RXL720878 RNO720878:RNP720878 RDS720878:RDT720878 QTW720878:QTX720878 QKA720878:QKB720878 QAE720878:QAF720878 PQI720878:PQJ720878 PGM720878:PGN720878 OWQ720878:OWR720878 OMU720878:OMV720878 OCY720878:OCZ720878 NTC720878:NTD720878 NJG720878:NJH720878 MZK720878:MZL720878 MPO720878:MPP720878 MFS720878:MFT720878 LVW720878:LVX720878 LMA720878:LMB720878 LCE720878:LCF720878 KSI720878:KSJ720878 KIM720878:KIN720878 JYQ720878:JYR720878 JOU720878:JOV720878 JEY720878:JEZ720878 IVC720878:IVD720878 ILG720878:ILH720878 IBK720878:IBL720878 HRO720878:HRP720878 HHS720878:HHT720878 GXW720878:GXX720878 GOA720878:GOB720878 GEE720878:GEF720878 FUI720878:FUJ720878 FKM720878:FKN720878 FAQ720878:FAR720878 EQU720878:EQV720878 EGY720878:EGZ720878 DXC720878:DXD720878 DNG720878:DNH720878 DDK720878:DDL720878 CTO720878:CTP720878 CJS720878:CJT720878 BZW720878:BZX720878 BQA720878:BQB720878 BGE720878:BGF720878 AWI720878:AWJ720878 AMM720878:AMN720878 ACQ720878:ACR720878 SU720878:SV720878 IY720878:IZ720878 C720878:D720878 WVK655342:WVL655342 WLO655342:WLP655342 WBS655342:WBT655342 VRW655342:VRX655342 VIA655342:VIB655342 UYE655342:UYF655342 UOI655342:UOJ655342 UEM655342:UEN655342 TUQ655342:TUR655342 TKU655342:TKV655342 TAY655342:TAZ655342 SRC655342:SRD655342 SHG655342:SHH655342 RXK655342:RXL655342 RNO655342:RNP655342 RDS655342:RDT655342 QTW655342:QTX655342 QKA655342:QKB655342 QAE655342:QAF655342 PQI655342:PQJ655342 PGM655342:PGN655342 OWQ655342:OWR655342 OMU655342:OMV655342 OCY655342:OCZ655342 NTC655342:NTD655342 NJG655342:NJH655342 MZK655342:MZL655342 MPO655342:MPP655342 MFS655342:MFT655342 LVW655342:LVX655342 LMA655342:LMB655342 LCE655342:LCF655342 KSI655342:KSJ655342 KIM655342:KIN655342 JYQ655342:JYR655342 JOU655342:JOV655342 JEY655342:JEZ655342 IVC655342:IVD655342 ILG655342:ILH655342 IBK655342:IBL655342 HRO655342:HRP655342 HHS655342:HHT655342 GXW655342:GXX655342 GOA655342:GOB655342 GEE655342:GEF655342 FUI655342:FUJ655342 FKM655342:FKN655342 FAQ655342:FAR655342 EQU655342:EQV655342 EGY655342:EGZ655342 DXC655342:DXD655342 DNG655342:DNH655342 DDK655342:DDL655342 CTO655342:CTP655342 CJS655342:CJT655342 BZW655342:BZX655342 BQA655342:BQB655342 BGE655342:BGF655342 AWI655342:AWJ655342 AMM655342:AMN655342 ACQ655342:ACR655342 SU655342:SV655342 IY655342:IZ655342 C655342:D655342 WVK589806:WVL589806 WLO589806:WLP589806 WBS589806:WBT589806 VRW589806:VRX589806 VIA589806:VIB589806 UYE589806:UYF589806 UOI589806:UOJ589806 UEM589806:UEN589806 TUQ589806:TUR589806 TKU589806:TKV589806 TAY589806:TAZ589806 SRC589806:SRD589806 SHG589806:SHH589806 RXK589806:RXL589806 RNO589806:RNP589806 RDS589806:RDT589806 QTW589806:QTX589806 QKA589806:QKB589806 QAE589806:QAF589806 PQI589806:PQJ589806 PGM589806:PGN589806 OWQ589806:OWR589806 OMU589806:OMV589806 OCY589806:OCZ589806 NTC589806:NTD589806 NJG589806:NJH589806 MZK589806:MZL589806 MPO589806:MPP589806 MFS589806:MFT589806 LVW589806:LVX589806 LMA589806:LMB589806 LCE589806:LCF589806 KSI589806:KSJ589806 KIM589806:KIN589806 JYQ589806:JYR589806 JOU589806:JOV589806 JEY589806:JEZ589806 IVC589806:IVD589806 ILG589806:ILH589806 IBK589806:IBL589806 HRO589806:HRP589806 HHS589806:HHT589806 GXW589806:GXX589806 GOA589806:GOB589806 GEE589806:GEF589806 FUI589806:FUJ589806 FKM589806:FKN589806 FAQ589806:FAR589806 EQU589806:EQV589806 EGY589806:EGZ589806 DXC589806:DXD589806 DNG589806:DNH589806 DDK589806:DDL589806 CTO589806:CTP589806 CJS589806:CJT589806 BZW589806:BZX589806 BQA589806:BQB589806 BGE589806:BGF589806 AWI589806:AWJ589806 AMM589806:AMN589806 ACQ589806:ACR589806 SU589806:SV589806 IY589806:IZ589806 C589806:D589806 WVK524270:WVL524270 WLO524270:WLP524270 WBS524270:WBT524270 VRW524270:VRX524270 VIA524270:VIB524270 UYE524270:UYF524270 UOI524270:UOJ524270 UEM524270:UEN524270 TUQ524270:TUR524270 TKU524270:TKV524270 TAY524270:TAZ524270 SRC524270:SRD524270 SHG524270:SHH524270 RXK524270:RXL524270 RNO524270:RNP524270 RDS524270:RDT524270 QTW524270:QTX524270 QKA524270:QKB524270 QAE524270:QAF524270 PQI524270:PQJ524270 PGM524270:PGN524270 OWQ524270:OWR524270 OMU524270:OMV524270 OCY524270:OCZ524270 NTC524270:NTD524270 NJG524270:NJH524270 MZK524270:MZL524270 MPO524270:MPP524270 MFS524270:MFT524270 LVW524270:LVX524270 LMA524270:LMB524270 LCE524270:LCF524270 KSI524270:KSJ524270 KIM524270:KIN524270 JYQ524270:JYR524270 JOU524270:JOV524270 JEY524270:JEZ524270 IVC524270:IVD524270 ILG524270:ILH524270 IBK524270:IBL524270 HRO524270:HRP524270 HHS524270:HHT524270 GXW524270:GXX524270 GOA524270:GOB524270 GEE524270:GEF524270 FUI524270:FUJ524270 FKM524270:FKN524270 FAQ524270:FAR524270 EQU524270:EQV524270 EGY524270:EGZ524270 DXC524270:DXD524270 DNG524270:DNH524270 DDK524270:DDL524270 CTO524270:CTP524270 CJS524270:CJT524270 BZW524270:BZX524270 BQA524270:BQB524270 BGE524270:BGF524270 AWI524270:AWJ524270 AMM524270:AMN524270 ACQ524270:ACR524270 SU524270:SV524270 IY524270:IZ524270 C524270:D524270 WVK458734:WVL458734 WLO458734:WLP458734 WBS458734:WBT458734 VRW458734:VRX458734 VIA458734:VIB458734 UYE458734:UYF458734 UOI458734:UOJ458734 UEM458734:UEN458734 TUQ458734:TUR458734 TKU458734:TKV458734 TAY458734:TAZ458734 SRC458734:SRD458734 SHG458734:SHH458734 RXK458734:RXL458734 RNO458734:RNP458734 RDS458734:RDT458734 QTW458734:QTX458734 QKA458734:QKB458734 QAE458734:QAF458734 PQI458734:PQJ458734 PGM458734:PGN458734 OWQ458734:OWR458734 OMU458734:OMV458734 OCY458734:OCZ458734 NTC458734:NTD458734 NJG458734:NJH458734 MZK458734:MZL458734 MPO458734:MPP458734 MFS458734:MFT458734 LVW458734:LVX458734 LMA458734:LMB458734 LCE458734:LCF458734 KSI458734:KSJ458734 KIM458734:KIN458734 JYQ458734:JYR458734 JOU458734:JOV458734 JEY458734:JEZ458734 IVC458734:IVD458734 ILG458734:ILH458734 IBK458734:IBL458734 HRO458734:HRP458734 HHS458734:HHT458734 GXW458734:GXX458734 GOA458734:GOB458734 GEE458734:GEF458734 FUI458734:FUJ458734 FKM458734:FKN458734 FAQ458734:FAR458734 EQU458734:EQV458734 EGY458734:EGZ458734 DXC458734:DXD458734 DNG458734:DNH458734 DDK458734:DDL458734 CTO458734:CTP458734 CJS458734:CJT458734 BZW458734:BZX458734 BQA458734:BQB458734 BGE458734:BGF458734 AWI458734:AWJ458734 AMM458734:AMN458734 ACQ458734:ACR458734 SU458734:SV458734 IY458734:IZ458734 C458734:D458734 WVK393198:WVL393198 WLO393198:WLP393198 WBS393198:WBT393198 VRW393198:VRX393198 VIA393198:VIB393198 UYE393198:UYF393198 UOI393198:UOJ393198 UEM393198:UEN393198 TUQ393198:TUR393198 TKU393198:TKV393198 TAY393198:TAZ393198 SRC393198:SRD393198 SHG393198:SHH393198 RXK393198:RXL393198 RNO393198:RNP393198 RDS393198:RDT393198 QTW393198:QTX393198 QKA393198:QKB393198 QAE393198:QAF393198 PQI393198:PQJ393198 PGM393198:PGN393198 OWQ393198:OWR393198 OMU393198:OMV393198 OCY393198:OCZ393198 NTC393198:NTD393198 NJG393198:NJH393198 MZK393198:MZL393198 MPO393198:MPP393198 MFS393198:MFT393198 LVW393198:LVX393198 LMA393198:LMB393198 LCE393198:LCF393198 KSI393198:KSJ393198 KIM393198:KIN393198 JYQ393198:JYR393198 JOU393198:JOV393198 JEY393198:JEZ393198 IVC393198:IVD393198 ILG393198:ILH393198 IBK393198:IBL393198 HRO393198:HRP393198 HHS393198:HHT393198 GXW393198:GXX393198 GOA393198:GOB393198 GEE393198:GEF393198 FUI393198:FUJ393198 FKM393198:FKN393198 FAQ393198:FAR393198 EQU393198:EQV393198 EGY393198:EGZ393198 DXC393198:DXD393198 DNG393198:DNH393198 DDK393198:DDL393198 CTO393198:CTP393198 CJS393198:CJT393198 BZW393198:BZX393198 BQA393198:BQB393198 BGE393198:BGF393198 AWI393198:AWJ393198 AMM393198:AMN393198 ACQ393198:ACR393198 SU393198:SV393198 IY393198:IZ393198 C393198:D393198 WVK327662:WVL327662 WLO327662:WLP327662 WBS327662:WBT327662 VRW327662:VRX327662 VIA327662:VIB327662 UYE327662:UYF327662 UOI327662:UOJ327662 UEM327662:UEN327662 TUQ327662:TUR327662 TKU327662:TKV327662 TAY327662:TAZ327662 SRC327662:SRD327662 SHG327662:SHH327662 RXK327662:RXL327662 RNO327662:RNP327662 RDS327662:RDT327662 QTW327662:QTX327662 QKA327662:QKB327662 QAE327662:QAF327662 PQI327662:PQJ327662 PGM327662:PGN327662 OWQ327662:OWR327662 OMU327662:OMV327662 OCY327662:OCZ327662 NTC327662:NTD327662 NJG327662:NJH327662 MZK327662:MZL327662 MPO327662:MPP327662 MFS327662:MFT327662 LVW327662:LVX327662 LMA327662:LMB327662 LCE327662:LCF327662 KSI327662:KSJ327662 KIM327662:KIN327662 JYQ327662:JYR327662 JOU327662:JOV327662 JEY327662:JEZ327662 IVC327662:IVD327662 ILG327662:ILH327662 IBK327662:IBL327662 HRO327662:HRP327662 HHS327662:HHT327662 GXW327662:GXX327662 GOA327662:GOB327662 GEE327662:GEF327662 FUI327662:FUJ327662 FKM327662:FKN327662 FAQ327662:FAR327662 EQU327662:EQV327662 EGY327662:EGZ327662 DXC327662:DXD327662 DNG327662:DNH327662 DDK327662:DDL327662 CTO327662:CTP327662 CJS327662:CJT327662 BZW327662:BZX327662 BQA327662:BQB327662 BGE327662:BGF327662 AWI327662:AWJ327662 AMM327662:AMN327662 ACQ327662:ACR327662 SU327662:SV327662 IY327662:IZ327662 C327662:D327662 WVK262126:WVL262126 WLO262126:WLP262126 WBS262126:WBT262126 VRW262126:VRX262126 VIA262126:VIB262126 UYE262126:UYF262126 UOI262126:UOJ262126 UEM262126:UEN262126 TUQ262126:TUR262126 TKU262126:TKV262126 TAY262126:TAZ262126 SRC262126:SRD262126 SHG262126:SHH262126 RXK262126:RXL262126 RNO262126:RNP262126 RDS262126:RDT262126 QTW262126:QTX262126 QKA262126:QKB262126 QAE262126:QAF262126 PQI262126:PQJ262126 PGM262126:PGN262126 OWQ262126:OWR262126 OMU262126:OMV262126 OCY262126:OCZ262126 NTC262126:NTD262126 NJG262126:NJH262126 MZK262126:MZL262126 MPO262126:MPP262126 MFS262126:MFT262126 LVW262126:LVX262126 LMA262126:LMB262126 LCE262126:LCF262126 KSI262126:KSJ262126 KIM262126:KIN262126 JYQ262126:JYR262126 JOU262126:JOV262126 JEY262126:JEZ262126 IVC262126:IVD262126 ILG262126:ILH262126 IBK262126:IBL262126 HRO262126:HRP262126 HHS262126:HHT262126 GXW262126:GXX262126 GOA262126:GOB262126 GEE262126:GEF262126 FUI262126:FUJ262126 FKM262126:FKN262126 FAQ262126:FAR262126 EQU262126:EQV262126 EGY262126:EGZ262126 DXC262126:DXD262126 DNG262126:DNH262126 DDK262126:DDL262126 CTO262126:CTP262126 CJS262126:CJT262126 BZW262126:BZX262126 BQA262126:BQB262126 BGE262126:BGF262126 AWI262126:AWJ262126 AMM262126:AMN262126 ACQ262126:ACR262126 SU262126:SV262126 IY262126:IZ262126 C262126:D262126 WVK196590:WVL196590 WLO196590:WLP196590 WBS196590:WBT196590 VRW196590:VRX196590 VIA196590:VIB196590 UYE196590:UYF196590 UOI196590:UOJ196590 UEM196590:UEN196590 TUQ196590:TUR196590 TKU196590:TKV196590 TAY196590:TAZ196590 SRC196590:SRD196590 SHG196590:SHH196590 RXK196590:RXL196590 RNO196590:RNP196590 RDS196590:RDT196590 QTW196590:QTX196590 QKA196590:QKB196590 QAE196590:QAF196590 PQI196590:PQJ196590 PGM196590:PGN196590 OWQ196590:OWR196590 OMU196590:OMV196590 OCY196590:OCZ196590 NTC196590:NTD196590 NJG196590:NJH196590 MZK196590:MZL196590 MPO196590:MPP196590 MFS196590:MFT196590 LVW196590:LVX196590 LMA196590:LMB196590 LCE196590:LCF196590 KSI196590:KSJ196590 KIM196590:KIN196590 JYQ196590:JYR196590 JOU196590:JOV196590 JEY196590:JEZ196590 IVC196590:IVD196590 ILG196590:ILH196590 IBK196590:IBL196590 HRO196590:HRP196590 HHS196590:HHT196590 GXW196590:GXX196590 GOA196590:GOB196590 GEE196590:GEF196590 FUI196590:FUJ196590 FKM196590:FKN196590 FAQ196590:FAR196590 EQU196590:EQV196590 EGY196590:EGZ196590 DXC196590:DXD196590 DNG196590:DNH196590 DDK196590:DDL196590 CTO196590:CTP196590 CJS196590:CJT196590 BZW196590:BZX196590 BQA196590:BQB196590 BGE196590:BGF196590 AWI196590:AWJ196590 AMM196590:AMN196590 ACQ196590:ACR196590 SU196590:SV196590 IY196590:IZ196590 C196590:D196590 WVK131054:WVL131054 WLO131054:WLP131054 WBS131054:WBT131054 VRW131054:VRX131054 VIA131054:VIB131054 UYE131054:UYF131054 UOI131054:UOJ131054 UEM131054:UEN131054 TUQ131054:TUR131054 TKU131054:TKV131054 TAY131054:TAZ131054 SRC131054:SRD131054 SHG131054:SHH131054 RXK131054:RXL131054 RNO131054:RNP131054 RDS131054:RDT131054 QTW131054:QTX131054 QKA131054:QKB131054 QAE131054:QAF131054 PQI131054:PQJ131054 PGM131054:PGN131054 OWQ131054:OWR131054 OMU131054:OMV131054 OCY131054:OCZ131054 NTC131054:NTD131054 NJG131054:NJH131054 MZK131054:MZL131054 MPO131054:MPP131054 MFS131054:MFT131054 LVW131054:LVX131054 LMA131054:LMB131054 LCE131054:LCF131054 KSI131054:KSJ131054 KIM131054:KIN131054 JYQ131054:JYR131054 JOU131054:JOV131054 JEY131054:JEZ131054 IVC131054:IVD131054 ILG131054:ILH131054 IBK131054:IBL131054 HRO131054:HRP131054 HHS131054:HHT131054 GXW131054:GXX131054 GOA131054:GOB131054 GEE131054:GEF131054 FUI131054:FUJ131054 FKM131054:FKN131054 FAQ131054:FAR131054 EQU131054:EQV131054 EGY131054:EGZ131054 DXC131054:DXD131054 DNG131054:DNH131054 DDK131054:DDL131054 CTO131054:CTP131054 CJS131054:CJT131054 BZW131054:BZX131054 BQA131054:BQB131054 BGE131054:BGF131054 AWI131054:AWJ131054 AMM131054:AMN131054 ACQ131054:ACR131054 SU131054:SV131054 IY131054:IZ131054 C131054:D131054 WVK65518:WVL65518 WLO65518:WLP65518 WBS65518:WBT65518 VRW65518:VRX65518 VIA65518:VIB65518 UYE65518:UYF65518 UOI65518:UOJ65518 UEM65518:UEN65518 TUQ65518:TUR65518 TKU65518:TKV65518 TAY65518:TAZ65518 SRC65518:SRD65518 SHG65518:SHH65518 RXK65518:RXL65518 RNO65518:RNP65518 RDS65518:RDT65518 QTW65518:QTX65518 QKA65518:QKB65518 QAE65518:QAF65518 PQI65518:PQJ65518 PGM65518:PGN65518 OWQ65518:OWR65518 OMU65518:OMV65518 OCY65518:OCZ65518 NTC65518:NTD65518 NJG65518:NJH65518 MZK65518:MZL65518 MPO65518:MPP65518 MFS65518:MFT65518 LVW65518:LVX65518 LMA65518:LMB65518 LCE65518:LCF65518 KSI65518:KSJ65518 KIM65518:KIN65518 JYQ65518:JYR65518 JOU65518:JOV65518 JEY65518:JEZ65518 IVC65518:IVD65518 ILG65518:ILH65518 IBK65518:IBL65518 HRO65518:HRP65518 HHS65518:HHT65518 GXW65518:GXX65518 GOA65518:GOB65518 GEE65518:GEF65518 FUI65518:FUJ65518 FKM65518:FKN65518 FAQ65518:FAR65518 EQU65518:EQV65518 EGY65518:EGZ65518 DXC65518:DXD65518 DNG65518:DNH65518 DDK65518:DDL65518 CTO65518:CTP65518 CJS65518:CJT65518 BZW65518:BZX65518 BQA65518:BQB65518 BGE65518:BGF65518 AWI65518:AWJ65518 AMM65518:AMN65518 ACQ65518:ACR65518 SU65518:SV65518 IY65518:IZ65518 C65518:D65518 SU7:SV7 ACQ7:ACR7 AMM7:AMN7 AWI7:AWJ7 BGE7:BGF7 BQA7:BQB7 BZW7:BZX7 CJS7:CJT7 CTO7:CTP7 DDK7:DDL7 DNG7:DNH7 DXC7:DXD7 EGY7:EGZ7 EQU7:EQV7 FAQ7:FAR7 FKM7:FKN7 FUI7:FUJ7 GEE7:GEF7 GOA7:GOB7 GXW7:GXX7 HHS7:HHT7 HRO7:HRP7 IBK7:IBL7 ILG7:ILH7 IVC7:IVD7 JEY7:JEZ7 JOU7:JOV7 JYQ7:JYR7 KIM7:KIN7 KSI7:KSJ7 LCE7:LCF7 LMA7:LMB7 LVW7:LVX7 MFS7:MFT7 MPO7:MPP7 MZK7:MZL7 NJG7:NJH7 NTC7:NTD7 OCY7:OCZ7 OMU7:OMV7 OWQ7:OWR7 PGM7:PGN7 PQI7:PQJ7 QAE7:QAF7 QKA7:QKB7 QTW7:QTX7 RDS7:RDT7 RNO7:RNP7 RXK7:RXL7 SHG7:SHH7 SRC7:SRD7 TAY7:TAZ7 TKU7:TKV7 TUQ7:TUR7 UEM7:UEN7 UOI7:UOJ7 UYE7:UYF7 VIA7:VIB7 VRW7:VRX7 WBS7:WBT7 WLO7:WLP7 WVK7:WVL7 IY7:IZ7">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K123"/>
  <sheetViews>
    <sheetView workbookViewId="0">
      <selection sqref="A1:K1"/>
    </sheetView>
  </sheetViews>
  <sheetFormatPr defaultRowHeight="15"/>
  <cols>
    <col min="1" max="1" width="22.5703125" style="6" customWidth="1"/>
    <col min="2" max="2" width="13.5703125" style="6" customWidth="1"/>
    <col min="3" max="3" width="15.140625" style="6" customWidth="1"/>
    <col min="4" max="4" width="12.85546875" style="6" customWidth="1"/>
    <col min="5" max="5" width="13.7109375" style="6" customWidth="1"/>
    <col min="6" max="7" width="14.5703125" style="6" customWidth="1"/>
    <col min="8" max="8" width="14.28515625" style="6" customWidth="1"/>
    <col min="9" max="252" width="9.140625" style="6"/>
    <col min="253" max="253" width="18.28515625" style="6" customWidth="1"/>
    <col min="254" max="254" width="13.5703125" style="6" customWidth="1"/>
    <col min="255" max="255" width="15.140625" style="6" customWidth="1"/>
    <col min="256" max="256" width="12.85546875" style="6" customWidth="1"/>
    <col min="257" max="257" width="12.28515625" style="6" customWidth="1"/>
    <col min="258" max="258" width="12.42578125" style="6" customWidth="1"/>
    <col min="259" max="259" width="11.7109375" style="6" customWidth="1"/>
    <col min="260" max="262" width="14.5703125" style="6" customWidth="1"/>
    <col min="263" max="263" width="13.42578125" style="6" customWidth="1"/>
    <col min="264" max="508" width="9.140625" style="6"/>
    <col min="509" max="509" width="18.28515625" style="6" customWidth="1"/>
    <col min="510" max="510" width="13.5703125" style="6" customWidth="1"/>
    <col min="511" max="511" width="15.140625" style="6" customWidth="1"/>
    <col min="512" max="512" width="12.85546875" style="6" customWidth="1"/>
    <col min="513" max="513" width="12.28515625" style="6" customWidth="1"/>
    <col min="514" max="514" width="12.42578125" style="6" customWidth="1"/>
    <col min="515" max="515" width="11.7109375" style="6" customWidth="1"/>
    <col min="516" max="518" width="14.5703125" style="6" customWidth="1"/>
    <col min="519" max="519" width="13.42578125" style="6" customWidth="1"/>
    <col min="520" max="764" width="9.140625" style="6"/>
    <col min="765" max="765" width="18.28515625" style="6" customWidth="1"/>
    <col min="766" max="766" width="13.5703125" style="6" customWidth="1"/>
    <col min="767" max="767" width="15.140625" style="6" customWidth="1"/>
    <col min="768" max="768" width="12.85546875" style="6" customWidth="1"/>
    <col min="769" max="769" width="12.28515625" style="6" customWidth="1"/>
    <col min="770" max="770" width="12.42578125" style="6" customWidth="1"/>
    <col min="771" max="771" width="11.7109375" style="6" customWidth="1"/>
    <col min="772" max="774" width="14.5703125" style="6" customWidth="1"/>
    <col min="775" max="775" width="13.42578125" style="6" customWidth="1"/>
    <col min="776" max="1020" width="9.140625" style="6"/>
    <col min="1021" max="1021" width="18.28515625" style="6" customWidth="1"/>
    <col min="1022" max="1022" width="13.5703125" style="6" customWidth="1"/>
    <col min="1023" max="1023" width="15.140625" style="6" customWidth="1"/>
    <col min="1024" max="1024" width="12.85546875" style="6" customWidth="1"/>
    <col min="1025" max="1025" width="12.28515625" style="6" customWidth="1"/>
    <col min="1026" max="1026" width="12.42578125" style="6" customWidth="1"/>
    <col min="1027" max="1027" width="11.7109375" style="6" customWidth="1"/>
    <col min="1028" max="1030" width="14.5703125" style="6" customWidth="1"/>
    <col min="1031" max="1031" width="13.42578125" style="6" customWidth="1"/>
    <col min="1032" max="1276" width="9.140625" style="6"/>
    <col min="1277" max="1277" width="18.28515625" style="6" customWidth="1"/>
    <col min="1278" max="1278" width="13.5703125" style="6" customWidth="1"/>
    <col min="1279" max="1279" width="15.140625" style="6" customWidth="1"/>
    <col min="1280" max="1280" width="12.85546875" style="6" customWidth="1"/>
    <col min="1281" max="1281" width="12.28515625" style="6" customWidth="1"/>
    <col min="1282" max="1282" width="12.42578125" style="6" customWidth="1"/>
    <col min="1283" max="1283" width="11.7109375" style="6" customWidth="1"/>
    <col min="1284" max="1286" width="14.5703125" style="6" customWidth="1"/>
    <col min="1287" max="1287" width="13.42578125" style="6" customWidth="1"/>
    <col min="1288" max="1532" width="9.140625" style="6"/>
    <col min="1533" max="1533" width="18.28515625" style="6" customWidth="1"/>
    <col min="1534" max="1534" width="13.5703125" style="6" customWidth="1"/>
    <col min="1535" max="1535" width="15.140625" style="6" customWidth="1"/>
    <col min="1536" max="1536" width="12.85546875" style="6" customWidth="1"/>
    <col min="1537" max="1537" width="12.28515625" style="6" customWidth="1"/>
    <col min="1538" max="1538" width="12.42578125" style="6" customWidth="1"/>
    <col min="1539" max="1539" width="11.7109375" style="6" customWidth="1"/>
    <col min="1540" max="1542" width="14.5703125" style="6" customWidth="1"/>
    <col min="1543" max="1543" width="13.42578125" style="6" customWidth="1"/>
    <col min="1544" max="1788" width="9.140625" style="6"/>
    <col min="1789" max="1789" width="18.28515625" style="6" customWidth="1"/>
    <col min="1790" max="1790" width="13.5703125" style="6" customWidth="1"/>
    <col min="1791" max="1791" width="15.140625" style="6" customWidth="1"/>
    <col min="1792" max="1792" width="12.85546875" style="6" customWidth="1"/>
    <col min="1793" max="1793" width="12.28515625" style="6" customWidth="1"/>
    <col min="1794" max="1794" width="12.42578125" style="6" customWidth="1"/>
    <col min="1795" max="1795" width="11.7109375" style="6" customWidth="1"/>
    <col min="1796" max="1798" width="14.5703125" style="6" customWidth="1"/>
    <col min="1799" max="1799" width="13.42578125" style="6" customWidth="1"/>
    <col min="1800" max="2044" width="9.140625" style="6"/>
    <col min="2045" max="2045" width="18.28515625" style="6" customWidth="1"/>
    <col min="2046" max="2046" width="13.5703125" style="6" customWidth="1"/>
    <col min="2047" max="2047" width="15.140625" style="6" customWidth="1"/>
    <col min="2048" max="2048" width="12.85546875" style="6" customWidth="1"/>
    <col min="2049" max="2049" width="12.28515625" style="6" customWidth="1"/>
    <col min="2050" max="2050" width="12.42578125" style="6" customWidth="1"/>
    <col min="2051" max="2051" width="11.7109375" style="6" customWidth="1"/>
    <col min="2052" max="2054" width="14.5703125" style="6" customWidth="1"/>
    <col min="2055" max="2055" width="13.42578125" style="6" customWidth="1"/>
    <col min="2056" max="2300" width="9.140625" style="6"/>
    <col min="2301" max="2301" width="18.28515625" style="6" customWidth="1"/>
    <col min="2302" max="2302" width="13.5703125" style="6" customWidth="1"/>
    <col min="2303" max="2303" width="15.140625" style="6" customWidth="1"/>
    <col min="2304" max="2304" width="12.85546875" style="6" customWidth="1"/>
    <col min="2305" max="2305" width="12.28515625" style="6" customWidth="1"/>
    <col min="2306" max="2306" width="12.42578125" style="6" customWidth="1"/>
    <col min="2307" max="2307" width="11.7109375" style="6" customWidth="1"/>
    <col min="2308" max="2310" width="14.5703125" style="6" customWidth="1"/>
    <col min="2311" max="2311" width="13.42578125" style="6" customWidth="1"/>
    <col min="2312" max="2556" width="9.140625" style="6"/>
    <col min="2557" max="2557" width="18.28515625" style="6" customWidth="1"/>
    <col min="2558" max="2558" width="13.5703125" style="6" customWidth="1"/>
    <col min="2559" max="2559" width="15.140625" style="6" customWidth="1"/>
    <col min="2560" max="2560" width="12.85546875" style="6" customWidth="1"/>
    <col min="2561" max="2561" width="12.28515625" style="6" customWidth="1"/>
    <col min="2562" max="2562" width="12.42578125" style="6" customWidth="1"/>
    <col min="2563" max="2563" width="11.7109375" style="6" customWidth="1"/>
    <col min="2564" max="2566" width="14.5703125" style="6" customWidth="1"/>
    <col min="2567" max="2567" width="13.42578125" style="6" customWidth="1"/>
    <col min="2568" max="2812" width="9.140625" style="6"/>
    <col min="2813" max="2813" width="18.28515625" style="6" customWidth="1"/>
    <col min="2814" max="2814" width="13.5703125" style="6" customWidth="1"/>
    <col min="2815" max="2815" width="15.140625" style="6" customWidth="1"/>
    <col min="2816" max="2816" width="12.85546875" style="6" customWidth="1"/>
    <col min="2817" max="2817" width="12.28515625" style="6" customWidth="1"/>
    <col min="2818" max="2818" width="12.42578125" style="6" customWidth="1"/>
    <col min="2819" max="2819" width="11.7109375" style="6" customWidth="1"/>
    <col min="2820" max="2822" width="14.5703125" style="6" customWidth="1"/>
    <col min="2823" max="2823" width="13.42578125" style="6" customWidth="1"/>
    <col min="2824" max="3068" width="9.140625" style="6"/>
    <col min="3069" max="3069" width="18.28515625" style="6" customWidth="1"/>
    <col min="3070" max="3070" width="13.5703125" style="6" customWidth="1"/>
    <col min="3071" max="3071" width="15.140625" style="6" customWidth="1"/>
    <col min="3072" max="3072" width="12.85546875" style="6" customWidth="1"/>
    <col min="3073" max="3073" width="12.28515625" style="6" customWidth="1"/>
    <col min="3074" max="3074" width="12.42578125" style="6" customWidth="1"/>
    <col min="3075" max="3075" width="11.7109375" style="6" customWidth="1"/>
    <col min="3076" max="3078" width="14.5703125" style="6" customWidth="1"/>
    <col min="3079" max="3079" width="13.42578125" style="6" customWidth="1"/>
    <col min="3080" max="3324" width="9.140625" style="6"/>
    <col min="3325" max="3325" width="18.28515625" style="6" customWidth="1"/>
    <col min="3326" max="3326" width="13.5703125" style="6" customWidth="1"/>
    <col min="3327" max="3327" width="15.140625" style="6" customWidth="1"/>
    <col min="3328" max="3328" width="12.85546875" style="6" customWidth="1"/>
    <col min="3329" max="3329" width="12.28515625" style="6" customWidth="1"/>
    <col min="3330" max="3330" width="12.42578125" style="6" customWidth="1"/>
    <col min="3331" max="3331" width="11.7109375" style="6" customWidth="1"/>
    <col min="3332" max="3334" width="14.5703125" style="6" customWidth="1"/>
    <col min="3335" max="3335" width="13.42578125" style="6" customWidth="1"/>
    <col min="3336" max="3580" width="9.140625" style="6"/>
    <col min="3581" max="3581" width="18.28515625" style="6" customWidth="1"/>
    <col min="3582" max="3582" width="13.5703125" style="6" customWidth="1"/>
    <col min="3583" max="3583" width="15.140625" style="6" customWidth="1"/>
    <col min="3584" max="3584" width="12.85546875" style="6" customWidth="1"/>
    <col min="3585" max="3585" width="12.28515625" style="6" customWidth="1"/>
    <col min="3586" max="3586" width="12.42578125" style="6" customWidth="1"/>
    <col min="3587" max="3587" width="11.7109375" style="6" customWidth="1"/>
    <col min="3588" max="3590" width="14.5703125" style="6" customWidth="1"/>
    <col min="3591" max="3591" width="13.42578125" style="6" customWidth="1"/>
    <col min="3592" max="3836" width="9.140625" style="6"/>
    <col min="3837" max="3837" width="18.28515625" style="6" customWidth="1"/>
    <col min="3838" max="3838" width="13.5703125" style="6" customWidth="1"/>
    <col min="3839" max="3839" width="15.140625" style="6" customWidth="1"/>
    <col min="3840" max="3840" width="12.85546875" style="6" customWidth="1"/>
    <col min="3841" max="3841" width="12.28515625" style="6" customWidth="1"/>
    <col min="3842" max="3842" width="12.42578125" style="6" customWidth="1"/>
    <col min="3843" max="3843" width="11.7109375" style="6" customWidth="1"/>
    <col min="3844" max="3846" width="14.5703125" style="6" customWidth="1"/>
    <col min="3847" max="3847" width="13.42578125" style="6" customWidth="1"/>
    <col min="3848" max="4092" width="9.140625" style="6"/>
    <col min="4093" max="4093" width="18.28515625" style="6" customWidth="1"/>
    <col min="4094" max="4094" width="13.5703125" style="6" customWidth="1"/>
    <col min="4095" max="4095" width="15.140625" style="6" customWidth="1"/>
    <col min="4096" max="4096" width="12.85546875" style="6" customWidth="1"/>
    <col min="4097" max="4097" width="12.28515625" style="6" customWidth="1"/>
    <col min="4098" max="4098" width="12.42578125" style="6" customWidth="1"/>
    <col min="4099" max="4099" width="11.7109375" style="6" customWidth="1"/>
    <col min="4100" max="4102" width="14.5703125" style="6" customWidth="1"/>
    <col min="4103" max="4103" width="13.42578125" style="6" customWidth="1"/>
    <col min="4104" max="4348" width="9.140625" style="6"/>
    <col min="4349" max="4349" width="18.28515625" style="6" customWidth="1"/>
    <col min="4350" max="4350" width="13.5703125" style="6" customWidth="1"/>
    <col min="4351" max="4351" width="15.140625" style="6" customWidth="1"/>
    <col min="4352" max="4352" width="12.85546875" style="6" customWidth="1"/>
    <col min="4353" max="4353" width="12.28515625" style="6" customWidth="1"/>
    <col min="4354" max="4354" width="12.42578125" style="6" customWidth="1"/>
    <col min="4355" max="4355" width="11.7109375" style="6" customWidth="1"/>
    <col min="4356" max="4358" width="14.5703125" style="6" customWidth="1"/>
    <col min="4359" max="4359" width="13.42578125" style="6" customWidth="1"/>
    <col min="4360" max="4604" width="9.140625" style="6"/>
    <col min="4605" max="4605" width="18.28515625" style="6" customWidth="1"/>
    <col min="4606" max="4606" width="13.5703125" style="6" customWidth="1"/>
    <col min="4607" max="4607" width="15.140625" style="6" customWidth="1"/>
    <col min="4608" max="4608" width="12.85546875" style="6" customWidth="1"/>
    <col min="4609" max="4609" width="12.28515625" style="6" customWidth="1"/>
    <col min="4610" max="4610" width="12.42578125" style="6" customWidth="1"/>
    <col min="4611" max="4611" width="11.7109375" style="6" customWidth="1"/>
    <col min="4612" max="4614" width="14.5703125" style="6" customWidth="1"/>
    <col min="4615" max="4615" width="13.42578125" style="6" customWidth="1"/>
    <col min="4616" max="4860" width="9.140625" style="6"/>
    <col min="4861" max="4861" width="18.28515625" style="6" customWidth="1"/>
    <col min="4862" max="4862" width="13.5703125" style="6" customWidth="1"/>
    <col min="4863" max="4863" width="15.140625" style="6" customWidth="1"/>
    <col min="4864" max="4864" width="12.85546875" style="6" customWidth="1"/>
    <col min="4865" max="4865" width="12.28515625" style="6" customWidth="1"/>
    <col min="4866" max="4866" width="12.42578125" style="6" customWidth="1"/>
    <col min="4867" max="4867" width="11.7109375" style="6" customWidth="1"/>
    <col min="4868" max="4870" width="14.5703125" style="6" customWidth="1"/>
    <col min="4871" max="4871" width="13.42578125" style="6" customWidth="1"/>
    <col min="4872" max="5116" width="9.140625" style="6"/>
    <col min="5117" max="5117" width="18.28515625" style="6" customWidth="1"/>
    <col min="5118" max="5118" width="13.5703125" style="6" customWidth="1"/>
    <col min="5119" max="5119" width="15.140625" style="6" customWidth="1"/>
    <col min="5120" max="5120" width="12.85546875" style="6" customWidth="1"/>
    <col min="5121" max="5121" width="12.28515625" style="6" customWidth="1"/>
    <col min="5122" max="5122" width="12.42578125" style="6" customWidth="1"/>
    <col min="5123" max="5123" width="11.7109375" style="6" customWidth="1"/>
    <col min="5124" max="5126" width="14.5703125" style="6" customWidth="1"/>
    <col min="5127" max="5127" width="13.42578125" style="6" customWidth="1"/>
    <col min="5128" max="5372" width="9.140625" style="6"/>
    <col min="5373" max="5373" width="18.28515625" style="6" customWidth="1"/>
    <col min="5374" max="5374" width="13.5703125" style="6" customWidth="1"/>
    <col min="5375" max="5375" width="15.140625" style="6" customWidth="1"/>
    <col min="5376" max="5376" width="12.85546875" style="6" customWidth="1"/>
    <col min="5377" max="5377" width="12.28515625" style="6" customWidth="1"/>
    <col min="5378" max="5378" width="12.42578125" style="6" customWidth="1"/>
    <col min="5379" max="5379" width="11.7109375" style="6" customWidth="1"/>
    <col min="5380" max="5382" width="14.5703125" style="6" customWidth="1"/>
    <col min="5383" max="5383" width="13.42578125" style="6" customWidth="1"/>
    <col min="5384" max="5628" width="9.140625" style="6"/>
    <col min="5629" max="5629" width="18.28515625" style="6" customWidth="1"/>
    <col min="5630" max="5630" width="13.5703125" style="6" customWidth="1"/>
    <col min="5631" max="5631" width="15.140625" style="6" customWidth="1"/>
    <col min="5632" max="5632" width="12.85546875" style="6" customWidth="1"/>
    <col min="5633" max="5633" width="12.28515625" style="6" customWidth="1"/>
    <col min="5634" max="5634" width="12.42578125" style="6" customWidth="1"/>
    <col min="5635" max="5635" width="11.7109375" style="6" customWidth="1"/>
    <col min="5636" max="5638" width="14.5703125" style="6" customWidth="1"/>
    <col min="5639" max="5639" width="13.42578125" style="6" customWidth="1"/>
    <col min="5640" max="5884" width="9.140625" style="6"/>
    <col min="5885" max="5885" width="18.28515625" style="6" customWidth="1"/>
    <col min="5886" max="5886" width="13.5703125" style="6" customWidth="1"/>
    <col min="5887" max="5887" width="15.140625" style="6" customWidth="1"/>
    <col min="5888" max="5888" width="12.85546875" style="6" customWidth="1"/>
    <col min="5889" max="5889" width="12.28515625" style="6" customWidth="1"/>
    <col min="5890" max="5890" width="12.42578125" style="6" customWidth="1"/>
    <col min="5891" max="5891" width="11.7109375" style="6" customWidth="1"/>
    <col min="5892" max="5894" width="14.5703125" style="6" customWidth="1"/>
    <col min="5895" max="5895" width="13.42578125" style="6" customWidth="1"/>
    <col min="5896" max="6140" width="9.140625" style="6"/>
    <col min="6141" max="6141" width="18.28515625" style="6" customWidth="1"/>
    <col min="6142" max="6142" width="13.5703125" style="6" customWidth="1"/>
    <col min="6143" max="6143" width="15.140625" style="6" customWidth="1"/>
    <col min="6144" max="6144" width="12.85546875" style="6" customWidth="1"/>
    <col min="6145" max="6145" width="12.28515625" style="6" customWidth="1"/>
    <col min="6146" max="6146" width="12.42578125" style="6" customWidth="1"/>
    <col min="6147" max="6147" width="11.7109375" style="6" customWidth="1"/>
    <col min="6148" max="6150" width="14.5703125" style="6" customWidth="1"/>
    <col min="6151" max="6151" width="13.42578125" style="6" customWidth="1"/>
    <col min="6152" max="6396" width="9.140625" style="6"/>
    <col min="6397" max="6397" width="18.28515625" style="6" customWidth="1"/>
    <col min="6398" max="6398" width="13.5703125" style="6" customWidth="1"/>
    <col min="6399" max="6399" width="15.140625" style="6" customWidth="1"/>
    <col min="6400" max="6400" width="12.85546875" style="6" customWidth="1"/>
    <col min="6401" max="6401" width="12.28515625" style="6" customWidth="1"/>
    <col min="6402" max="6402" width="12.42578125" style="6" customWidth="1"/>
    <col min="6403" max="6403" width="11.7109375" style="6" customWidth="1"/>
    <col min="6404" max="6406" width="14.5703125" style="6" customWidth="1"/>
    <col min="6407" max="6407" width="13.42578125" style="6" customWidth="1"/>
    <col min="6408" max="6652" width="9.140625" style="6"/>
    <col min="6653" max="6653" width="18.28515625" style="6" customWidth="1"/>
    <col min="6654" max="6654" width="13.5703125" style="6" customWidth="1"/>
    <col min="6655" max="6655" width="15.140625" style="6" customWidth="1"/>
    <col min="6656" max="6656" width="12.85546875" style="6" customWidth="1"/>
    <col min="6657" max="6657" width="12.28515625" style="6" customWidth="1"/>
    <col min="6658" max="6658" width="12.42578125" style="6" customWidth="1"/>
    <col min="6659" max="6659" width="11.7109375" style="6" customWidth="1"/>
    <col min="6660" max="6662" width="14.5703125" style="6" customWidth="1"/>
    <col min="6663" max="6663" width="13.42578125" style="6" customWidth="1"/>
    <col min="6664" max="6908" width="9.140625" style="6"/>
    <col min="6909" max="6909" width="18.28515625" style="6" customWidth="1"/>
    <col min="6910" max="6910" width="13.5703125" style="6" customWidth="1"/>
    <col min="6911" max="6911" width="15.140625" style="6" customWidth="1"/>
    <col min="6912" max="6912" width="12.85546875" style="6" customWidth="1"/>
    <col min="6913" max="6913" width="12.28515625" style="6" customWidth="1"/>
    <col min="6914" max="6914" width="12.42578125" style="6" customWidth="1"/>
    <col min="6915" max="6915" width="11.7109375" style="6" customWidth="1"/>
    <col min="6916" max="6918" width="14.5703125" style="6" customWidth="1"/>
    <col min="6919" max="6919" width="13.42578125" style="6" customWidth="1"/>
    <col min="6920" max="7164" width="9.140625" style="6"/>
    <col min="7165" max="7165" width="18.28515625" style="6" customWidth="1"/>
    <col min="7166" max="7166" width="13.5703125" style="6" customWidth="1"/>
    <col min="7167" max="7167" width="15.140625" style="6" customWidth="1"/>
    <col min="7168" max="7168" width="12.85546875" style="6" customWidth="1"/>
    <col min="7169" max="7169" width="12.28515625" style="6" customWidth="1"/>
    <col min="7170" max="7170" width="12.42578125" style="6" customWidth="1"/>
    <col min="7171" max="7171" width="11.7109375" style="6" customWidth="1"/>
    <col min="7172" max="7174" width="14.5703125" style="6" customWidth="1"/>
    <col min="7175" max="7175" width="13.42578125" style="6" customWidth="1"/>
    <col min="7176" max="7420" width="9.140625" style="6"/>
    <col min="7421" max="7421" width="18.28515625" style="6" customWidth="1"/>
    <col min="7422" max="7422" width="13.5703125" style="6" customWidth="1"/>
    <col min="7423" max="7423" width="15.140625" style="6" customWidth="1"/>
    <col min="7424" max="7424" width="12.85546875" style="6" customWidth="1"/>
    <col min="7425" max="7425" width="12.28515625" style="6" customWidth="1"/>
    <col min="7426" max="7426" width="12.42578125" style="6" customWidth="1"/>
    <col min="7427" max="7427" width="11.7109375" style="6" customWidth="1"/>
    <col min="7428" max="7430" width="14.5703125" style="6" customWidth="1"/>
    <col min="7431" max="7431" width="13.42578125" style="6" customWidth="1"/>
    <col min="7432" max="7676" width="9.140625" style="6"/>
    <col min="7677" max="7677" width="18.28515625" style="6" customWidth="1"/>
    <col min="7678" max="7678" width="13.5703125" style="6" customWidth="1"/>
    <col min="7679" max="7679" width="15.140625" style="6" customWidth="1"/>
    <col min="7680" max="7680" width="12.85546875" style="6" customWidth="1"/>
    <col min="7681" max="7681" width="12.28515625" style="6" customWidth="1"/>
    <col min="7682" max="7682" width="12.42578125" style="6" customWidth="1"/>
    <col min="7683" max="7683" width="11.7109375" style="6" customWidth="1"/>
    <col min="7684" max="7686" width="14.5703125" style="6" customWidth="1"/>
    <col min="7687" max="7687" width="13.42578125" style="6" customWidth="1"/>
    <col min="7688" max="7932" width="9.140625" style="6"/>
    <col min="7933" max="7933" width="18.28515625" style="6" customWidth="1"/>
    <col min="7934" max="7934" width="13.5703125" style="6" customWidth="1"/>
    <col min="7935" max="7935" width="15.140625" style="6" customWidth="1"/>
    <col min="7936" max="7936" width="12.85546875" style="6" customWidth="1"/>
    <col min="7937" max="7937" width="12.28515625" style="6" customWidth="1"/>
    <col min="7938" max="7938" width="12.42578125" style="6" customWidth="1"/>
    <col min="7939" max="7939" width="11.7109375" style="6" customWidth="1"/>
    <col min="7940" max="7942" width="14.5703125" style="6" customWidth="1"/>
    <col min="7943" max="7943" width="13.42578125" style="6" customWidth="1"/>
    <col min="7944" max="8188" width="9.140625" style="6"/>
    <col min="8189" max="8189" width="18.28515625" style="6" customWidth="1"/>
    <col min="8190" max="8190" width="13.5703125" style="6" customWidth="1"/>
    <col min="8191" max="8191" width="15.140625" style="6" customWidth="1"/>
    <col min="8192" max="8192" width="12.85546875" style="6" customWidth="1"/>
    <col min="8193" max="8193" width="12.28515625" style="6" customWidth="1"/>
    <col min="8194" max="8194" width="12.42578125" style="6" customWidth="1"/>
    <col min="8195" max="8195" width="11.7109375" style="6" customWidth="1"/>
    <col min="8196" max="8198" width="14.5703125" style="6" customWidth="1"/>
    <col min="8199" max="8199" width="13.42578125" style="6" customWidth="1"/>
    <col min="8200" max="8444" width="9.140625" style="6"/>
    <col min="8445" max="8445" width="18.28515625" style="6" customWidth="1"/>
    <col min="8446" max="8446" width="13.5703125" style="6" customWidth="1"/>
    <col min="8447" max="8447" width="15.140625" style="6" customWidth="1"/>
    <col min="8448" max="8448" width="12.85546875" style="6" customWidth="1"/>
    <col min="8449" max="8449" width="12.28515625" style="6" customWidth="1"/>
    <col min="8450" max="8450" width="12.42578125" style="6" customWidth="1"/>
    <col min="8451" max="8451" width="11.7109375" style="6" customWidth="1"/>
    <col min="8452" max="8454" width="14.5703125" style="6" customWidth="1"/>
    <col min="8455" max="8455" width="13.42578125" style="6" customWidth="1"/>
    <col min="8456" max="8700" width="9.140625" style="6"/>
    <col min="8701" max="8701" width="18.28515625" style="6" customWidth="1"/>
    <col min="8702" max="8702" width="13.5703125" style="6" customWidth="1"/>
    <col min="8703" max="8703" width="15.140625" style="6" customWidth="1"/>
    <col min="8704" max="8704" width="12.85546875" style="6" customWidth="1"/>
    <col min="8705" max="8705" width="12.28515625" style="6" customWidth="1"/>
    <col min="8706" max="8706" width="12.42578125" style="6" customWidth="1"/>
    <col min="8707" max="8707" width="11.7109375" style="6" customWidth="1"/>
    <col min="8708" max="8710" width="14.5703125" style="6" customWidth="1"/>
    <col min="8711" max="8711" width="13.42578125" style="6" customWidth="1"/>
    <col min="8712" max="8956" width="9.140625" style="6"/>
    <col min="8957" max="8957" width="18.28515625" style="6" customWidth="1"/>
    <col min="8958" max="8958" width="13.5703125" style="6" customWidth="1"/>
    <col min="8959" max="8959" width="15.140625" style="6" customWidth="1"/>
    <col min="8960" max="8960" width="12.85546875" style="6" customWidth="1"/>
    <col min="8961" max="8961" width="12.28515625" style="6" customWidth="1"/>
    <col min="8962" max="8962" width="12.42578125" style="6" customWidth="1"/>
    <col min="8963" max="8963" width="11.7109375" style="6" customWidth="1"/>
    <col min="8964" max="8966" width="14.5703125" style="6" customWidth="1"/>
    <col min="8967" max="8967" width="13.42578125" style="6" customWidth="1"/>
    <col min="8968" max="9212" width="9.140625" style="6"/>
    <col min="9213" max="9213" width="18.28515625" style="6" customWidth="1"/>
    <col min="9214" max="9214" width="13.5703125" style="6" customWidth="1"/>
    <col min="9215" max="9215" width="15.140625" style="6" customWidth="1"/>
    <col min="9216" max="9216" width="12.85546875" style="6" customWidth="1"/>
    <col min="9217" max="9217" width="12.28515625" style="6" customWidth="1"/>
    <col min="9218" max="9218" width="12.42578125" style="6" customWidth="1"/>
    <col min="9219" max="9219" width="11.7109375" style="6" customWidth="1"/>
    <col min="9220" max="9222" width="14.5703125" style="6" customWidth="1"/>
    <col min="9223" max="9223" width="13.42578125" style="6" customWidth="1"/>
    <col min="9224" max="9468" width="9.140625" style="6"/>
    <col min="9469" max="9469" width="18.28515625" style="6" customWidth="1"/>
    <col min="9470" max="9470" width="13.5703125" style="6" customWidth="1"/>
    <col min="9471" max="9471" width="15.140625" style="6" customWidth="1"/>
    <col min="9472" max="9472" width="12.85546875" style="6" customWidth="1"/>
    <col min="9473" max="9473" width="12.28515625" style="6" customWidth="1"/>
    <col min="9474" max="9474" width="12.42578125" style="6" customWidth="1"/>
    <col min="9475" max="9475" width="11.7109375" style="6" customWidth="1"/>
    <col min="9476" max="9478" width="14.5703125" style="6" customWidth="1"/>
    <col min="9479" max="9479" width="13.42578125" style="6" customWidth="1"/>
    <col min="9480" max="9724" width="9.140625" style="6"/>
    <col min="9725" max="9725" width="18.28515625" style="6" customWidth="1"/>
    <col min="9726" max="9726" width="13.5703125" style="6" customWidth="1"/>
    <col min="9727" max="9727" width="15.140625" style="6" customWidth="1"/>
    <col min="9728" max="9728" width="12.85546875" style="6" customWidth="1"/>
    <col min="9729" max="9729" width="12.28515625" style="6" customWidth="1"/>
    <col min="9730" max="9730" width="12.42578125" style="6" customWidth="1"/>
    <col min="9731" max="9731" width="11.7109375" style="6" customWidth="1"/>
    <col min="9732" max="9734" width="14.5703125" style="6" customWidth="1"/>
    <col min="9735" max="9735" width="13.42578125" style="6" customWidth="1"/>
    <col min="9736" max="9980" width="9.140625" style="6"/>
    <col min="9981" max="9981" width="18.28515625" style="6" customWidth="1"/>
    <col min="9982" max="9982" width="13.5703125" style="6" customWidth="1"/>
    <col min="9983" max="9983" width="15.140625" style="6" customWidth="1"/>
    <col min="9984" max="9984" width="12.85546875" style="6" customWidth="1"/>
    <col min="9985" max="9985" width="12.28515625" style="6" customWidth="1"/>
    <col min="9986" max="9986" width="12.42578125" style="6" customWidth="1"/>
    <col min="9987" max="9987" width="11.7109375" style="6" customWidth="1"/>
    <col min="9988" max="9990" width="14.5703125" style="6" customWidth="1"/>
    <col min="9991" max="9991" width="13.42578125" style="6" customWidth="1"/>
    <col min="9992" max="10236" width="9.140625" style="6"/>
    <col min="10237" max="10237" width="18.28515625" style="6" customWidth="1"/>
    <col min="10238" max="10238" width="13.5703125" style="6" customWidth="1"/>
    <col min="10239" max="10239" width="15.140625" style="6" customWidth="1"/>
    <col min="10240" max="10240" width="12.85546875" style="6" customWidth="1"/>
    <col min="10241" max="10241" width="12.28515625" style="6" customWidth="1"/>
    <col min="10242" max="10242" width="12.42578125" style="6" customWidth="1"/>
    <col min="10243" max="10243" width="11.7109375" style="6" customWidth="1"/>
    <col min="10244" max="10246" width="14.5703125" style="6" customWidth="1"/>
    <col min="10247" max="10247" width="13.42578125" style="6" customWidth="1"/>
    <col min="10248" max="10492" width="9.140625" style="6"/>
    <col min="10493" max="10493" width="18.28515625" style="6" customWidth="1"/>
    <col min="10494" max="10494" width="13.5703125" style="6" customWidth="1"/>
    <col min="10495" max="10495" width="15.140625" style="6" customWidth="1"/>
    <col min="10496" max="10496" width="12.85546875" style="6" customWidth="1"/>
    <col min="10497" max="10497" width="12.28515625" style="6" customWidth="1"/>
    <col min="10498" max="10498" width="12.42578125" style="6" customWidth="1"/>
    <col min="10499" max="10499" width="11.7109375" style="6" customWidth="1"/>
    <col min="10500" max="10502" width="14.5703125" style="6" customWidth="1"/>
    <col min="10503" max="10503" width="13.42578125" style="6" customWidth="1"/>
    <col min="10504" max="10748" width="9.140625" style="6"/>
    <col min="10749" max="10749" width="18.28515625" style="6" customWidth="1"/>
    <col min="10750" max="10750" width="13.5703125" style="6" customWidth="1"/>
    <col min="10751" max="10751" width="15.140625" style="6" customWidth="1"/>
    <col min="10752" max="10752" width="12.85546875" style="6" customWidth="1"/>
    <col min="10753" max="10753" width="12.28515625" style="6" customWidth="1"/>
    <col min="10754" max="10754" width="12.42578125" style="6" customWidth="1"/>
    <col min="10755" max="10755" width="11.7109375" style="6" customWidth="1"/>
    <col min="10756" max="10758" width="14.5703125" style="6" customWidth="1"/>
    <col min="10759" max="10759" width="13.42578125" style="6" customWidth="1"/>
    <col min="10760" max="11004" width="9.140625" style="6"/>
    <col min="11005" max="11005" width="18.28515625" style="6" customWidth="1"/>
    <col min="11006" max="11006" width="13.5703125" style="6" customWidth="1"/>
    <col min="11007" max="11007" width="15.140625" style="6" customWidth="1"/>
    <col min="11008" max="11008" width="12.85546875" style="6" customWidth="1"/>
    <col min="11009" max="11009" width="12.28515625" style="6" customWidth="1"/>
    <col min="11010" max="11010" width="12.42578125" style="6" customWidth="1"/>
    <col min="11011" max="11011" width="11.7109375" style="6" customWidth="1"/>
    <col min="11012" max="11014" width="14.5703125" style="6" customWidth="1"/>
    <col min="11015" max="11015" width="13.42578125" style="6" customWidth="1"/>
    <col min="11016" max="11260" width="9.140625" style="6"/>
    <col min="11261" max="11261" width="18.28515625" style="6" customWidth="1"/>
    <col min="11262" max="11262" width="13.5703125" style="6" customWidth="1"/>
    <col min="11263" max="11263" width="15.140625" style="6" customWidth="1"/>
    <col min="11264" max="11264" width="12.85546875" style="6" customWidth="1"/>
    <col min="11265" max="11265" width="12.28515625" style="6" customWidth="1"/>
    <col min="11266" max="11266" width="12.42578125" style="6" customWidth="1"/>
    <col min="11267" max="11267" width="11.7109375" style="6" customWidth="1"/>
    <col min="11268" max="11270" width="14.5703125" style="6" customWidth="1"/>
    <col min="11271" max="11271" width="13.42578125" style="6" customWidth="1"/>
    <col min="11272" max="11516" width="9.140625" style="6"/>
    <col min="11517" max="11517" width="18.28515625" style="6" customWidth="1"/>
    <col min="11518" max="11518" width="13.5703125" style="6" customWidth="1"/>
    <col min="11519" max="11519" width="15.140625" style="6" customWidth="1"/>
    <col min="11520" max="11520" width="12.85546875" style="6" customWidth="1"/>
    <col min="11521" max="11521" width="12.28515625" style="6" customWidth="1"/>
    <col min="11522" max="11522" width="12.42578125" style="6" customWidth="1"/>
    <col min="11523" max="11523" width="11.7109375" style="6" customWidth="1"/>
    <col min="11524" max="11526" width="14.5703125" style="6" customWidth="1"/>
    <col min="11527" max="11527" width="13.42578125" style="6" customWidth="1"/>
    <col min="11528" max="11772" width="9.140625" style="6"/>
    <col min="11773" max="11773" width="18.28515625" style="6" customWidth="1"/>
    <col min="11774" max="11774" width="13.5703125" style="6" customWidth="1"/>
    <col min="11775" max="11775" width="15.140625" style="6" customWidth="1"/>
    <col min="11776" max="11776" width="12.85546875" style="6" customWidth="1"/>
    <col min="11777" max="11777" width="12.28515625" style="6" customWidth="1"/>
    <col min="11778" max="11778" width="12.42578125" style="6" customWidth="1"/>
    <col min="11779" max="11779" width="11.7109375" style="6" customWidth="1"/>
    <col min="11780" max="11782" width="14.5703125" style="6" customWidth="1"/>
    <col min="11783" max="11783" width="13.42578125" style="6" customWidth="1"/>
    <col min="11784" max="12028" width="9.140625" style="6"/>
    <col min="12029" max="12029" width="18.28515625" style="6" customWidth="1"/>
    <col min="12030" max="12030" width="13.5703125" style="6" customWidth="1"/>
    <col min="12031" max="12031" width="15.140625" style="6" customWidth="1"/>
    <col min="12032" max="12032" width="12.85546875" style="6" customWidth="1"/>
    <col min="12033" max="12033" width="12.28515625" style="6" customWidth="1"/>
    <col min="12034" max="12034" width="12.42578125" style="6" customWidth="1"/>
    <col min="12035" max="12035" width="11.7109375" style="6" customWidth="1"/>
    <col min="12036" max="12038" width="14.5703125" style="6" customWidth="1"/>
    <col min="12039" max="12039" width="13.42578125" style="6" customWidth="1"/>
    <col min="12040" max="12284" width="9.140625" style="6"/>
    <col min="12285" max="12285" width="18.28515625" style="6" customWidth="1"/>
    <col min="12286" max="12286" width="13.5703125" style="6" customWidth="1"/>
    <col min="12287" max="12287" width="15.140625" style="6" customWidth="1"/>
    <col min="12288" max="12288" width="12.85546875" style="6" customWidth="1"/>
    <col min="12289" max="12289" width="12.28515625" style="6" customWidth="1"/>
    <col min="12290" max="12290" width="12.42578125" style="6" customWidth="1"/>
    <col min="12291" max="12291" width="11.7109375" style="6" customWidth="1"/>
    <col min="12292" max="12294" width="14.5703125" style="6" customWidth="1"/>
    <col min="12295" max="12295" width="13.42578125" style="6" customWidth="1"/>
    <col min="12296" max="12540" width="9.140625" style="6"/>
    <col min="12541" max="12541" width="18.28515625" style="6" customWidth="1"/>
    <col min="12542" max="12542" width="13.5703125" style="6" customWidth="1"/>
    <col min="12543" max="12543" width="15.140625" style="6" customWidth="1"/>
    <col min="12544" max="12544" width="12.85546875" style="6" customWidth="1"/>
    <col min="12545" max="12545" width="12.28515625" style="6" customWidth="1"/>
    <col min="12546" max="12546" width="12.42578125" style="6" customWidth="1"/>
    <col min="12547" max="12547" width="11.7109375" style="6" customWidth="1"/>
    <col min="12548" max="12550" width="14.5703125" style="6" customWidth="1"/>
    <col min="12551" max="12551" width="13.42578125" style="6" customWidth="1"/>
    <col min="12552" max="12796" width="9.140625" style="6"/>
    <col min="12797" max="12797" width="18.28515625" style="6" customWidth="1"/>
    <col min="12798" max="12798" width="13.5703125" style="6" customWidth="1"/>
    <col min="12799" max="12799" width="15.140625" style="6" customWidth="1"/>
    <col min="12800" max="12800" width="12.85546875" style="6" customWidth="1"/>
    <col min="12801" max="12801" width="12.28515625" style="6" customWidth="1"/>
    <col min="12802" max="12802" width="12.42578125" style="6" customWidth="1"/>
    <col min="12803" max="12803" width="11.7109375" style="6" customWidth="1"/>
    <col min="12804" max="12806" width="14.5703125" style="6" customWidth="1"/>
    <col min="12807" max="12807" width="13.42578125" style="6" customWidth="1"/>
    <col min="12808" max="13052" width="9.140625" style="6"/>
    <col min="13053" max="13053" width="18.28515625" style="6" customWidth="1"/>
    <col min="13054" max="13054" width="13.5703125" style="6" customWidth="1"/>
    <col min="13055" max="13055" width="15.140625" style="6" customWidth="1"/>
    <col min="13056" max="13056" width="12.85546875" style="6" customWidth="1"/>
    <col min="13057" max="13057" width="12.28515625" style="6" customWidth="1"/>
    <col min="13058" max="13058" width="12.42578125" style="6" customWidth="1"/>
    <col min="13059" max="13059" width="11.7109375" style="6" customWidth="1"/>
    <col min="13060" max="13062" width="14.5703125" style="6" customWidth="1"/>
    <col min="13063" max="13063" width="13.42578125" style="6" customWidth="1"/>
    <col min="13064" max="13308" width="9.140625" style="6"/>
    <col min="13309" max="13309" width="18.28515625" style="6" customWidth="1"/>
    <col min="13310" max="13310" width="13.5703125" style="6" customWidth="1"/>
    <col min="13311" max="13311" width="15.140625" style="6" customWidth="1"/>
    <col min="13312" max="13312" width="12.85546875" style="6" customWidth="1"/>
    <col min="13313" max="13313" width="12.28515625" style="6" customWidth="1"/>
    <col min="13314" max="13314" width="12.42578125" style="6" customWidth="1"/>
    <col min="13315" max="13315" width="11.7109375" style="6" customWidth="1"/>
    <col min="13316" max="13318" width="14.5703125" style="6" customWidth="1"/>
    <col min="13319" max="13319" width="13.42578125" style="6" customWidth="1"/>
    <col min="13320" max="13564" width="9.140625" style="6"/>
    <col min="13565" max="13565" width="18.28515625" style="6" customWidth="1"/>
    <col min="13566" max="13566" width="13.5703125" style="6" customWidth="1"/>
    <col min="13567" max="13567" width="15.140625" style="6" customWidth="1"/>
    <col min="13568" max="13568" width="12.85546875" style="6" customWidth="1"/>
    <col min="13569" max="13569" width="12.28515625" style="6" customWidth="1"/>
    <col min="13570" max="13570" width="12.42578125" style="6" customWidth="1"/>
    <col min="13571" max="13571" width="11.7109375" style="6" customWidth="1"/>
    <col min="13572" max="13574" width="14.5703125" style="6" customWidth="1"/>
    <col min="13575" max="13575" width="13.42578125" style="6" customWidth="1"/>
    <col min="13576" max="13820" width="9.140625" style="6"/>
    <col min="13821" max="13821" width="18.28515625" style="6" customWidth="1"/>
    <col min="13822" max="13822" width="13.5703125" style="6" customWidth="1"/>
    <col min="13823" max="13823" width="15.140625" style="6" customWidth="1"/>
    <col min="13824" max="13824" width="12.85546875" style="6" customWidth="1"/>
    <col min="13825" max="13825" width="12.28515625" style="6" customWidth="1"/>
    <col min="13826" max="13826" width="12.42578125" style="6" customWidth="1"/>
    <col min="13827" max="13827" width="11.7109375" style="6" customWidth="1"/>
    <col min="13828" max="13830" width="14.5703125" style="6" customWidth="1"/>
    <col min="13831" max="13831" width="13.42578125" style="6" customWidth="1"/>
    <col min="13832" max="14076" width="9.140625" style="6"/>
    <col min="14077" max="14077" width="18.28515625" style="6" customWidth="1"/>
    <col min="14078" max="14078" width="13.5703125" style="6" customWidth="1"/>
    <col min="14079" max="14079" width="15.140625" style="6" customWidth="1"/>
    <col min="14080" max="14080" width="12.85546875" style="6" customWidth="1"/>
    <col min="14081" max="14081" width="12.28515625" style="6" customWidth="1"/>
    <col min="14082" max="14082" width="12.42578125" style="6" customWidth="1"/>
    <col min="14083" max="14083" width="11.7109375" style="6" customWidth="1"/>
    <col min="14084" max="14086" width="14.5703125" style="6" customWidth="1"/>
    <col min="14087" max="14087" width="13.42578125" style="6" customWidth="1"/>
    <col min="14088" max="14332" width="9.140625" style="6"/>
    <col min="14333" max="14333" width="18.28515625" style="6" customWidth="1"/>
    <col min="14334" max="14334" width="13.5703125" style="6" customWidth="1"/>
    <col min="14335" max="14335" width="15.140625" style="6" customWidth="1"/>
    <col min="14336" max="14336" width="12.85546875" style="6" customWidth="1"/>
    <col min="14337" max="14337" width="12.28515625" style="6" customWidth="1"/>
    <col min="14338" max="14338" width="12.42578125" style="6" customWidth="1"/>
    <col min="14339" max="14339" width="11.7109375" style="6" customWidth="1"/>
    <col min="14340" max="14342" width="14.5703125" style="6" customWidth="1"/>
    <col min="14343" max="14343" width="13.42578125" style="6" customWidth="1"/>
    <col min="14344" max="14588" width="9.140625" style="6"/>
    <col min="14589" max="14589" width="18.28515625" style="6" customWidth="1"/>
    <col min="14590" max="14590" width="13.5703125" style="6" customWidth="1"/>
    <col min="14591" max="14591" width="15.140625" style="6" customWidth="1"/>
    <col min="14592" max="14592" width="12.85546875" style="6" customWidth="1"/>
    <col min="14593" max="14593" width="12.28515625" style="6" customWidth="1"/>
    <col min="14594" max="14594" width="12.42578125" style="6" customWidth="1"/>
    <col min="14595" max="14595" width="11.7109375" style="6" customWidth="1"/>
    <col min="14596" max="14598" width="14.5703125" style="6" customWidth="1"/>
    <col min="14599" max="14599" width="13.42578125" style="6" customWidth="1"/>
    <col min="14600" max="14844" width="9.140625" style="6"/>
    <col min="14845" max="14845" width="18.28515625" style="6" customWidth="1"/>
    <col min="14846" max="14846" width="13.5703125" style="6" customWidth="1"/>
    <col min="14847" max="14847" width="15.140625" style="6" customWidth="1"/>
    <col min="14848" max="14848" width="12.85546875" style="6" customWidth="1"/>
    <col min="14849" max="14849" width="12.28515625" style="6" customWidth="1"/>
    <col min="14850" max="14850" width="12.42578125" style="6" customWidth="1"/>
    <col min="14851" max="14851" width="11.7109375" style="6" customWidth="1"/>
    <col min="14852" max="14854" width="14.5703125" style="6" customWidth="1"/>
    <col min="14855" max="14855" width="13.42578125" style="6" customWidth="1"/>
    <col min="14856" max="15100" width="9.140625" style="6"/>
    <col min="15101" max="15101" width="18.28515625" style="6" customWidth="1"/>
    <col min="15102" max="15102" width="13.5703125" style="6" customWidth="1"/>
    <col min="15103" max="15103" width="15.140625" style="6" customWidth="1"/>
    <col min="15104" max="15104" width="12.85546875" style="6" customWidth="1"/>
    <col min="15105" max="15105" width="12.28515625" style="6" customWidth="1"/>
    <col min="15106" max="15106" width="12.42578125" style="6" customWidth="1"/>
    <col min="15107" max="15107" width="11.7109375" style="6" customWidth="1"/>
    <col min="15108" max="15110" width="14.5703125" style="6" customWidth="1"/>
    <col min="15111" max="15111" width="13.42578125" style="6" customWidth="1"/>
    <col min="15112" max="15356" width="9.140625" style="6"/>
    <col min="15357" max="15357" width="18.28515625" style="6" customWidth="1"/>
    <col min="15358" max="15358" width="13.5703125" style="6" customWidth="1"/>
    <col min="15359" max="15359" width="15.140625" style="6" customWidth="1"/>
    <col min="15360" max="15360" width="12.85546875" style="6" customWidth="1"/>
    <col min="15361" max="15361" width="12.28515625" style="6" customWidth="1"/>
    <col min="15362" max="15362" width="12.42578125" style="6" customWidth="1"/>
    <col min="15363" max="15363" width="11.7109375" style="6" customWidth="1"/>
    <col min="15364" max="15366" width="14.5703125" style="6" customWidth="1"/>
    <col min="15367" max="15367" width="13.42578125" style="6" customWidth="1"/>
    <col min="15368" max="15612" width="9.140625" style="6"/>
    <col min="15613" max="15613" width="18.28515625" style="6" customWidth="1"/>
    <col min="15614" max="15614" width="13.5703125" style="6" customWidth="1"/>
    <col min="15615" max="15615" width="15.140625" style="6" customWidth="1"/>
    <col min="15616" max="15616" width="12.85546875" style="6" customWidth="1"/>
    <col min="15617" max="15617" width="12.28515625" style="6" customWidth="1"/>
    <col min="15618" max="15618" width="12.42578125" style="6" customWidth="1"/>
    <col min="15619" max="15619" width="11.7109375" style="6" customWidth="1"/>
    <col min="15620" max="15622" width="14.5703125" style="6" customWidth="1"/>
    <col min="15623" max="15623" width="13.42578125" style="6" customWidth="1"/>
    <col min="15624" max="15868" width="9.140625" style="6"/>
    <col min="15869" max="15869" width="18.28515625" style="6" customWidth="1"/>
    <col min="15870" max="15870" width="13.5703125" style="6" customWidth="1"/>
    <col min="15871" max="15871" width="15.140625" style="6" customWidth="1"/>
    <col min="15872" max="15872" width="12.85546875" style="6" customWidth="1"/>
    <col min="15873" max="15873" width="12.28515625" style="6" customWidth="1"/>
    <col min="15874" max="15874" width="12.42578125" style="6" customWidth="1"/>
    <col min="15875" max="15875" width="11.7109375" style="6" customWidth="1"/>
    <col min="15876" max="15878" width="14.5703125" style="6" customWidth="1"/>
    <col min="15879" max="15879" width="13.42578125" style="6" customWidth="1"/>
    <col min="15880" max="16124" width="9.140625" style="6"/>
    <col min="16125" max="16125" width="18.28515625" style="6" customWidth="1"/>
    <col min="16126" max="16126" width="13.5703125" style="6" customWidth="1"/>
    <col min="16127" max="16127" width="15.140625" style="6" customWidth="1"/>
    <col min="16128" max="16128" width="12.85546875" style="6" customWidth="1"/>
    <col min="16129" max="16129" width="12.28515625" style="6" customWidth="1"/>
    <col min="16130" max="16130" width="12.42578125" style="6" customWidth="1"/>
    <col min="16131" max="16131" width="11.7109375" style="6" customWidth="1"/>
    <col min="16132" max="16134" width="14.5703125" style="6" customWidth="1"/>
    <col min="16135" max="16135" width="13.42578125" style="6" customWidth="1"/>
    <col min="16136" max="16384" width="9.140625" style="6"/>
  </cols>
  <sheetData>
    <row r="1" spans="1:11" ht="15.75">
      <c r="A1" s="459" t="str">
        <f xml:space="preserve"> "Psychological Therapies Waiting Times - Number of patients seen during the month by Health Board, "&amp;TEXT(A25,"mmm yyyy")&amp;" - "&amp;TEXT(A11,"mmm yyyy")</f>
        <v>Psychological Therapies Waiting Times - Number of patients seen during the month by Health Board, Apr 2020 - Jun 2021</v>
      </c>
      <c r="B1" s="459"/>
      <c r="C1" s="459"/>
      <c r="D1" s="459"/>
      <c r="E1" s="459"/>
      <c r="F1" s="459"/>
      <c r="G1" s="459"/>
      <c r="H1" s="459"/>
      <c r="I1" s="459"/>
      <c r="J1" s="459"/>
      <c r="K1" s="459"/>
    </row>
    <row r="2" spans="1:11">
      <c r="A2" s="456" t="s">
        <v>454</v>
      </c>
      <c r="B2" s="457"/>
      <c r="C2" s="457"/>
      <c r="D2" s="457"/>
      <c r="E2" s="206"/>
      <c r="F2" s="206"/>
      <c r="G2" s="206"/>
      <c r="H2" s="206"/>
      <c r="I2" s="206"/>
      <c r="J2" s="206"/>
      <c r="K2" s="206"/>
    </row>
    <row r="3" spans="1:11">
      <c r="A3" s="207" t="s">
        <v>186</v>
      </c>
      <c r="B3" s="206"/>
      <c r="C3" s="206"/>
      <c r="D3" s="206"/>
      <c r="E3" s="206"/>
      <c r="F3" s="206"/>
      <c r="G3" s="206"/>
      <c r="H3" s="206"/>
      <c r="I3" s="206"/>
      <c r="J3" s="206"/>
      <c r="K3" s="206"/>
    </row>
    <row r="4" spans="1:11" ht="20.25">
      <c r="A4" s="64"/>
      <c r="B4" s="65"/>
      <c r="C4" s="65"/>
      <c r="D4" s="65"/>
      <c r="E4" s="65"/>
      <c r="F4" s="65"/>
      <c r="G4" s="65"/>
    </row>
    <row r="5" spans="1:11">
      <c r="A5" s="66"/>
      <c r="B5" s="65"/>
      <c r="C5" s="65"/>
      <c r="D5" s="65"/>
      <c r="E5" s="65"/>
      <c r="F5" s="65"/>
      <c r="G5" s="65"/>
    </row>
    <row r="6" spans="1:11" ht="15.75" thickBot="1">
      <c r="A6" s="199" t="s">
        <v>453</v>
      </c>
      <c r="B6" s="200"/>
      <c r="C6" s="200"/>
      <c r="D6" s="200"/>
      <c r="E6" s="67"/>
      <c r="F6" s="67"/>
      <c r="G6" s="67"/>
    </row>
    <row r="7" spans="1:11" ht="15.75" thickBot="1">
      <c r="A7" s="6" t="s">
        <v>180</v>
      </c>
      <c r="B7" s="9"/>
      <c r="C7" s="440" t="s">
        <v>28</v>
      </c>
      <c r="D7" s="441"/>
      <c r="E7" s="67"/>
      <c r="F7" s="67"/>
      <c r="G7" s="67"/>
    </row>
    <row r="8" spans="1:11">
      <c r="A8" s="220" t="s">
        <v>1302</v>
      </c>
      <c r="B8" s="33" t="s">
        <v>183</v>
      </c>
      <c r="C8" s="9"/>
      <c r="D8" s="9"/>
      <c r="E8" s="34"/>
      <c r="F8" s="34"/>
      <c r="G8" s="34"/>
      <c r="H8" s="28"/>
    </row>
    <row r="9" spans="1:11" ht="21.75" customHeight="1">
      <c r="A9" s="442" t="s">
        <v>31</v>
      </c>
      <c r="B9" s="445" t="s">
        <v>32</v>
      </c>
      <c r="C9" s="446" t="s">
        <v>330</v>
      </c>
      <c r="D9" s="446"/>
      <c r="E9" s="449" t="s">
        <v>187</v>
      </c>
      <c r="F9" s="446"/>
      <c r="G9" s="69" t="s">
        <v>181</v>
      </c>
      <c r="H9" s="70" t="s">
        <v>182</v>
      </c>
      <c r="I9" s="67"/>
    </row>
    <row r="10" spans="1:11" ht="16.5" customHeight="1">
      <c r="A10" s="442"/>
      <c r="B10" s="445"/>
      <c r="C10" s="151" t="s">
        <v>34</v>
      </c>
      <c r="D10" s="348" t="s">
        <v>362</v>
      </c>
      <c r="E10" s="164" t="s">
        <v>34</v>
      </c>
      <c r="F10" s="276" t="s">
        <v>362</v>
      </c>
      <c r="G10" s="278" t="s">
        <v>332</v>
      </c>
      <c r="H10" s="279" t="s">
        <v>332</v>
      </c>
      <c r="I10" s="67"/>
    </row>
    <row r="11" spans="1:11">
      <c r="A11" s="359">
        <f>REPORT_raw_dataseen!R1</f>
        <v>44348</v>
      </c>
      <c r="B11" s="260">
        <f>IF(VLOOKUP($C$7&amp;"Unadjusted seen "&amp;$B$9,REPORT_raw_dataseen!$A$1:$R$817,MATCH($A11,REPORT_raw_dataseen!$D$1:$R$1,1)+3, FALSE)=0,"-",VLOOKUP($C$7&amp;"Unadjusted seen "&amp;$B$9,REPORT_raw_dataseen!$A$1:$R$817,MATCH($A11,REPORT_raw_dataseen!$D$1:$R$1,1)+3, FALSE))</f>
        <v>6719</v>
      </c>
      <c r="C11" s="260">
        <f>IF(VLOOKUP($C$7&amp;"Unadjusted seen "&amp;$C$10,REPORT_raw_dataseen!$A$1:$R$817,MATCH($A11,REPORT_raw_dataseen!$D$1:$R$1,1)+3, FALSE)=0,"-",VLOOKUP($C$7&amp;"Unadjusted seen "&amp;$C$10,REPORT_raw_dataseen!$A$1:$R$817,MATCH($A11,REPORT_raw_dataseen!$D$1:$R$1,1)+3, FALSE))</f>
        <v>5577</v>
      </c>
      <c r="D11" s="261">
        <f>IF(B11="..","..",IF(C11="-",B11, IF((B11-C11)=0, "-",B11-C11)))</f>
        <v>1142</v>
      </c>
      <c r="E11" s="263">
        <f t="shared" ref="E11:F17" si="0">IF(C11="-","-",IF(C11="..","..",IF(C11=0,"-",IF((C11/$B11%)=0,"-",ROUND(C11/$B11%,2)))))</f>
        <v>83</v>
      </c>
      <c r="F11" s="263">
        <f t="shared" si="0"/>
        <v>17</v>
      </c>
      <c r="G11" s="288">
        <f>+VLOOKUP($C$7&amp;"Unadjusted seen median",REPORT_raw_dataseen!$A$1:$R$817,MATCH($A11,REPORT_raw_dataseen!$D$1:$R$1,1)+3,FALSE)</f>
        <v>3</v>
      </c>
      <c r="H11" s="280">
        <f>+VLOOKUP($C$7&amp;"Unadjusted seen 90percent",REPORT_raw_dataseen!$A$1:$R$817,MATCH($A11,REPORT_raw_dataseen!$D$1:$R$1,1)+3,FALSE)</f>
        <v>32</v>
      </c>
      <c r="I11" s="75"/>
    </row>
    <row r="12" spans="1:11">
      <c r="A12" s="360">
        <f>DATE(YEAR(A11),MONTH(A11)-1,DAY(A11))</f>
        <v>44317</v>
      </c>
      <c r="B12" s="261">
        <f>IF(VLOOKUP($C$7&amp;"Unadjusted seen "&amp;$B$9,REPORT_raw_dataseen!$A$1:$R$817,MATCH($A12,REPORT_raw_dataseen!$D$1:$R$1,1)+3, FALSE)=0,"-",VLOOKUP($C$7&amp;"Unadjusted seen "&amp;$B$9,REPORT_raw_dataseen!$A$1:$R$817,MATCH($A12,REPORT_raw_dataseen!$D$1:$R$1,1)+3, FALSE))</f>
        <v>6483</v>
      </c>
      <c r="C12" s="261">
        <f>IF(VLOOKUP($C$7&amp;"Unadjusted seen "&amp;$C$10,REPORT_raw_dataseen!$A$1:$R$817,MATCH($A12,REPORT_raw_dataseen!$D$1:$R$1,1)+3, FALSE)=0,"-",VLOOKUP($C$7&amp;"Unadjusted seen "&amp;$C$10,REPORT_raw_dataseen!$A$1:$R$817,MATCH($A12,REPORT_raw_dataseen!$D$1:$R$1,1)+3, FALSE))</f>
        <v>5268</v>
      </c>
      <c r="D12" s="261">
        <f>IF(B12="..","..",IF(C12="-",B12, IF((B12-C12)=0, "-",B12-C12)))</f>
        <v>1215</v>
      </c>
      <c r="E12" s="264">
        <f t="shared" si="0"/>
        <v>81.260000000000005</v>
      </c>
      <c r="F12" s="264">
        <f t="shared" si="0"/>
        <v>18.739999999999998</v>
      </c>
      <c r="G12" s="229">
        <f>+VLOOKUP($C$7&amp;"Unadjusted seen median",REPORT_raw_dataseen!$A$1:$R$817,MATCH($A12,REPORT_raw_dataseen!$D$1:$R$1,1)+3,FALSE)</f>
        <v>3</v>
      </c>
      <c r="H12" s="281">
        <f>+VLOOKUP($C$7&amp;"Unadjusted seen 90percent",REPORT_raw_dataseen!$A$1:$R$817,MATCH($A12,REPORT_raw_dataseen!$D$1:$R$1,1)+3,FALSE)</f>
        <v>33</v>
      </c>
      <c r="I12" s="75"/>
    </row>
    <row r="13" spans="1:11">
      <c r="A13" s="360">
        <f>DATE(YEAR(A12),MONTH(A12)-1,DAY(A12))</f>
        <v>44287</v>
      </c>
      <c r="B13" s="261">
        <f>IF(VLOOKUP($C$7&amp;"Unadjusted seen "&amp;$B$9,REPORT_raw_dataseen!$A$1:$R$817,MATCH($A13,REPORT_raw_dataseen!$D$1:$R$1,1)+3, FALSE)=0,"-",VLOOKUP($C$7&amp;"Unadjusted seen "&amp;$B$9,REPORT_raw_dataseen!$A$1:$R$817,MATCH($A13,REPORT_raw_dataseen!$D$1:$R$1,1)+3, FALSE))</f>
        <v>6385</v>
      </c>
      <c r="C13" s="261">
        <f>IF(VLOOKUP($C$7&amp;"Unadjusted seen "&amp;$C$10,REPORT_raw_dataseen!$A$1:$R$817,MATCH($A13,REPORT_raw_dataseen!$D$1:$R$1,1)+3, FALSE)=0,"-",VLOOKUP($C$7&amp;"Unadjusted seen "&amp;$C$10,REPORT_raw_dataseen!$A$1:$R$817,MATCH($A13,REPORT_raw_dataseen!$D$1:$R$1,1)+3, FALSE))</f>
        <v>5116</v>
      </c>
      <c r="D13" s="261">
        <f t="shared" ref="D13:D20" si="1">IF(B13="..","..",IF(C13="-",B13, IF((B13-C13)=0, "-",B13-C13)))</f>
        <v>1269</v>
      </c>
      <c r="E13" s="264">
        <f t="shared" si="0"/>
        <v>80.13</v>
      </c>
      <c r="F13" s="264">
        <f t="shared" si="0"/>
        <v>19.87</v>
      </c>
      <c r="G13" s="229">
        <f>+VLOOKUP($C$7&amp;"Unadjusted seen median",REPORT_raw_dataseen!$A$1:$R$817,MATCH($A13,REPORT_raw_dataseen!$D$1:$R$1,1)+3,FALSE)</f>
        <v>2</v>
      </c>
      <c r="H13" s="281">
        <f>+VLOOKUP($C$7&amp;"Unadjusted seen 90percent",REPORT_raw_dataseen!$A$1:$R$817,MATCH($A13,REPORT_raw_dataseen!$D$1:$R$1,1)+3,FALSE)</f>
        <v>37</v>
      </c>
      <c r="I13" s="75"/>
    </row>
    <row r="14" spans="1:11">
      <c r="A14" s="360">
        <f>DATE(YEAR(A13),MONTH(A13)-1,DAY(A13))</f>
        <v>44256</v>
      </c>
      <c r="B14" s="261">
        <f>IF(VLOOKUP($C$7&amp;"Unadjusted seen "&amp;$B$9,REPORT_raw_dataseen!$A$1:$R$817,MATCH($A14,REPORT_raw_dataseen!$D$1:$R$1,1)+3, FALSE)=0,"-",VLOOKUP($C$7&amp;"Unadjusted seen "&amp;$B$9,REPORT_raw_dataseen!$A$1:$R$817,MATCH($A14,REPORT_raw_dataseen!$D$1:$R$1,1)+3, FALSE))</f>
        <v>6523</v>
      </c>
      <c r="C14" s="261">
        <f>IF(VLOOKUP($C$7&amp;"Unadjusted seen "&amp;$C$10,REPORT_raw_dataseen!$A$1:$R$817,MATCH($A14,REPORT_raw_dataseen!$D$1:$R$1,1)+3, FALSE)=0,"-",VLOOKUP($C$7&amp;"Unadjusted seen "&amp;$C$10,REPORT_raw_dataseen!$A$1:$R$817,MATCH($A14,REPORT_raw_dataseen!$D$1:$R$1,1)+3, FALSE))</f>
        <v>5163</v>
      </c>
      <c r="D14" s="261">
        <f t="shared" si="1"/>
        <v>1360</v>
      </c>
      <c r="E14" s="264">
        <f t="shared" si="0"/>
        <v>79.150000000000006</v>
      </c>
      <c r="F14" s="264">
        <f t="shared" si="0"/>
        <v>20.85</v>
      </c>
      <c r="G14" s="229">
        <f>+VLOOKUP($C$7&amp;"Unadjusted seen median",REPORT_raw_dataseen!$A$1:$R$817,MATCH($A14,REPORT_raw_dataseen!$D$1:$R$1,1)+3,FALSE)</f>
        <v>3</v>
      </c>
      <c r="H14" s="281">
        <f>+VLOOKUP($C$7&amp;"Unadjusted seen 90percent",REPORT_raw_dataseen!$A$1:$R$817,MATCH($A14,REPORT_raw_dataseen!$D$1:$R$1,1)+3,FALSE)</f>
        <v>40</v>
      </c>
      <c r="I14" s="75"/>
    </row>
    <row r="15" spans="1:11">
      <c r="A15" s="360">
        <f>DATE(YEAR(A14),MONTH(A14)-1,DAY(A14))</f>
        <v>44228</v>
      </c>
      <c r="B15" s="261">
        <f>IF(VLOOKUP($C$7&amp;"Unadjusted seen "&amp;$B$9,REPORT_raw_dataseen!$A$1:$R$817,MATCH($A15,REPORT_raw_dataseen!$D$1:$R$1,1)+3, FALSE)=0,"-",VLOOKUP($C$7&amp;"Unadjusted seen "&amp;$B$9,REPORT_raw_dataseen!$A$1:$R$817,MATCH($A15,REPORT_raw_dataseen!$D$1:$R$1,1)+3, FALSE))</f>
        <v>5855</v>
      </c>
      <c r="C15" s="261">
        <f>IF(VLOOKUP($C$7&amp;"Unadjusted seen "&amp;$C$10,REPORT_raw_dataseen!$A$1:$R$817,MATCH($A15,REPORT_raw_dataseen!$D$1:$R$1,1)+3, FALSE)=0,"-",VLOOKUP($C$7&amp;"Unadjusted seen "&amp;$C$10,REPORT_raw_dataseen!$A$1:$R$817,MATCH($A15,REPORT_raw_dataseen!$D$1:$R$1,1)+3, FALSE))</f>
        <v>4662</v>
      </c>
      <c r="D15" s="261">
        <f t="shared" si="1"/>
        <v>1193</v>
      </c>
      <c r="E15" s="264">
        <f t="shared" si="0"/>
        <v>79.62</v>
      </c>
      <c r="F15" s="264">
        <f t="shared" si="0"/>
        <v>20.38</v>
      </c>
      <c r="G15" s="229">
        <f>+VLOOKUP($C$7&amp;"Unadjusted seen median",REPORT_raw_dataseen!$A$1:$R$817,MATCH($A15,REPORT_raw_dataseen!$D$1:$R$1,1)+3,FALSE)</f>
        <v>3</v>
      </c>
      <c r="H15" s="281">
        <f>+VLOOKUP($C$7&amp;"Unadjusted seen 90percent",REPORT_raw_dataseen!$A$1:$R$817,MATCH($A15,REPORT_raw_dataseen!$D$1:$R$1,1)+3,FALSE)</f>
        <v>46</v>
      </c>
      <c r="I15" s="75"/>
    </row>
    <row r="16" spans="1:11">
      <c r="A16" s="360">
        <f>DATE(YEAR(A15),MONTH(A15)-1,DAY(A15))</f>
        <v>44197</v>
      </c>
      <c r="B16" s="261">
        <f>IF(VLOOKUP($C$7&amp;"Unadjusted seen "&amp;$B$9,REPORT_raw_dataseen!$A$1:$R$817,MATCH($A16,REPORT_raw_dataseen!$D$1:$R$1,1)+3, FALSE)=0,"-",VLOOKUP($C$7&amp;"Unadjusted seen "&amp;$B$9,REPORT_raw_dataseen!$A$1:$R$817,MATCH($A16,REPORT_raw_dataseen!$D$1:$R$1,1)+3, FALSE))</f>
        <v>5745</v>
      </c>
      <c r="C16" s="261">
        <f>IF(VLOOKUP($C$7&amp;"Unadjusted seen "&amp;$C$10,REPORT_raw_dataseen!$A$1:$R$817,MATCH($A16,REPORT_raw_dataseen!$D$1:$R$1,1)+3, FALSE)=0,"-",VLOOKUP($C$7&amp;"Unadjusted seen "&amp;$C$10,REPORT_raw_dataseen!$A$1:$R$817,MATCH($A16,REPORT_raw_dataseen!$D$1:$R$1,1)+3, FALSE))</f>
        <v>4467</v>
      </c>
      <c r="D16" s="261">
        <f t="shared" si="1"/>
        <v>1278</v>
      </c>
      <c r="E16" s="264">
        <f t="shared" si="0"/>
        <v>77.75</v>
      </c>
      <c r="F16" s="264">
        <f t="shared" si="0"/>
        <v>22.25</v>
      </c>
      <c r="G16" s="229">
        <f>+VLOOKUP($C$7&amp;"Unadjusted seen median",REPORT_raw_dataseen!$A$1:$R$817,MATCH($A16,REPORT_raw_dataseen!$D$1:$R$1,1)+3,FALSE)</f>
        <v>5</v>
      </c>
      <c r="H16" s="281">
        <f>+VLOOKUP($C$7&amp;"Unadjusted seen 90percent",REPORT_raw_dataseen!$A$1:$R$817,MATCH($A16,REPORT_raw_dataseen!$D$1:$R$1,1)+3,FALSE)</f>
        <v>48</v>
      </c>
      <c r="I16" s="75"/>
    </row>
    <row r="17" spans="1:9">
      <c r="A17" s="360">
        <f t="shared" ref="A17:A25" si="2">DATE(YEAR(A16),MONTH(A16)-1,DAY(A16))</f>
        <v>44166</v>
      </c>
      <c r="B17" s="261">
        <f>IF(VLOOKUP($C$7&amp;"Unadjusted seen "&amp;$B$9,REPORT_raw_dataseen!$A$1:$R$817,MATCH($A17,REPORT_raw_dataseen!$D$1:$R$1,1)+3, FALSE)=0,"-",VLOOKUP($C$7&amp;"Unadjusted seen "&amp;$B$9,REPORT_raw_dataseen!$A$1:$R$817,MATCH($A17,REPORT_raw_dataseen!$D$1:$R$1,1)+3, FALSE))</f>
        <v>5049</v>
      </c>
      <c r="C17" s="261">
        <f>IF(VLOOKUP($C$7&amp;"Unadjusted seen "&amp;$C$10,REPORT_raw_dataseen!$A$1:$R$817,MATCH($A17,REPORT_raw_dataseen!$D$1:$R$1,1)+3, FALSE)=0,"-",VLOOKUP($C$7&amp;"Unadjusted seen "&amp;$C$10,REPORT_raw_dataseen!$A$1:$R$817,MATCH($A17,REPORT_raw_dataseen!$D$1:$R$1,1)+3, FALSE))</f>
        <v>4151</v>
      </c>
      <c r="D17" s="261">
        <f t="shared" si="1"/>
        <v>898</v>
      </c>
      <c r="E17" s="264">
        <f t="shared" si="0"/>
        <v>82.21</v>
      </c>
      <c r="F17" s="264">
        <f t="shared" si="0"/>
        <v>17.79</v>
      </c>
      <c r="G17" s="229">
        <f>+VLOOKUP($C$7&amp;"Unadjusted seen median",REPORT_raw_dataseen!$A$1:$R$817,MATCH($A17,REPORT_raw_dataseen!$D$1:$R$1,1)+3,FALSE)</f>
        <v>2</v>
      </c>
      <c r="H17" s="281">
        <f>+VLOOKUP($C$7&amp;"Unadjusted seen 90percent",REPORT_raw_dataseen!$A$1:$R$817,MATCH($A17,REPORT_raw_dataseen!$D$1:$R$1,1)+3,FALSE)</f>
        <v>44</v>
      </c>
      <c r="I17" s="75"/>
    </row>
    <row r="18" spans="1:9">
      <c r="A18" s="360">
        <f t="shared" si="2"/>
        <v>44136</v>
      </c>
      <c r="B18" s="261">
        <f>IF(VLOOKUP($C$7&amp;"Unadjusted seen "&amp;$B$9,REPORT_raw_dataseen!$A$1:$R$817,MATCH($A18,REPORT_raw_dataseen!$D$1:$R$1,1)+3, FALSE)=0,"-",VLOOKUP($C$7&amp;"Unadjusted seen "&amp;$B$9,REPORT_raw_dataseen!$A$1:$R$817,MATCH($A18,REPORT_raw_dataseen!$D$1:$R$1,1)+3, FALSE))</f>
        <v>6450</v>
      </c>
      <c r="C18" s="261">
        <f>IF(VLOOKUP($C$7&amp;"Unadjusted seen "&amp;$C$10,REPORT_raw_dataseen!$A$1:$R$817,MATCH($A18,REPORT_raw_dataseen!$D$1:$R$1,1)+3, FALSE)=0,"-",VLOOKUP($C$7&amp;"Unadjusted seen "&amp;$C$10,REPORT_raw_dataseen!$A$1:$R$817,MATCH($A18,REPORT_raw_dataseen!$D$1:$R$1,1)+3, FALSE))</f>
        <v>4954</v>
      </c>
      <c r="D18" s="261">
        <f t="shared" si="1"/>
        <v>1496</v>
      </c>
      <c r="E18" s="264">
        <f t="shared" ref="E18:E25" si="3">IF(C18="-","-",IF(C18="..","..",IF(C18=0,"-",IF((C18/$B18%)=0,"-",ROUND(C18/$B18%,2)))))</f>
        <v>76.81</v>
      </c>
      <c r="F18" s="264">
        <f t="shared" ref="F18:F25" si="4">IF(D18="-","-",IF(D18="..","..",IF(D18=0,"-",IF((D18/$B18%)=0,"-",ROUND(D18/$B18%,2)))))</f>
        <v>23.19</v>
      </c>
      <c r="G18" s="229">
        <f>+VLOOKUP($C$7&amp;"Unadjusted seen median",REPORT_raw_dataseen!$A$1:$R$817,MATCH($A18,REPORT_raw_dataseen!$D$1:$R$1,1)+3,FALSE)</f>
        <v>3</v>
      </c>
      <c r="H18" s="281">
        <f>+VLOOKUP($C$7&amp;"Unadjusted seen 90percent",REPORT_raw_dataseen!$A$1:$R$817,MATCH($A18,REPORT_raw_dataseen!$D$1:$R$1,1)+3,FALSE)</f>
        <v>49</v>
      </c>
      <c r="I18" s="75"/>
    </row>
    <row r="19" spans="1:9">
      <c r="A19" s="360">
        <f t="shared" si="2"/>
        <v>44105</v>
      </c>
      <c r="B19" s="261">
        <f>IF(VLOOKUP($C$7&amp;"Unadjusted seen "&amp;$B$9,REPORT_raw_dataseen!$A$1:$R$817,MATCH($A19,REPORT_raw_dataseen!$D$1:$R$1,1)+3, FALSE)=0,"-",VLOOKUP($C$7&amp;"Unadjusted seen "&amp;$B$9,REPORT_raw_dataseen!$A$1:$R$817,MATCH($A19,REPORT_raw_dataseen!$D$1:$R$1,1)+3, FALSE))</f>
        <v>5524</v>
      </c>
      <c r="C19" s="261">
        <f>IF(VLOOKUP($C$7&amp;"Unadjusted seen "&amp;$C$10,REPORT_raw_dataseen!$A$1:$R$817,MATCH($A19,REPORT_raw_dataseen!$D$1:$R$1,1)+3, FALSE)=0,"-",VLOOKUP($C$7&amp;"Unadjusted seen "&amp;$C$10,REPORT_raw_dataseen!$A$1:$R$817,MATCH($A19,REPORT_raw_dataseen!$D$1:$R$1,1)+3, FALSE))</f>
        <v>4296</v>
      </c>
      <c r="D19" s="261">
        <f t="shared" si="1"/>
        <v>1228</v>
      </c>
      <c r="E19" s="264">
        <f t="shared" si="3"/>
        <v>77.77</v>
      </c>
      <c r="F19" s="264">
        <f t="shared" si="4"/>
        <v>22.23</v>
      </c>
      <c r="G19" s="229">
        <f>+VLOOKUP($C$7&amp;"Unadjusted seen median",REPORT_raw_dataseen!$A$1:$R$817,MATCH($A19,REPORT_raw_dataseen!$D$1:$R$1,1)+3,FALSE)</f>
        <v>2</v>
      </c>
      <c r="H19" s="281">
        <f>+VLOOKUP($C$7&amp;"Unadjusted seen 90percent",REPORT_raw_dataseen!$A$1:$R$817,MATCH($A19,REPORT_raw_dataseen!$D$1:$R$1,1)+3,FALSE)</f>
        <v>46</v>
      </c>
      <c r="I19" s="75"/>
    </row>
    <row r="20" spans="1:9">
      <c r="A20" s="360">
        <f t="shared" si="2"/>
        <v>44075</v>
      </c>
      <c r="B20" s="261">
        <f>IF(VLOOKUP($C$7&amp;"Unadjusted seen "&amp;$B$9,REPORT_raw_dataseen!$A$1:$R$817,MATCH($A20,REPORT_raw_dataseen!$D$1:$R$1,1)+3, FALSE)=0,"-",VLOOKUP($C$7&amp;"Unadjusted seen "&amp;$B$9,REPORT_raw_dataseen!$A$1:$R$817,MATCH($A20,REPORT_raw_dataseen!$D$1:$R$1,1)+3, FALSE))</f>
        <v>5311</v>
      </c>
      <c r="C20" s="261">
        <f>IF(VLOOKUP($C$7&amp;"Unadjusted seen "&amp;$C$10,REPORT_raw_dataseen!$A$1:$R$817,MATCH($A20,REPORT_raw_dataseen!$D$1:$R$1,1)+3, FALSE)=0,"-",VLOOKUP($C$7&amp;"Unadjusted seen "&amp;$C$10,REPORT_raw_dataseen!$A$1:$R$817,MATCH($A20,REPORT_raw_dataseen!$D$1:$R$1,1)+3, FALSE))</f>
        <v>3932</v>
      </c>
      <c r="D20" s="261">
        <f t="shared" si="1"/>
        <v>1379</v>
      </c>
      <c r="E20" s="264">
        <f t="shared" si="3"/>
        <v>74.040000000000006</v>
      </c>
      <c r="F20" s="264">
        <f t="shared" si="4"/>
        <v>25.96</v>
      </c>
      <c r="G20" s="229">
        <f>+VLOOKUP($C$7&amp;"Unadjusted seen median",REPORT_raw_dataseen!$A$1:$R$817,MATCH($A20,REPORT_raw_dataseen!$D$1:$R$1,1)+3,FALSE)</f>
        <v>2</v>
      </c>
      <c r="H20" s="281">
        <f>+VLOOKUP($C$7&amp;"Unadjusted seen 90percent",REPORT_raw_dataseen!$A$1:$R$817,MATCH($A20,REPORT_raw_dataseen!$D$1:$R$1,1)+3,FALSE)</f>
        <v>42</v>
      </c>
      <c r="I20" s="75"/>
    </row>
    <row r="21" spans="1:9">
      <c r="A21" s="360">
        <f t="shared" si="2"/>
        <v>44044</v>
      </c>
      <c r="B21" s="261">
        <f>IF(VLOOKUP($C$7&amp;"Unadjusted seen "&amp;$B$9,REPORT_raw_dataseen!$A$1:$R$817,MATCH($A21,REPORT_raw_dataseen!$D$1:$R$1,1)+3, FALSE)=0,"-",VLOOKUP($C$7&amp;"Unadjusted seen "&amp;$B$9,REPORT_raw_dataseen!$A$1:$R$817,MATCH($A21,REPORT_raw_dataseen!$D$1:$R$1,1)+3, FALSE))</f>
        <v>4777</v>
      </c>
      <c r="C21" s="261">
        <f>IF(VLOOKUP($C$7&amp;"Unadjusted seen "&amp;$C$10,REPORT_raw_dataseen!$A$1:$R$817,MATCH($A21,REPORT_raw_dataseen!$D$1:$R$1,1)+3, FALSE)=0,"-",VLOOKUP($C$7&amp;"Unadjusted seen "&amp;$C$10,REPORT_raw_dataseen!$A$1:$R$817,MATCH($A21,REPORT_raw_dataseen!$D$1:$R$1,1)+3, FALSE))</f>
        <v>3488</v>
      </c>
      <c r="D21" s="261">
        <f>IF(B21="..","..",IF(C21="-",B21, IF((B21-C21)=0, "-",B21-C21)))</f>
        <v>1289</v>
      </c>
      <c r="E21" s="264">
        <f t="shared" si="3"/>
        <v>73.02</v>
      </c>
      <c r="F21" s="264">
        <f t="shared" si="4"/>
        <v>26.98</v>
      </c>
      <c r="G21" s="229">
        <f>+VLOOKUP($C$7&amp;"Unadjusted seen median",REPORT_raw_dataseen!$A$1:$R$817,MATCH($A21,REPORT_raw_dataseen!$D$1:$R$1,1)+3,FALSE)</f>
        <v>2</v>
      </c>
      <c r="H21" s="281">
        <f>+VLOOKUP($C$7&amp;"Unadjusted seen 90percent",REPORT_raw_dataseen!$A$1:$R$817,MATCH($A21,REPORT_raw_dataseen!$D$1:$R$1,1)+3,FALSE)</f>
        <v>40</v>
      </c>
      <c r="I21" s="75"/>
    </row>
    <row r="22" spans="1:9">
      <c r="A22" s="360">
        <f t="shared" si="2"/>
        <v>44013</v>
      </c>
      <c r="B22" s="261">
        <f>IF(VLOOKUP($C$7&amp;"Unadjusted seen "&amp;$B$9,REPORT_raw_dataseen!$A$1:$R$817,MATCH($A22,REPORT_raw_dataseen!$D$1:$R$1,1)+3, FALSE)=0,"-",VLOOKUP($C$7&amp;"Unadjusted seen "&amp;$B$9,REPORT_raw_dataseen!$A$1:$R$817,MATCH($A22,REPORT_raw_dataseen!$D$1:$R$1,1)+3, FALSE))</f>
        <v>4930</v>
      </c>
      <c r="C22" s="261">
        <f>IF(VLOOKUP($C$7&amp;"Unadjusted seen "&amp;$C$10,REPORT_raw_dataseen!$A$1:$R$817,MATCH($A22,REPORT_raw_dataseen!$D$1:$R$1,1)+3, FALSE)=0,"-",VLOOKUP($C$7&amp;"Unadjusted seen "&amp;$C$10,REPORT_raw_dataseen!$A$1:$R$817,MATCH($A22,REPORT_raw_dataseen!$D$1:$R$1,1)+3, FALSE))</f>
        <v>3477</v>
      </c>
      <c r="D22" s="261">
        <f>IF(B22="..","..",IF(C22="-",B22, IF((B22-C22)=0, "-",B22-C22)))</f>
        <v>1453</v>
      </c>
      <c r="E22" s="264">
        <f t="shared" si="3"/>
        <v>70.53</v>
      </c>
      <c r="F22" s="264">
        <f t="shared" si="4"/>
        <v>29.47</v>
      </c>
      <c r="G22" s="229">
        <f>+VLOOKUP($C$7&amp;"Unadjusted seen median",REPORT_raw_dataseen!$A$1:$R$817,MATCH($A22,REPORT_raw_dataseen!$D$1:$R$1,1)+3,FALSE)</f>
        <v>2</v>
      </c>
      <c r="H22" s="281">
        <f>+VLOOKUP($C$7&amp;"Unadjusted seen 90percent",REPORT_raw_dataseen!$A$1:$R$817,MATCH($A22,REPORT_raw_dataseen!$D$1:$R$1,1)+3,FALSE)</f>
        <v>42</v>
      </c>
      <c r="I22" s="75"/>
    </row>
    <row r="23" spans="1:9">
      <c r="A23" s="360">
        <f t="shared" si="2"/>
        <v>43983</v>
      </c>
      <c r="B23" s="261">
        <f>IF(VLOOKUP($C$7&amp;"Unadjusted seen "&amp;$B$9,REPORT_raw_dataseen!$A$1:$R$817,MATCH($A23,REPORT_raw_dataseen!$D$1:$R$1,1)+3, FALSE)=0,"-",VLOOKUP($C$7&amp;"Unadjusted seen "&amp;$B$9,REPORT_raw_dataseen!$A$1:$R$817,MATCH($A23,REPORT_raw_dataseen!$D$1:$R$1,1)+3, FALSE))</f>
        <v>4332</v>
      </c>
      <c r="C23" s="261">
        <f>IF(VLOOKUP($C$7&amp;"Unadjusted seen "&amp;$C$10,REPORT_raw_dataseen!$A$1:$R$817,MATCH($A23,REPORT_raw_dataseen!$D$1:$R$1,1)+3, FALSE)=0,"-",VLOOKUP($C$7&amp;"Unadjusted seen "&amp;$C$10,REPORT_raw_dataseen!$A$1:$R$817,MATCH($A23,REPORT_raw_dataseen!$D$1:$R$1,1)+3, FALSE))</f>
        <v>3014</v>
      </c>
      <c r="D23" s="261">
        <f>IF(B23="..","..",IF(C23="-",B23, IF((B23-C23)=0, "-",B23-C23)))</f>
        <v>1318</v>
      </c>
      <c r="E23" s="264">
        <f t="shared" si="3"/>
        <v>69.58</v>
      </c>
      <c r="F23" s="264">
        <f t="shared" si="4"/>
        <v>30.42</v>
      </c>
      <c r="G23" s="229">
        <f>+VLOOKUP($C$7&amp;"Unadjusted seen median",REPORT_raw_dataseen!$A$1:$R$817,MATCH($A23,REPORT_raw_dataseen!$D$1:$R$1,1)+3,FALSE)</f>
        <v>3</v>
      </c>
      <c r="H23" s="281">
        <f>+VLOOKUP($C$7&amp;"Unadjusted seen 90percent",REPORT_raw_dataseen!$A$1:$R$817,MATCH($A23,REPORT_raw_dataseen!$D$1:$R$1,1)+3,FALSE)</f>
        <v>39</v>
      </c>
    </row>
    <row r="24" spans="1:9">
      <c r="A24" s="360">
        <f t="shared" si="2"/>
        <v>43952</v>
      </c>
      <c r="B24" s="261">
        <f>IF(VLOOKUP($C$7&amp;"Unadjusted seen "&amp;$B$9,REPORT_raw_dataseen!$A$1:$R$817,MATCH($A24,REPORT_raw_dataseen!$D$1:$R$1,1)+3, FALSE)=0,"-",VLOOKUP($C$7&amp;"Unadjusted seen "&amp;$B$9,REPORT_raw_dataseen!$A$1:$R$817,MATCH($A24,REPORT_raw_dataseen!$D$1:$R$1,1)+3, FALSE))</f>
        <v>3446</v>
      </c>
      <c r="C24" s="261">
        <f>IF(VLOOKUP($C$7&amp;"Unadjusted seen "&amp;$C$10,REPORT_raw_dataseen!$A$1:$R$817,MATCH($A24,REPORT_raw_dataseen!$D$1:$R$1,1)+3, FALSE)=0,"-",VLOOKUP($C$7&amp;"Unadjusted seen "&amp;$C$10,REPORT_raw_dataseen!$A$1:$R$817,MATCH($A24,REPORT_raw_dataseen!$D$1:$R$1,1)+3, FALSE))</f>
        <v>2541</v>
      </c>
      <c r="D24" s="261">
        <f>IF(B24="..","..",IF(C24="-",B24, IF((B24-C24)=0, "-",B24-C24)))</f>
        <v>905</v>
      </c>
      <c r="E24" s="264">
        <f t="shared" si="3"/>
        <v>73.739999999999995</v>
      </c>
      <c r="F24" s="264">
        <f t="shared" si="4"/>
        <v>26.26</v>
      </c>
      <c r="G24" s="229">
        <f>+VLOOKUP($C$7&amp;"Unadjusted seen median",REPORT_raw_dataseen!$A$1:$R$817,MATCH($A24,REPORT_raw_dataseen!$D$1:$R$1,1)+3,FALSE)</f>
        <v>3</v>
      </c>
      <c r="H24" s="281">
        <f>+VLOOKUP($C$7&amp;"Unadjusted seen 90percent",REPORT_raw_dataseen!$A$1:$R$817,MATCH($A24,REPORT_raw_dataseen!$D$1:$R$1,1)+3,FALSE)</f>
        <v>39</v>
      </c>
    </row>
    <row r="25" spans="1:9">
      <c r="A25" s="360">
        <f t="shared" si="2"/>
        <v>43922</v>
      </c>
      <c r="B25" s="261">
        <f>IF(VLOOKUP($C$7&amp;"Unadjusted seen "&amp;$B$9,REPORT_raw_dataseen!$A$1:$R$817,MATCH($A25,REPORT_raw_dataseen!$D$1:$R$1,1)+3, FALSE)=0,"-",VLOOKUP($C$7&amp;"Unadjusted seen "&amp;$B$9,REPORT_raw_dataseen!$A$1:$R$817,MATCH($A25,REPORT_raw_dataseen!$D$1:$R$1,1)+3, FALSE))</f>
        <v>3042</v>
      </c>
      <c r="C25" s="261">
        <f>IF(VLOOKUP($C$7&amp;"Unadjusted seen "&amp;$C$10,REPORT_raw_dataseen!$A$1:$R$817,MATCH($A25,REPORT_raw_dataseen!$D$1:$R$1,1)+3, FALSE)=0,"-",VLOOKUP($C$7&amp;"Unadjusted seen "&amp;$C$10,REPORT_raw_dataseen!$A$1:$R$817,MATCH($A25,REPORT_raw_dataseen!$D$1:$R$1,1)+3, FALSE))</f>
        <v>2171</v>
      </c>
      <c r="D25" s="261">
        <f>IF(B25="..","..",IF(C25="-",B25, IF((B25-C25)=0, "-",B25-C25)))</f>
        <v>871</v>
      </c>
      <c r="E25" s="264">
        <f t="shared" si="3"/>
        <v>71.37</v>
      </c>
      <c r="F25" s="264">
        <f t="shared" si="4"/>
        <v>28.63</v>
      </c>
      <c r="G25" s="229">
        <f>+VLOOKUP($C$7&amp;"Unadjusted seen median",REPORT_raw_dataseen!$A$1:$R$817,MATCH($A25,REPORT_raw_dataseen!$D$1:$R$1,1)+3,FALSE)</f>
        <v>7</v>
      </c>
      <c r="H25" s="281">
        <f>+VLOOKUP($C$7&amp;"Unadjusted seen 90percent",REPORT_raw_dataseen!$A$1:$R$817,MATCH($A25,REPORT_raw_dataseen!$D$1:$R$1,1)+3,FALSE)</f>
        <v>36</v>
      </c>
    </row>
    <row r="26" spans="1:9">
      <c r="A26" s="362"/>
      <c r="B26" s="266"/>
      <c r="C26" s="266"/>
      <c r="D26" s="266"/>
      <c r="E26" s="271"/>
      <c r="F26" s="271"/>
      <c r="G26" s="274"/>
      <c r="H26" s="282"/>
    </row>
    <row r="27" spans="1:9">
      <c r="A27" s="274" t="str">
        <f>"quarter ending "&amp;TEXT(A11,"mmm yyyy")</f>
        <v>quarter ending Jun 2021</v>
      </c>
      <c r="B27" s="285">
        <f>IF(OR(B11="*", B12="*", B13="*"),"*", IF(COUNTIF(B11:B13,"..")=3,"..",IF(SUM(B11:B13)=0,"-",SUM(B11:B13))))</f>
        <v>19587</v>
      </c>
      <c r="C27" s="285">
        <f>IF(OR(C11="*", C12="*", C13="*"),"*", IF(COUNTIF(C11:C13,"..")=3,"..",IF(SUM(C11:C13)=0,"-",SUM(C11:C13))))</f>
        <v>15961</v>
      </c>
      <c r="D27" s="285">
        <f>IF(OR(D11="*", D12="*", D13="*"),"*", IF(COUNTIF(D11:D13,"..")=3,"..",IF(SUM(D11:D13)=0,"-",SUM(D11:D13))))</f>
        <v>3626</v>
      </c>
      <c r="E27" s="272">
        <f t="shared" ref="E27:F31" si="5">IF(C27="-", "-", ROUND(C27/$B27%,2))</f>
        <v>81.489999999999995</v>
      </c>
      <c r="F27" s="272">
        <f t="shared" si="5"/>
        <v>18.510000000000002</v>
      </c>
      <c r="G27" s="289">
        <f>+VLOOKUP($C$7&amp;"unadjusted seen Quartmedian",REPORT_raw_dataseen!$A$1:$R$817,MATCH($A11,REPORT_raw_dataseen!$D$1:$R$1,1)+1,FALSE)</f>
        <v>3</v>
      </c>
      <c r="H27" s="283">
        <f>+VLOOKUP($C$7&amp;"unadjusted seen Quart90perc",REPORT_raw_dataseen!$A$1:$R$817,MATCH($A11,REPORT_raw_dataseen!$D$1:$R$1,1)+1,FALSE)</f>
        <v>33</v>
      </c>
    </row>
    <row r="28" spans="1:9">
      <c r="A28" s="274" t="str">
        <f>"quarter ending "&amp;TEXT(A14,"mmm yyyy")</f>
        <v>quarter ending Mar 2021</v>
      </c>
      <c r="B28" s="285">
        <f>IF(OR(B14="*", B15="*", B16="*"),"*", IF(COUNTIF(B14:B16,"..")=3,"..",IF(SUM(B14:B16)=0,"-",SUM(B14:B16))))</f>
        <v>18123</v>
      </c>
      <c r="C28" s="285">
        <f>IF(OR(C14="*", C15="*", C16="*"),"*", IF(COUNTIF(C14:C16,"..")=3,"..",IF(SUM(C14:C16)=0,"-",SUM(C14:C16))))</f>
        <v>14292</v>
      </c>
      <c r="D28" s="285">
        <f>IF(OR(D14="*", D15="*", D16="*"),"*", IF(COUNTIF(D14:D16,"..")=3,"..",IF(SUM(D14:D16)=0,"-",SUM(D14:D16))))</f>
        <v>3831</v>
      </c>
      <c r="E28" s="272">
        <f t="shared" si="5"/>
        <v>78.86</v>
      </c>
      <c r="F28" s="272">
        <f t="shared" si="5"/>
        <v>21.14</v>
      </c>
      <c r="G28" s="289">
        <f>+VLOOKUP($C$7&amp;"unadjusted seen Quartmedian",REPORT_raw_dataseen!$A$1:$R$817,MATCH($A14,REPORT_raw_dataseen!$D$1:$R$1,1)+1,FALSE)</f>
        <v>3</v>
      </c>
      <c r="H28" s="283">
        <f>+VLOOKUP($C$7&amp;"unadjusted seen Quart90perc",REPORT_raw_dataseen!$A$1:$R$817,MATCH($A14,REPORT_raw_dataseen!$D$1:$R$1,1)+1,FALSE)</f>
        <v>46</v>
      </c>
    </row>
    <row r="29" spans="1:9">
      <c r="A29" s="274" t="str">
        <f>"quarter ending "&amp;TEXT(A17,"mmm yyyy")</f>
        <v>quarter ending Dec 2020</v>
      </c>
      <c r="B29" s="285">
        <f>IF(OR(B17="*", B18="*", B19="*"),"*", IF(COUNTIF(B17:B19,"..")=3,"..",IF(SUM(B17:B19)=0,"-",SUM(B17:B19))))</f>
        <v>17023</v>
      </c>
      <c r="C29" s="285">
        <f>IF(OR(C17="*", C18="*", C19="*"),"*", IF(COUNTIF(C17:C19,"..")=3,"..",IF(SUM(C17:C19)=0,"-",SUM(C17:C19))))</f>
        <v>13401</v>
      </c>
      <c r="D29" s="285">
        <f>IF(OR(D17="*", D18="*", D19="*"),"*", IF(COUNTIF(D17:D19,"..")=3,"..",IF(SUM(D17:D19)=0,"-",SUM(D17:D19))))</f>
        <v>3622</v>
      </c>
      <c r="E29" s="272">
        <f t="shared" si="5"/>
        <v>78.72</v>
      </c>
      <c r="F29" s="272">
        <f t="shared" si="5"/>
        <v>21.28</v>
      </c>
      <c r="G29" s="289">
        <f>+VLOOKUP($C$7&amp;"unadjusted seen Quartmedian",REPORT_raw_dataseen!$A$1:$R$817,MATCH($A17,REPORT_raw_dataseen!$D$1:$R$1,1)+1,FALSE)</f>
        <v>2</v>
      </c>
      <c r="H29" s="283">
        <f>+VLOOKUP($C$7&amp;"unadjusted seen Quart90perc",REPORT_raw_dataseen!$A$1:$R$817,MATCH($A17,REPORT_raw_dataseen!$D$1:$R$1,1)+1,FALSE)</f>
        <v>46</v>
      </c>
    </row>
    <row r="30" spans="1:9">
      <c r="A30" s="274" t="str">
        <f>"quarter ending "&amp;TEXT(A20,"mmm yyyy")</f>
        <v>quarter ending Sep 2020</v>
      </c>
      <c r="B30" s="285">
        <f>IF(OR(B20="*", B21="*", B22="*"),"*", IF(COUNTIF(B20:B22,"..")=3,"..",IF(SUM(B20:B22)=0,"-",SUM(B20:B22))))</f>
        <v>15018</v>
      </c>
      <c r="C30" s="285">
        <f>IF(OR(C20="*", C21="*", C22="*"),"*", IF(COUNTIF(C20:C22,"..")=3,"..",IF(SUM(C20:C22)=0,"-",SUM(C20:C22))))</f>
        <v>10897</v>
      </c>
      <c r="D30" s="285">
        <f>IF(OR(D20="*", D21="*", D22="*"),"*", IF(COUNTIF(D20:D22,"..")=3,"..",IF(SUM(D20:D22)=0,"-",SUM(D20:D22))))</f>
        <v>4121</v>
      </c>
      <c r="E30" s="272">
        <f t="shared" si="5"/>
        <v>72.56</v>
      </c>
      <c r="F30" s="272">
        <f t="shared" si="5"/>
        <v>27.44</v>
      </c>
      <c r="G30" s="289">
        <f>+VLOOKUP($C$7&amp;"unadjusted seen Quartmedian",REPORT_raw_dataseen!$A$1:$R$817,MATCH($A20,REPORT_raw_dataseen!$D$1:$R$1,1)+1,FALSE)</f>
        <v>2</v>
      </c>
      <c r="H30" s="283">
        <f>+VLOOKUP($C$7&amp;"unadjusted seen Quart90perc",REPORT_raw_dataseen!$A$1:$R$817,MATCH($A20,REPORT_raw_dataseen!$D$1:$R$1,1)+1,FALSE)</f>
        <v>41</v>
      </c>
    </row>
    <row r="31" spans="1:9">
      <c r="A31" s="363" t="str">
        <f>"quarter ending "&amp;TEXT(A23,"mmm yyyy")</f>
        <v>quarter ending Jun 2020</v>
      </c>
      <c r="B31" s="286">
        <f>IF(OR(B23="*", B24="*", B25="*"),"*", IF(COUNTIF(B23:B25,"..")=3,"..",IF(SUM(B23:B25)=0,"-",SUM(B23:B25))))</f>
        <v>10820</v>
      </c>
      <c r="C31" s="286">
        <f>IF(OR(C23="*", C24="*", C25="*"),"*", IF(COUNTIF(C23:C25,"..")=3,"..",IF(SUM(C23:C25)=0,"-",SUM(C23:C25))))</f>
        <v>7726</v>
      </c>
      <c r="D31" s="286">
        <f>IF(OR(D23="*", D24="*", D25="*"),"*", IF(COUNTIF(D23:D25,"..")=3,"..",IF(SUM(D23:D25)=0,"-",SUM(D23:D25))))</f>
        <v>3094</v>
      </c>
      <c r="E31" s="273">
        <f t="shared" si="5"/>
        <v>71.400000000000006</v>
      </c>
      <c r="F31" s="273">
        <f t="shared" si="5"/>
        <v>28.6</v>
      </c>
      <c r="G31" s="290">
        <f>+VLOOKUP($C$7&amp;"unadjusted seen Quartmedian",REPORT_raw_dataseen!$A$1:$R$817,MATCH($A23,REPORT_raw_dataseen!$D$1:$R$1,1)+1,FALSE)</f>
        <v>4</v>
      </c>
      <c r="H31" s="284">
        <f>+VLOOKUP($C$7&amp;"unadjusted seen Quart90perc",REPORT_raw_dataseen!$A$1:$R$817,MATCH($A23,REPORT_raw_dataseen!$D$1:$R$1,1)+1,FALSE)</f>
        <v>39</v>
      </c>
    </row>
    <row r="32" spans="1:9">
      <c r="B32" s="16"/>
      <c r="C32" s="16"/>
      <c r="D32" s="16"/>
      <c r="E32" s="16"/>
      <c r="F32" s="17"/>
      <c r="G32" s="17"/>
    </row>
    <row r="33" spans="1:7">
      <c r="B33" s="16"/>
      <c r="C33" s="16"/>
      <c r="D33" s="16"/>
      <c r="E33" s="16"/>
      <c r="F33" s="17"/>
      <c r="G33" s="17"/>
    </row>
    <row r="34" spans="1:7" ht="20.25">
      <c r="A34" s="76" t="s">
        <v>337</v>
      </c>
      <c r="B34" s="16"/>
      <c r="C34" s="16"/>
      <c r="D34" s="16"/>
      <c r="E34" s="16"/>
      <c r="F34" s="17"/>
      <c r="G34" s="17"/>
    </row>
    <row r="35" spans="1:7">
      <c r="A35" s="77" t="s">
        <v>338</v>
      </c>
      <c r="B35" s="77" t="s">
        <v>339</v>
      </c>
      <c r="C35" s="78"/>
      <c r="D35" s="450" t="s">
        <v>340</v>
      </c>
      <c r="E35" s="450"/>
      <c r="F35" s="450"/>
      <c r="G35" s="450"/>
    </row>
    <row r="36" spans="1:7">
      <c r="A36" s="79" t="s">
        <v>55</v>
      </c>
      <c r="B36" s="80" t="s">
        <v>341</v>
      </c>
      <c r="C36" s="81"/>
      <c r="D36" s="451" t="s">
        <v>342</v>
      </c>
      <c r="E36" s="451"/>
      <c r="F36" s="451"/>
      <c r="G36" s="451"/>
    </row>
    <row r="37" spans="1:7" ht="51">
      <c r="A37" s="82" t="s">
        <v>343</v>
      </c>
      <c r="B37" s="83" t="s">
        <v>344</v>
      </c>
      <c r="C37" s="84"/>
      <c r="D37" s="452" t="s">
        <v>345</v>
      </c>
      <c r="E37" s="452"/>
      <c r="F37" s="452"/>
      <c r="G37" s="452"/>
    </row>
    <row r="38" spans="1:7">
      <c r="A38" s="85" t="s">
        <v>27</v>
      </c>
      <c r="B38" s="86"/>
      <c r="C38" s="87"/>
      <c r="D38" s="439" t="s">
        <v>346</v>
      </c>
      <c r="E38" s="439"/>
      <c r="F38" s="439"/>
      <c r="G38" s="439"/>
    </row>
    <row r="39" spans="1:7">
      <c r="A39" s="88"/>
      <c r="B39" s="89"/>
      <c r="C39" s="89"/>
      <c r="D39" s="19"/>
      <c r="E39" s="89"/>
      <c r="F39" s="90"/>
      <c r="G39" s="15"/>
    </row>
    <row r="40" spans="1:7">
      <c r="A40" s="88"/>
      <c r="B40" s="89"/>
      <c r="C40" s="89"/>
      <c r="D40" s="19"/>
      <c r="E40" s="89"/>
      <c r="F40" s="90"/>
      <c r="G40" s="15"/>
    </row>
    <row r="41" spans="1:7">
      <c r="A41" s="88"/>
      <c r="B41" s="89"/>
      <c r="C41" s="89"/>
      <c r="D41" s="19"/>
      <c r="E41" s="89"/>
      <c r="F41" s="90"/>
      <c r="G41" s="15"/>
    </row>
    <row r="42" spans="1:7">
      <c r="A42" s="91" t="s">
        <v>190</v>
      </c>
      <c r="B42" s="89"/>
      <c r="C42" s="89"/>
      <c r="D42" s="89"/>
      <c r="E42" s="89"/>
      <c r="F42" s="90"/>
      <c r="G42" s="15"/>
    </row>
    <row r="43" spans="1:7">
      <c r="A43" s="91" t="s">
        <v>191</v>
      </c>
      <c r="B43" s="89"/>
      <c r="C43" s="89"/>
      <c r="D43" s="89"/>
      <c r="E43" s="89"/>
      <c r="F43" s="90"/>
      <c r="G43" s="15"/>
    </row>
    <row r="44" spans="1:7">
      <c r="B44" s="16"/>
      <c r="C44" s="16"/>
      <c r="D44" s="16"/>
      <c r="E44" s="16"/>
      <c r="F44" s="18"/>
      <c r="G44" s="18"/>
    </row>
    <row r="45" spans="1:7">
      <c r="A45" s="43" t="s">
        <v>410</v>
      </c>
      <c r="B45" s="12"/>
      <c r="C45" s="12"/>
      <c r="D45" s="12"/>
      <c r="E45" s="12"/>
      <c r="F45" s="13"/>
      <c r="G45" s="13"/>
    </row>
    <row r="46" spans="1:7">
      <c r="B46" s="7"/>
      <c r="C46" s="7"/>
      <c r="D46" s="7"/>
      <c r="E46" s="7"/>
      <c r="F46" s="14"/>
      <c r="G46" s="14"/>
    </row>
    <row r="47" spans="1:7">
      <c r="A47" s="8"/>
      <c r="B47" s="7"/>
      <c r="C47" s="7"/>
      <c r="D47" s="7"/>
      <c r="E47" s="7"/>
      <c r="F47" s="15"/>
      <c r="G47" s="15"/>
    </row>
    <row r="48" spans="1:7">
      <c r="B48" s="16"/>
      <c r="C48" s="16"/>
      <c r="D48" s="16"/>
      <c r="E48" s="16"/>
      <c r="F48" s="18"/>
      <c r="G48" s="18"/>
    </row>
    <row r="49" spans="1:7">
      <c r="B49" s="12"/>
      <c r="C49" s="12"/>
      <c r="D49" s="12"/>
      <c r="E49" s="12"/>
      <c r="F49" s="13"/>
      <c r="G49" s="13"/>
    </row>
    <row r="50" spans="1:7">
      <c r="B50" s="12"/>
      <c r="C50" s="12"/>
      <c r="D50" s="7"/>
      <c r="E50" s="7"/>
      <c r="F50" s="14"/>
      <c r="G50" s="14"/>
    </row>
    <row r="51" spans="1:7">
      <c r="B51" s="12"/>
      <c r="C51" s="12"/>
      <c r="D51" s="7"/>
      <c r="E51" s="7"/>
      <c r="F51" s="15"/>
      <c r="G51" s="15"/>
    </row>
    <row r="52" spans="1:7">
      <c r="B52" s="16"/>
      <c r="C52" s="16"/>
      <c r="D52" s="7"/>
      <c r="E52" s="7"/>
      <c r="F52" s="15"/>
      <c r="G52" s="15"/>
    </row>
    <row r="53" spans="1:7">
      <c r="A53" s="29" t="str">
        <f>"Percentage of patients waiting less than 18 weeks for adjusted waits - "&amp;C7</f>
        <v>Percentage of patients waiting less than 18 weeks for adjusted waits - Scotland</v>
      </c>
      <c r="B53" s="16"/>
      <c r="C53" s="16"/>
      <c r="D53" s="16"/>
      <c r="E53" s="16"/>
      <c r="F53" s="15"/>
      <c r="G53" s="15"/>
    </row>
    <row r="54" spans="1:7">
      <c r="A54" s="28"/>
      <c r="B54" s="16"/>
      <c r="C54" s="16"/>
      <c r="D54" s="16"/>
      <c r="E54" s="16"/>
      <c r="F54" s="18"/>
      <c r="G54" s="18"/>
    </row>
    <row r="55" spans="1:7">
      <c r="B55" s="12"/>
      <c r="C55" s="12"/>
      <c r="D55" s="12"/>
      <c r="E55" s="12"/>
      <c r="F55" s="13"/>
      <c r="G55" s="13"/>
    </row>
    <row r="56" spans="1:7">
      <c r="B56" s="7"/>
      <c r="C56" s="7"/>
      <c r="D56" s="7"/>
      <c r="E56" s="7"/>
      <c r="F56" s="14"/>
      <c r="G56" s="14"/>
    </row>
    <row r="57" spans="1:7">
      <c r="A57" s="29" t="str">
        <f>"Patients seen - adjusted waits - "&amp;C7</f>
        <v>Patients seen - adjusted waits - Scotland</v>
      </c>
      <c r="B57" s="16"/>
      <c r="C57" s="16"/>
      <c r="D57" s="16"/>
      <c r="E57" s="16"/>
      <c r="F57" s="15"/>
      <c r="G57" s="15"/>
    </row>
    <row r="58" spans="1:7">
      <c r="A58" s="29" t="str">
        <f>"Percentage of patients seen 0-18 weeks for adjusted waits - "&amp;C7</f>
        <v>Percentage of patients seen 0-18 weeks for adjusted waits - Scotland</v>
      </c>
      <c r="B58" s="16"/>
      <c r="C58" s="16"/>
      <c r="D58" s="16"/>
      <c r="E58" s="16"/>
      <c r="F58" s="15"/>
      <c r="G58" s="15"/>
    </row>
    <row r="59" spans="1:7">
      <c r="A59" s="29" t="str">
        <f>"Percentage of patients seen - adjusted waits - "&amp;C7</f>
        <v>Percentage of patients seen - adjusted waits - Scotland</v>
      </c>
      <c r="B59" s="16"/>
      <c r="C59" s="16"/>
      <c r="D59" s="16"/>
      <c r="E59" s="16"/>
      <c r="F59" s="17"/>
      <c r="G59" s="17"/>
    </row>
    <row r="60" spans="1:7">
      <c r="B60" s="12"/>
      <c r="C60" s="12"/>
      <c r="D60" s="12"/>
      <c r="E60" s="12"/>
      <c r="F60" s="13"/>
      <c r="G60" s="13"/>
    </row>
    <row r="61" spans="1:7" s="20" customFormat="1">
      <c r="B61" s="21"/>
      <c r="C61" s="21"/>
      <c r="D61" s="21"/>
      <c r="E61" s="21"/>
      <c r="F61" s="22"/>
      <c r="G61" s="22"/>
    </row>
    <row r="62" spans="1:7">
      <c r="B62" s="8"/>
      <c r="C62" s="8"/>
      <c r="D62" s="8"/>
      <c r="E62" s="8"/>
      <c r="F62" s="24"/>
      <c r="G62" s="24"/>
    </row>
    <row r="63" spans="1:7">
      <c r="B63" s="8"/>
      <c r="C63" s="8"/>
      <c r="D63" s="8"/>
      <c r="E63" s="8"/>
      <c r="F63" s="24"/>
      <c r="G63" s="24"/>
    </row>
    <row r="64" spans="1:7">
      <c r="B64" s="8"/>
      <c r="C64" s="8"/>
      <c r="D64" s="8"/>
      <c r="E64" s="8"/>
      <c r="F64" s="24"/>
      <c r="G64" s="24"/>
    </row>
    <row r="65" spans="1:7">
      <c r="A65" s="16"/>
      <c r="B65" s="16"/>
      <c r="C65" s="16"/>
      <c r="D65" s="16"/>
      <c r="E65" s="16"/>
      <c r="F65" s="26"/>
      <c r="G65" s="26"/>
    </row>
    <row r="66" spans="1:7">
      <c r="B66" s="16"/>
      <c r="C66" s="16"/>
      <c r="D66" s="16"/>
      <c r="E66" s="16"/>
      <c r="F66" s="18"/>
      <c r="G66" s="18"/>
    </row>
    <row r="67" spans="1:7">
      <c r="B67" s="12"/>
      <c r="C67" s="12"/>
      <c r="D67" s="12"/>
      <c r="E67" s="12"/>
      <c r="F67" s="13"/>
      <c r="G67" s="13"/>
    </row>
    <row r="68" spans="1:7">
      <c r="B68" s="7"/>
      <c r="C68" s="7"/>
      <c r="D68" s="7"/>
      <c r="E68" s="7"/>
      <c r="F68" s="14"/>
      <c r="G68" s="14"/>
    </row>
    <row r="69" spans="1:7">
      <c r="B69" s="7"/>
      <c r="C69" s="7"/>
      <c r="D69" s="7"/>
      <c r="E69" s="7"/>
      <c r="F69" s="15"/>
      <c r="G69" s="15"/>
    </row>
    <row r="70" spans="1:7">
      <c r="B70" s="7"/>
      <c r="C70" s="7"/>
      <c r="D70" s="7"/>
      <c r="E70" s="7"/>
      <c r="F70" s="15"/>
      <c r="G70" s="15"/>
    </row>
    <row r="71" spans="1:7">
      <c r="B71" s="16"/>
      <c r="C71" s="16"/>
      <c r="D71" s="16"/>
      <c r="E71" s="16"/>
      <c r="F71" s="18"/>
      <c r="G71" s="18"/>
    </row>
    <row r="72" spans="1:7">
      <c r="B72" s="27"/>
      <c r="C72" s="27"/>
      <c r="D72" s="27"/>
      <c r="E72" s="27"/>
      <c r="F72" s="13"/>
      <c r="G72" s="13"/>
    </row>
    <row r="73" spans="1:7">
      <c r="B73" s="28"/>
      <c r="C73" s="28"/>
      <c r="D73" s="28"/>
      <c r="E73" s="28"/>
      <c r="F73" s="14"/>
      <c r="G73" s="14"/>
    </row>
    <row r="74" spans="1:7">
      <c r="F74" s="15"/>
      <c r="G74" s="15"/>
    </row>
    <row r="75" spans="1:7">
      <c r="F75" s="15"/>
      <c r="G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sheetProtection algorithmName="SHA-512" hashValue="lXSAhZxhumgtAC+g9bycmdqR6EmsFPx5h07vJoFOlQlHoKhJ/vitsKnnHyTY5Lg9BJaNcjthQ3fbZ346bAv6nA==" saltValue="qok8P2UYfas0qwAEl3MAOg==" spinCount="100000" sheet="1" objects="1" scenarios="1"/>
  <mergeCells count="11">
    <mergeCell ref="A1:K1"/>
    <mergeCell ref="A2:D2"/>
    <mergeCell ref="E9:F9"/>
    <mergeCell ref="D35:G35"/>
    <mergeCell ref="D36:G36"/>
    <mergeCell ref="D37:G37"/>
    <mergeCell ref="D38:G38"/>
    <mergeCell ref="C7:D7"/>
    <mergeCell ref="A9:A10"/>
    <mergeCell ref="B9:B10"/>
    <mergeCell ref="C9:D9"/>
  </mergeCells>
  <dataValidations count="2">
    <dataValidation type="list" allowBlank="1" showInputMessage="1" showErrorMessage="1" sqref="WVG983026:WVH983026 IU65522:IV65522 SQ65522:SR65522 ACM65522:ACN65522 AMI65522:AMJ65522 AWE65522:AWF65522 BGA65522:BGB65522 BPW65522:BPX65522 BZS65522:BZT65522 CJO65522:CJP65522 CTK65522:CTL65522 DDG65522:DDH65522 DNC65522:DND65522 DWY65522:DWZ65522 EGU65522:EGV65522 EQQ65522:EQR65522 FAM65522:FAN65522 FKI65522:FKJ65522 FUE65522:FUF65522 GEA65522:GEB65522 GNW65522:GNX65522 GXS65522:GXT65522 HHO65522:HHP65522 HRK65522:HRL65522 IBG65522:IBH65522 ILC65522:ILD65522 IUY65522:IUZ65522 JEU65522:JEV65522 JOQ65522:JOR65522 JYM65522:JYN65522 KII65522:KIJ65522 KSE65522:KSF65522 LCA65522:LCB65522 LLW65522:LLX65522 LVS65522:LVT65522 MFO65522:MFP65522 MPK65522:MPL65522 MZG65522:MZH65522 NJC65522:NJD65522 NSY65522:NSZ65522 OCU65522:OCV65522 OMQ65522:OMR65522 OWM65522:OWN65522 PGI65522:PGJ65522 PQE65522:PQF65522 QAA65522:QAB65522 QJW65522:QJX65522 QTS65522:QTT65522 RDO65522:RDP65522 RNK65522:RNL65522 RXG65522:RXH65522 SHC65522:SHD65522 SQY65522:SQZ65522 TAU65522:TAV65522 TKQ65522:TKR65522 TUM65522:TUN65522 UEI65522:UEJ65522 UOE65522:UOF65522 UYA65522:UYB65522 VHW65522:VHX65522 VRS65522:VRT65522 WBO65522:WBP65522 WLK65522:WLL65522 WVG65522:WVH65522 IU131058:IV131058 SQ131058:SR131058 ACM131058:ACN131058 AMI131058:AMJ131058 AWE131058:AWF131058 BGA131058:BGB131058 BPW131058:BPX131058 BZS131058:BZT131058 CJO131058:CJP131058 CTK131058:CTL131058 DDG131058:DDH131058 DNC131058:DND131058 DWY131058:DWZ131058 EGU131058:EGV131058 EQQ131058:EQR131058 FAM131058:FAN131058 FKI131058:FKJ131058 FUE131058:FUF131058 GEA131058:GEB131058 GNW131058:GNX131058 GXS131058:GXT131058 HHO131058:HHP131058 HRK131058:HRL131058 IBG131058:IBH131058 ILC131058:ILD131058 IUY131058:IUZ131058 JEU131058:JEV131058 JOQ131058:JOR131058 JYM131058:JYN131058 KII131058:KIJ131058 KSE131058:KSF131058 LCA131058:LCB131058 LLW131058:LLX131058 LVS131058:LVT131058 MFO131058:MFP131058 MPK131058:MPL131058 MZG131058:MZH131058 NJC131058:NJD131058 NSY131058:NSZ131058 OCU131058:OCV131058 OMQ131058:OMR131058 OWM131058:OWN131058 PGI131058:PGJ131058 PQE131058:PQF131058 QAA131058:QAB131058 QJW131058:QJX131058 QTS131058:QTT131058 RDO131058:RDP131058 RNK131058:RNL131058 RXG131058:RXH131058 SHC131058:SHD131058 SQY131058:SQZ131058 TAU131058:TAV131058 TKQ131058:TKR131058 TUM131058:TUN131058 UEI131058:UEJ131058 UOE131058:UOF131058 UYA131058:UYB131058 VHW131058:VHX131058 VRS131058:VRT131058 WBO131058:WBP131058 WLK131058:WLL131058 WVG131058:WVH131058 IU196594:IV196594 SQ196594:SR196594 ACM196594:ACN196594 AMI196594:AMJ196594 AWE196594:AWF196594 BGA196594:BGB196594 BPW196594:BPX196594 BZS196594:BZT196594 CJO196594:CJP196594 CTK196594:CTL196594 DDG196594:DDH196594 DNC196594:DND196594 DWY196594:DWZ196594 EGU196594:EGV196594 EQQ196594:EQR196594 FAM196594:FAN196594 FKI196594:FKJ196594 FUE196594:FUF196594 GEA196594:GEB196594 GNW196594:GNX196594 GXS196594:GXT196594 HHO196594:HHP196594 HRK196594:HRL196594 IBG196594:IBH196594 ILC196594:ILD196594 IUY196594:IUZ196594 JEU196594:JEV196594 JOQ196594:JOR196594 JYM196594:JYN196594 KII196594:KIJ196594 KSE196594:KSF196594 LCA196594:LCB196594 LLW196594:LLX196594 LVS196594:LVT196594 MFO196594:MFP196594 MPK196594:MPL196594 MZG196594:MZH196594 NJC196594:NJD196594 NSY196594:NSZ196594 OCU196594:OCV196594 OMQ196594:OMR196594 OWM196594:OWN196594 PGI196594:PGJ196594 PQE196594:PQF196594 QAA196594:QAB196594 QJW196594:QJX196594 QTS196594:QTT196594 RDO196594:RDP196594 RNK196594:RNL196594 RXG196594:RXH196594 SHC196594:SHD196594 SQY196594:SQZ196594 TAU196594:TAV196594 TKQ196594:TKR196594 TUM196594:TUN196594 UEI196594:UEJ196594 UOE196594:UOF196594 UYA196594:UYB196594 VHW196594:VHX196594 VRS196594:VRT196594 WBO196594:WBP196594 WLK196594:WLL196594 WVG196594:WVH196594 IU262130:IV262130 SQ262130:SR262130 ACM262130:ACN262130 AMI262130:AMJ262130 AWE262130:AWF262130 BGA262130:BGB262130 BPW262130:BPX262130 BZS262130:BZT262130 CJO262130:CJP262130 CTK262130:CTL262130 DDG262130:DDH262130 DNC262130:DND262130 DWY262130:DWZ262130 EGU262130:EGV262130 EQQ262130:EQR262130 FAM262130:FAN262130 FKI262130:FKJ262130 FUE262130:FUF262130 GEA262130:GEB262130 GNW262130:GNX262130 GXS262130:GXT262130 HHO262130:HHP262130 HRK262130:HRL262130 IBG262130:IBH262130 ILC262130:ILD262130 IUY262130:IUZ262130 JEU262130:JEV262130 JOQ262130:JOR262130 JYM262130:JYN262130 KII262130:KIJ262130 KSE262130:KSF262130 LCA262130:LCB262130 LLW262130:LLX262130 LVS262130:LVT262130 MFO262130:MFP262130 MPK262130:MPL262130 MZG262130:MZH262130 NJC262130:NJD262130 NSY262130:NSZ262130 OCU262130:OCV262130 OMQ262130:OMR262130 OWM262130:OWN262130 PGI262130:PGJ262130 PQE262130:PQF262130 QAA262130:QAB262130 QJW262130:QJX262130 QTS262130:QTT262130 RDO262130:RDP262130 RNK262130:RNL262130 RXG262130:RXH262130 SHC262130:SHD262130 SQY262130:SQZ262130 TAU262130:TAV262130 TKQ262130:TKR262130 TUM262130:TUN262130 UEI262130:UEJ262130 UOE262130:UOF262130 UYA262130:UYB262130 VHW262130:VHX262130 VRS262130:VRT262130 WBO262130:WBP262130 WLK262130:WLL262130 WVG262130:WVH262130 IU327666:IV327666 SQ327666:SR327666 ACM327666:ACN327666 AMI327666:AMJ327666 AWE327666:AWF327666 BGA327666:BGB327666 BPW327666:BPX327666 BZS327666:BZT327666 CJO327666:CJP327666 CTK327666:CTL327666 DDG327666:DDH327666 DNC327666:DND327666 DWY327666:DWZ327666 EGU327666:EGV327666 EQQ327666:EQR327666 FAM327666:FAN327666 FKI327666:FKJ327666 FUE327666:FUF327666 GEA327666:GEB327666 GNW327666:GNX327666 GXS327666:GXT327666 HHO327666:HHP327666 HRK327666:HRL327666 IBG327666:IBH327666 ILC327666:ILD327666 IUY327666:IUZ327666 JEU327666:JEV327666 JOQ327666:JOR327666 JYM327666:JYN327666 KII327666:KIJ327666 KSE327666:KSF327666 LCA327666:LCB327666 LLW327666:LLX327666 LVS327666:LVT327666 MFO327666:MFP327666 MPK327666:MPL327666 MZG327666:MZH327666 NJC327666:NJD327666 NSY327666:NSZ327666 OCU327666:OCV327666 OMQ327666:OMR327666 OWM327666:OWN327666 PGI327666:PGJ327666 PQE327666:PQF327666 QAA327666:QAB327666 QJW327666:QJX327666 QTS327666:QTT327666 RDO327666:RDP327666 RNK327666:RNL327666 RXG327666:RXH327666 SHC327666:SHD327666 SQY327666:SQZ327666 TAU327666:TAV327666 TKQ327666:TKR327666 TUM327666:TUN327666 UEI327666:UEJ327666 UOE327666:UOF327666 UYA327666:UYB327666 VHW327666:VHX327666 VRS327666:VRT327666 WBO327666:WBP327666 WLK327666:WLL327666 WVG327666:WVH327666 IU393202:IV393202 SQ393202:SR393202 ACM393202:ACN393202 AMI393202:AMJ393202 AWE393202:AWF393202 BGA393202:BGB393202 BPW393202:BPX393202 BZS393202:BZT393202 CJO393202:CJP393202 CTK393202:CTL393202 DDG393202:DDH393202 DNC393202:DND393202 DWY393202:DWZ393202 EGU393202:EGV393202 EQQ393202:EQR393202 FAM393202:FAN393202 FKI393202:FKJ393202 FUE393202:FUF393202 GEA393202:GEB393202 GNW393202:GNX393202 GXS393202:GXT393202 HHO393202:HHP393202 HRK393202:HRL393202 IBG393202:IBH393202 ILC393202:ILD393202 IUY393202:IUZ393202 JEU393202:JEV393202 JOQ393202:JOR393202 JYM393202:JYN393202 KII393202:KIJ393202 KSE393202:KSF393202 LCA393202:LCB393202 LLW393202:LLX393202 LVS393202:LVT393202 MFO393202:MFP393202 MPK393202:MPL393202 MZG393202:MZH393202 NJC393202:NJD393202 NSY393202:NSZ393202 OCU393202:OCV393202 OMQ393202:OMR393202 OWM393202:OWN393202 PGI393202:PGJ393202 PQE393202:PQF393202 QAA393202:QAB393202 QJW393202:QJX393202 QTS393202:QTT393202 RDO393202:RDP393202 RNK393202:RNL393202 RXG393202:RXH393202 SHC393202:SHD393202 SQY393202:SQZ393202 TAU393202:TAV393202 TKQ393202:TKR393202 TUM393202:TUN393202 UEI393202:UEJ393202 UOE393202:UOF393202 UYA393202:UYB393202 VHW393202:VHX393202 VRS393202:VRT393202 WBO393202:WBP393202 WLK393202:WLL393202 WVG393202:WVH393202 IU458738:IV458738 SQ458738:SR458738 ACM458738:ACN458738 AMI458738:AMJ458738 AWE458738:AWF458738 BGA458738:BGB458738 BPW458738:BPX458738 BZS458738:BZT458738 CJO458738:CJP458738 CTK458738:CTL458738 DDG458738:DDH458738 DNC458738:DND458738 DWY458738:DWZ458738 EGU458738:EGV458738 EQQ458738:EQR458738 FAM458738:FAN458738 FKI458738:FKJ458738 FUE458738:FUF458738 GEA458738:GEB458738 GNW458738:GNX458738 GXS458738:GXT458738 HHO458738:HHP458738 HRK458738:HRL458738 IBG458738:IBH458738 ILC458738:ILD458738 IUY458738:IUZ458738 JEU458738:JEV458738 JOQ458738:JOR458738 JYM458738:JYN458738 KII458738:KIJ458738 KSE458738:KSF458738 LCA458738:LCB458738 LLW458738:LLX458738 LVS458738:LVT458738 MFO458738:MFP458738 MPK458738:MPL458738 MZG458738:MZH458738 NJC458738:NJD458738 NSY458738:NSZ458738 OCU458738:OCV458738 OMQ458738:OMR458738 OWM458738:OWN458738 PGI458738:PGJ458738 PQE458738:PQF458738 QAA458738:QAB458738 QJW458738:QJX458738 QTS458738:QTT458738 RDO458738:RDP458738 RNK458738:RNL458738 RXG458738:RXH458738 SHC458738:SHD458738 SQY458738:SQZ458738 TAU458738:TAV458738 TKQ458738:TKR458738 TUM458738:TUN458738 UEI458738:UEJ458738 UOE458738:UOF458738 UYA458738:UYB458738 VHW458738:VHX458738 VRS458738:VRT458738 WBO458738:WBP458738 WLK458738:WLL458738 WVG458738:WVH458738 IU524274:IV524274 SQ524274:SR524274 ACM524274:ACN524274 AMI524274:AMJ524274 AWE524274:AWF524274 BGA524274:BGB524274 BPW524274:BPX524274 BZS524274:BZT524274 CJO524274:CJP524274 CTK524274:CTL524274 DDG524274:DDH524274 DNC524274:DND524274 DWY524274:DWZ524274 EGU524274:EGV524274 EQQ524274:EQR524274 FAM524274:FAN524274 FKI524274:FKJ524274 FUE524274:FUF524274 GEA524274:GEB524274 GNW524274:GNX524274 GXS524274:GXT524274 HHO524274:HHP524274 HRK524274:HRL524274 IBG524274:IBH524274 ILC524274:ILD524274 IUY524274:IUZ524274 JEU524274:JEV524274 JOQ524274:JOR524274 JYM524274:JYN524274 KII524274:KIJ524274 KSE524274:KSF524274 LCA524274:LCB524274 LLW524274:LLX524274 LVS524274:LVT524274 MFO524274:MFP524274 MPK524274:MPL524274 MZG524274:MZH524274 NJC524274:NJD524274 NSY524274:NSZ524274 OCU524274:OCV524274 OMQ524274:OMR524274 OWM524274:OWN524274 PGI524274:PGJ524274 PQE524274:PQF524274 QAA524274:QAB524274 QJW524274:QJX524274 QTS524274:QTT524274 RDO524274:RDP524274 RNK524274:RNL524274 RXG524274:RXH524274 SHC524274:SHD524274 SQY524274:SQZ524274 TAU524274:TAV524274 TKQ524274:TKR524274 TUM524274:TUN524274 UEI524274:UEJ524274 UOE524274:UOF524274 UYA524274:UYB524274 VHW524274:VHX524274 VRS524274:VRT524274 WBO524274:WBP524274 WLK524274:WLL524274 WVG524274:WVH524274 IU589810:IV589810 SQ589810:SR589810 ACM589810:ACN589810 AMI589810:AMJ589810 AWE589810:AWF589810 BGA589810:BGB589810 BPW589810:BPX589810 BZS589810:BZT589810 CJO589810:CJP589810 CTK589810:CTL589810 DDG589810:DDH589810 DNC589810:DND589810 DWY589810:DWZ589810 EGU589810:EGV589810 EQQ589810:EQR589810 FAM589810:FAN589810 FKI589810:FKJ589810 FUE589810:FUF589810 GEA589810:GEB589810 GNW589810:GNX589810 GXS589810:GXT589810 HHO589810:HHP589810 HRK589810:HRL589810 IBG589810:IBH589810 ILC589810:ILD589810 IUY589810:IUZ589810 JEU589810:JEV589810 JOQ589810:JOR589810 JYM589810:JYN589810 KII589810:KIJ589810 KSE589810:KSF589810 LCA589810:LCB589810 LLW589810:LLX589810 LVS589810:LVT589810 MFO589810:MFP589810 MPK589810:MPL589810 MZG589810:MZH589810 NJC589810:NJD589810 NSY589810:NSZ589810 OCU589810:OCV589810 OMQ589810:OMR589810 OWM589810:OWN589810 PGI589810:PGJ589810 PQE589810:PQF589810 QAA589810:QAB589810 QJW589810:QJX589810 QTS589810:QTT589810 RDO589810:RDP589810 RNK589810:RNL589810 RXG589810:RXH589810 SHC589810:SHD589810 SQY589810:SQZ589810 TAU589810:TAV589810 TKQ589810:TKR589810 TUM589810:TUN589810 UEI589810:UEJ589810 UOE589810:UOF589810 UYA589810:UYB589810 VHW589810:VHX589810 VRS589810:VRT589810 WBO589810:WBP589810 WLK589810:WLL589810 WVG589810:WVH589810 IU655346:IV655346 SQ655346:SR655346 ACM655346:ACN655346 AMI655346:AMJ655346 AWE655346:AWF655346 BGA655346:BGB655346 BPW655346:BPX655346 BZS655346:BZT655346 CJO655346:CJP655346 CTK655346:CTL655346 DDG655346:DDH655346 DNC655346:DND655346 DWY655346:DWZ655346 EGU655346:EGV655346 EQQ655346:EQR655346 FAM655346:FAN655346 FKI655346:FKJ655346 FUE655346:FUF655346 GEA655346:GEB655346 GNW655346:GNX655346 GXS655346:GXT655346 HHO655346:HHP655346 HRK655346:HRL655346 IBG655346:IBH655346 ILC655346:ILD655346 IUY655346:IUZ655346 JEU655346:JEV655346 JOQ655346:JOR655346 JYM655346:JYN655346 KII655346:KIJ655346 KSE655346:KSF655346 LCA655346:LCB655346 LLW655346:LLX655346 LVS655346:LVT655346 MFO655346:MFP655346 MPK655346:MPL655346 MZG655346:MZH655346 NJC655346:NJD655346 NSY655346:NSZ655346 OCU655346:OCV655346 OMQ655346:OMR655346 OWM655346:OWN655346 PGI655346:PGJ655346 PQE655346:PQF655346 QAA655346:QAB655346 QJW655346:QJX655346 QTS655346:QTT655346 RDO655346:RDP655346 RNK655346:RNL655346 RXG655346:RXH655346 SHC655346:SHD655346 SQY655346:SQZ655346 TAU655346:TAV655346 TKQ655346:TKR655346 TUM655346:TUN655346 UEI655346:UEJ655346 UOE655346:UOF655346 UYA655346:UYB655346 VHW655346:VHX655346 VRS655346:VRT655346 WBO655346:WBP655346 WLK655346:WLL655346 WVG655346:WVH655346 IU720882:IV720882 SQ720882:SR720882 ACM720882:ACN720882 AMI720882:AMJ720882 AWE720882:AWF720882 BGA720882:BGB720882 BPW720882:BPX720882 BZS720882:BZT720882 CJO720882:CJP720882 CTK720882:CTL720882 DDG720882:DDH720882 DNC720882:DND720882 DWY720882:DWZ720882 EGU720882:EGV720882 EQQ720882:EQR720882 FAM720882:FAN720882 FKI720882:FKJ720882 FUE720882:FUF720882 GEA720882:GEB720882 GNW720882:GNX720882 GXS720882:GXT720882 HHO720882:HHP720882 HRK720882:HRL720882 IBG720882:IBH720882 ILC720882:ILD720882 IUY720882:IUZ720882 JEU720882:JEV720882 JOQ720882:JOR720882 JYM720882:JYN720882 KII720882:KIJ720882 KSE720882:KSF720882 LCA720882:LCB720882 LLW720882:LLX720882 LVS720882:LVT720882 MFO720882:MFP720882 MPK720882:MPL720882 MZG720882:MZH720882 NJC720882:NJD720882 NSY720882:NSZ720882 OCU720882:OCV720882 OMQ720882:OMR720882 OWM720882:OWN720882 PGI720882:PGJ720882 PQE720882:PQF720882 QAA720882:QAB720882 QJW720882:QJX720882 QTS720882:QTT720882 RDO720882:RDP720882 RNK720882:RNL720882 RXG720882:RXH720882 SHC720882:SHD720882 SQY720882:SQZ720882 TAU720882:TAV720882 TKQ720882:TKR720882 TUM720882:TUN720882 UEI720882:UEJ720882 UOE720882:UOF720882 UYA720882:UYB720882 VHW720882:VHX720882 VRS720882:VRT720882 WBO720882:WBP720882 WLK720882:WLL720882 WVG720882:WVH720882 IU786418:IV786418 SQ786418:SR786418 ACM786418:ACN786418 AMI786418:AMJ786418 AWE786418:AWF786418 BGA786418:BGB786418 BPW786418:BPX786418 BZS786418:BZT786418 CJO786418:CJP786418 CTK786418:CTL786418 DDG786418:DDH786418 DNC786418:DND786418 DWY786418:DWZ786418 EGU786418:EGV786418 EQQ786418:EQR786418 FAM786418:FAN786418 FKI786418:FKJ786418 FUE786418:FUF786418 GEA786418:GEB786418 GNW786418:GNX786418 GXS786418:GXT786418 HHO786418:HHP786418 HRK786418:HRL786418 IBG786418:IBH786418 ILC786418:ILD786418 IUY786418:IUZ786418 JEU786418:JEV786418 JOQ786418:JOR786418 JYM786418:JYN786418 KII786418:KIJ786418 KSE786418:KSF786418 LCA786418:LCB786418 LLW786418:LLX786418 LVS786418:LVT786418 MFO786418:MFP786418 MPK786418:MPL786418 MZG786418:MZH786418 NJC786418:NJD786418 NSY786418:NSZ786418 OCU786418:OCV786418 OMQ786418:OMR786418 OWM786418:OWN786418 PGI786418:PGJ786418 PQE786418:PQF786418 QAA786418:QAB786418 QJW786418:QJX786418 QTS786418:QTT786418 RDO786418:RDP786418 RNK786418:RNL786418 RXG786418:RXH786418 SHC786418:SHD786418 SQY786418:SQZ786418 TAU786418:TAV786418 TKQ786418:TKR786418 TUM786418:TUN786418 UEI786418:UEJ786418 UOE786418:UOF786418 UYA786418:UYB786418 VHW786418:VHX786418 VRS786418:VRT786418 WBO786418:WBP786418 WLK786418:WLL786418 WVG786418:WVH786418 IU851954:IV851954 SQ851954:SR851954 ACM851954:ACN851954 AMI851954:AMJ851954 AWE851954:AWF851954 BGA851954:BGB851954 BPW851954:BPX851954 BZS851954:BZT851954 CJO851954:CJP851954 CTK851954:CTL851954 DDG851954:DDH851954 DNC851954:DND851954 DWY851954:DWZ851954 EGU851954:EGV851954 EQQ851954:EQR851954 FAM851954:FAN851954 FKI851954:FKJ851954 FUE851954:FUF851954 GEA851954:GEB851954 GNW851954:GNX851954 GXS851954:GXT851954 HHO851954:HHP851954 HRK851954:HRL851954 IBG851954:IBH851954 ILC851954:ILD851954 IUY851954:IUZ851954 JEU851954:JEV851954 JOQ851954:JOR851954 JYM851954:JYN851954 KII851954:KIJ851954 KSE851954:KSF851954 LCA851954:LCB851954 LLW851954:LLX851954 LVS851954:LVT851954 MFO851954:MFP851954 MPK851954:MPL851954 MZG851954:MZH851954 NJC851954:NJD851954 NSY851954:NSZ851954 OCU851954:OCV851954 OMQ851954:OMR851954 OWM851954:OWN851954 PGI851954:PGJ851954 PQE851954:PQF851954 QAA851954:QAB851954 QJW851954:QJX851954 QTS851954:QTT851954 RDO851954:RDP851954 RNK851954:RNL851954 RXG851954:RXH851954 SHC851954:SHD851954 SQY851954:SQZ851954 TAU851954:TAV851954 TKQ851954:TKR851954 TUM851954:TUN851954 UEI851954:UEJ851954 UOE851954:UOF851954 UYA851954:UYB851954 VHW851954:VHX851954 VRS851954:VRT851954 WBO851954:WBP851954 WLK851954:WLL851954 WVG851954:WVH851954 IU917490:IV917490 SQ917490:SR917490 ACM917490:ACN917490 AMI917490:AMJ917490 AWE917490:AWF917490 BGA917490:BGB917490 BPW917490:BPX917490 BZS917490:BZT917490 CJO917490:CJP917490 CTK917490:CTL917490 DDG917490:DDH917490 DNC917490:DND917490 DWY917490:DWZ917490 EGU917490:EGV917490 EQQ917490:EQR917490 FAM917490:FAN917490 FKI917490:FKJ917490 FUE917490:FUF917490 GEA917490:GEB917490 GNW917490:GNX917490 GXS917490:GXT917490 HHO917490:HHP917490 HRK917490:HRL917490 IBG917490:IBH917490 ILC917490:ILD917490 IUY917490:IUZ917490 JEU917490:JEV917490 JOQ917490:JOR917490 JYM917490:JYN917490 KII917490:KIJ917490 KSE917490:KSF917490 LCA917490:LCB917490 LLW917490:LLX917490 LVS917490:LVT917490 MFO917490:MFP917490 MPK917490:MPL917490 MZG917490:MZH917490 NJC917490:NJD917490 NSY917490:NSZ917490 OCU917490:OCV917490 OMQ917490:OMR917490 OWM917490:OWN917490 PGI917490:PGJ917490 PQE917490:PQF917490 QAA917490:QAB917490 QJW917490:QJX917490 QTS917490:QTT917490 RDO917490:RDP917490 RNK917490:RNL917490 RXG917490:RXH917490 SHC917490:SHD917490 SQY917490:SQZ917490 TAU917490:TAV917490 TKQ917490:TKR917490 TUM917490:TUN917490 UEI917490:UEJ917490 UOE917490:UOF917490 UYA917490:UYB917490 VHW917490:VHX917490 VRS917490:VRT917490 WBO917490:WBP917490 WLK917490:WLL917490 WVG917490:WVH917490 IU983026:IV983026 SQ983026:SR983026 ACM983026:ACN983026 AMI983026:AMJ983026 AWE983026:AWF983026 BGA983026:BGB983026 BPW983026:BPX983026 BZS983026:BZT983026 CJO983026:CJP983026 CTK983026:CTL983026 DDG983026:DDH983026 DNC983026:DND983026 DWY983026:DWZ983026 EGU983026:EGV983026 EQQ983026:EQR983026 FAM983026:FAN983026 FKI983026:FKJ983026 FUE983026:FUF983026 GEA983026:GEB983026 GNW983026:GNX983026 GXS983026:GXT983026 HHO983026:HHP983026 HRK983026:HRL983026 IBG983026:IBH983026 ILC983026:ILD983026 IUY983026:IUZ983026 JEU983026:JEV983026 JOQ983026:JOR983026 JYM983026:JYN983026 KII983026:KIJ983026 KSE983026:KSF983026 LCA983026:LCB983026 LLW983026:LLX983026 LVS983026:LVT983026 MFO983026:MFP983026 MPK983026:MPL983026 MZG983026:MZH983026 NJC983026:NJD983026 NSY983026:NSZ983026 OCU983026:OCV983026 OMQ983026:OMR983026 OWM983026:OWN983026 PGI983026:PGJ983026 PQE983026:PQF983026 QAA983026:QAB983026 QJW983026:QJX983026 QTS983026:QTT983026 RDO983026:RDP983026 RNK983026:RNL983026 RXG983026:RXH983026 SHC983026:SHD983026 SQY983026:SQZ983026 TAU983026:TAV983026 TKQ983026:TKR983026 TUM983026:TUN983026 UEI983026:UEJ983026 UOE983026:UOF983026 UYA983026:UYB983026 VHW983026:VHX983026 VRS983026:VRT983026 WBO983026:WBP983026 WLK983026:WLL983026 WVG7:WVH7 WLK7:WLL7 WBO7:WBP7 VRS7:VRT7 VHW7:VHX7 UYA7:UYB7 UOE7:UOF7 UEI7:UEJ7 TUM7:TUN7 TKQ7:TKR7 TAU7:TAV7 SQY7:SQZ7 SHC7:SHD7 RXG7:RXH7 RNK7:RNL7 RDO7:RDP7 QTS7:QTT7 QJW7:QJX7 QAA7:QAB7 PQE7:PQF7 PGI7:PGJ7 OWM7:OWN7 OMQ7:OMR7 OCU7:OCV7 NSY7:NSZ7 NJC7:NJD7 MZG7:MZH7 MPK7:MPL7 MFO7:MFP7 LVS7:LVT7 LLW7:LLX7 LCA7:LCB7 KSE7:KSF7 KII7:KIJ7 JYM7:JYN7 JOQ7:JOR7 JEU7:JEV7 IUY7:IUZ7 ILC7:ILD7 IBG7:IBH7 HRK7:HRL7 HHO7:HHP7 GXS7:GXT7 GNW7:GNX7 GEA7:GEB7 FUE7:FUF7 FKI7:FKJ7 FAM7:FAN7 EQQ7:EQR7 EGU7:EGV7 DWY7:DWZ7 DNC7:DND7 DDG7:DDH7 CTK7:CTL7 CJO7:CJP7 BZS7:BZT7 BPW7:BPX7 BGA7:BGB7 AWE7:AWF7 AMI7:AMJ7 ACM7:ACN7 SQ7:SR7 IU7:IV7 C65522:D65522 C131058:D131058 C196594:D196594 C262130:D262130 C327666:D327666 C393202:D393202 C458738:D458738 C524274:D524274 C589810:D589810 C655346:D655346 C720882:D720882 C786418:D786418 C851954:D851954 C917490:D917490 C983026:D983026">
      <formula1>NHSBOARDS11</formula1>
    </dataValidation>
    <dataValidation type="list" allowBlank="1" showInputMessage="1" showErrorMessage="1" sqref="C7:D7">
      <formula1>ISLANDBOARDS</formula1>
    </dataValidation>
  </dataValidations>
  <hyperlinks>
    <hyperlink ref="A6" r:id="rId1"/>
  </hyperlinks>
  <pageMargins left="0.7" right="0.7" top="0.75" bottom="0.75" header="0.3" footer="0.3"/>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K116"/>
  <sheetViews>
    <sheetView workbookViewId="0">
      <selection sqref="A1:K1"/>
    </sheetView>
  </sheetViews>
  <sheetFormatPr defaultRowHeight="15"/>
  <cols>
    <col min="1" max="1" width="18.28515625" style="6" customWidth="1"/>
    <col min="2" max="2" width="13.5703125" style="6" customWidth="1"/>
    <col min="3" max="3" width="15.140625" style="6" customWidth="1"/>
    <col min="4" max="5" width="12.85546875" style="6" customWidth="1"/>
    <col min="6" max="7" width="14.5703125" style="6" customWidth="1"/>
    <col min="8" max="252" width="9.140625" style="6"/>
    <col min="253" max="253" width="18.28515625" style="6" customWidth="1"/>
    <col min="254" max="254" width="13.5703125" style="6" customWidth="1"/>
    <col min="255" max="255" width="15.140625" style="6" customWidth="1"/>
    <col min="256" max="257" width="12.85546875" style="6" customWidth="1"/>
    <col min="258" max="258" width="12.5703125" style="6" customWidth="1"/>
    <col min="259" max="259" width="10.85546875" style="6" customWidth="1"/>
    <col min="260" max="262" width="14.5703125" style="6" customWidth="1"/>
    <col min="263" max="263" width="12.85546875" style="6" customWidth="1"/>
    <col min="264" max="508" width="9.140625" style="6"/>
    <col min="509" max="509" width="18.28515625" style="6" customWidth="1"/>
    <col min="510" max="510" width="13.5703125" style="6" customWidth="1"/>
    <col min="511" max="511" width="15.140625" style="6" customWidth="1"/>
    <col min="512" max="513" width="12.85546875" style="6" customWidth="1"/>
    <col min="514" max="514" width="12.5703125" style="6" customWidth="1"/>
    <col min="515" max="515" width="10.85546875" style="6" customWidth="1"/>
    <col min="516" max="518" width="14.5703125" style="6" customWidth="1"/>
    <col min="519" max="519" width="12.85546875" style="6" customWidth="1"/>
    <col min="520" max="764" width="9.140625" style="6"/>
    <col min="765" max="765" width="18.28515625" style="6" customWidth="1"/>
    <col min="766" max="766" width="13.5703125" style="6" customWidth="1"/>
    <col min="767" max="767" width="15.140625" style="6" customWidth="1"/>
    <col min="768" max="769" width="12.85546875" style="6" customWidth="1"/>
    <col min="770" max="770" width="12.5703125" style="6" customWidth="1"/>
    <col min="771" max="771" width="10.85546875" style="6" customWidth="1"/>
    <col min="772" max="774" width="14.5703125" style="6" customWidth="1"/>
    <col min="775" max="775" width="12.85546875" style="6" customWidth="1"/>
    <col min="776" max="1020" width="9.140625" style="6"/>
    <col min="1021" max="1021" width="18.28515625" style="6" customWidth="1"/>
    <col min="1022" max="1022" width="13.5703125" style="6" customWidth="1"/>
    <col min="1023" max="1023" width="15.140625" style="6" customWidth="1"/>
    <col min="1024" max="1025" width="12.85546875" style="6" customWidth="1"/>
    <col min="1026" max="1026" width="12.5703125" style="6" customWidth="1"/>
    <col min="1027" max="1027" width="10.85546875" style="6" customWidth="1"/>
    <col min="1028" max="1030" width="14.5703125" style="6" customWidth="1"/>
    <col min="1031" max="1031" width="12.85546875" style="6" customWidth="1"/>
    <col min="1032" max="1276" width="9.140625" style="6"/>
    <col min="1277" max="1277" width="18.28515625" style="6" customWidth="1"/>
    <col min="1278" max="1278" width="13.5703125" style="6" customWidth="1"/>
    <col min="1279" max="1279" width="15.140625" style="6" customWidth="1"/>
    <col min="1280" max="1281" width="12.85546875" style="6" customWidth="1"/>
    <col min="1282" max="1282" width="12.5703125" style="6" customWidth="1"/>
    <col min="1283" max="1283" width="10.85546875" style="6" customWidth="1"/>
    <col min="1284" max="1286" width="14.5703125" style="6" customWidth="1"/>
    <col min="1287" max="1287" width="12.85546875" style="6" customWidth="1"/>
    <col min="1288" max="1532" width="9.140625" style="6"/>
    <col min="1533" max="1533" width="18.28515625" style="6" customWidth="1"/>
    <col min="1534" max="1534" width="13.5703125" style="6" customWidth="1"/>
    <col min="1535" max="1535" width="15.140625" style="6" customWidth="1"/>
    <col min="1536" max="1537" width="12.85546875" style="6" customWidth="1"/>
    <col min="1538" max="1538" width="12.5703125" style="6" customWidth="1"/>
    <col min="1539" max="1539" width="10.85546875" style="6" customWidth="1"/>
    <col min="1540" max="1542" width="14.5703125" style="6" customWidth="1"/>
    <col min="1543" max="1543" width="12.85546875" style="6" customWidth="1"/>
    <col min="1544" max="1788" width="9.140625" style="6"/>
    <col min="1789" max="1789" width="18.28515625" style="6" customWidth="1"/>
    <col min="1790" max="1790" width="13.5703125" style="6" customWidth="1"/>
    <col min="1791" max="1791" width="15.140625" style="6" customWidth="1"/>
    <col min="1792" max="1793" width="12.85546875" style="6" customWidth="1"/>
    <col min="1794" max="1794" width="12.5703125" style="6" customWidth="1"/>
    <col min="1795" max="1795" width="10.85546875" style="6" customWidth="1"/>
    <col min="1796" max="1798" width="14.5703125" style="6" customWidth="1"/>
    <col min="1799" max="1799" width="12.85546875" style="6" customWidth="1"/>
    <col min="1800" max="2044" width="9.140625" style="6"/>
    <col min="2045" max="2045" width="18.28515625" style="6" customWidth="1"/>
    <col min="2046" max="2046" width="13.5703125" style="6" customWidth="1"/>
    <col min="2047" max="2047" width="15.140625" style="6" customWidth="1"/>
    <col min="2048" max="2049" width="12.85546875" style="6" customWidth="1"/>
    <col min="2050" max="2050" width="12.5703125" style="6" customWidth="1"/>
    <col min="2051" max="2051" width="10.85546875" style="6" customWidth="1"/>
    <col min="2052" max="2054" width="14.5703125" style="6" customWidth="1"/>
    <col min="2055" max="2055" width="12.85546875" style="6" customWidth="1"/>
    <col min="2056" max="2300" width="9.140625" style="6"/>
    <col min="2301" max="2301" width="18.28515625" style="6" customWidth="1"/>
    <col min="2302" max="2302" width="13.5703125" style="6" customWidth="1"/>
    <col min="2303" max="2303" width="15.140625" style="6" customWidth="1"/>
    <col min="2304" max="2305" width="12.85546875" style="6" customWidth="1"/>
    <col min="2306" max="2306" width="12.5703125" style="6" customWidth="1"/>
    <col min="2307" max="2307" width="10.85546875" style="6" customWidth="1"/>
    <col min="2308" max="2310" width="14.5703125" style="6" customWidth="1"/>
    <col min="2311" max="2311" width="12.85546875" style="6" customWidth="1"/>
    <col min="2312" max="2556" width="9.140625" style="6"/>
    <col min="2557" max="2557" width="18.28515625" style="6" customWidth="1"/>
    <col min="2558" max="2558" width="13.5703125" style="6" customWidth="1"/>
    <col min="2559" max="2559" width="15.140625" style="6" customWidth="1"/>
    <col min="2560" max="2561" width="12.85546875" style="6" customWidth="1"/>
    <col min="2562" max="2562" width="12.5703125" style="6" customWidth="1"/>
    <col min="2563" max="2563" width="10.85546875" style="6" customWidth="1"/>
    <col min="2564" max="2566" width="14.5703125" style="6" customWidth="1"/>
    <col min="2567" max="2567" width="12.85546875" style="6" customWidth="1"/>
    <col min="2568" max="2812" width="9.140625" style="6"/>
    <col min="2813" max="2813" width="18.28515625" style="6" customWidth="1"/>
    <col min="2814" max="2814" width="13.5703125" style="6" customWidth="1"/>
    <col min="2815" max="2815" width="15.140625" style="6" customWidth="1"/>
    <col min="2816" max="2817" width="12.85546875" style="6" customWidth="1"/>
    <col min="2818" max="2818" width="12.5703125" style="6" customWidth="1"/>
    <col min="2819" max="2819" width="10.85546875" style="6" customWidth="1"/>
    <col min="2820" max="2822" width="14.5703125" style="6" customWidth="1"/>
    <col min="2823" max="2823" width="12.85546875" style="6" customWidth="1"/>
    <col min="2824" max="3068" width="9.140625" style="6"/>
    <col min="3069" max="3069" width="18.28515625" style="6" customWidth="1"/>
    <col min="3070" max="3070" width="13.5703125" style="6" customWidth="1"/>
    <col min="3071" max="3071" width="15.140625" style="6" customWidth="1"/>
    <col min="3072" max="3073" width="12.85546875" style="6" customWidth="1"/>
    <col min="3074" max="3074" width="12.5703125" style="6" customWidth="1"/>
    <col min="3075" max="3075" width="10.85546875" style="6" customWidth="1"/>
    <col min="3076" max="3078" width="14.5703125" style="6" customWidth="1"/>
    <col min="3079" max="3079" width="12.85546875" style="6" customWidth="1"/>
    <col min="3080" max="3324" width="9.140625" style="6"/>
    <col min="3325" max="3325" width="18.28515625" style="6" customWidth="1"/>
    <col min="3326" max="3326" width="13.5703125" style="6" customWidth="1"/>
    <col min="3327" max="3327" width="15.140625" style="6" customWidth="1"/>
    <col min="3328" max="3329" width="12.85546875" style="6" customWidth="1"/>
    <col min="3330" max="3330" width="12.5703125" style="6" customWidth="1"/>
    <col min="3331" max="3331" width="10.85546875" style="6" customWidth="1"/>
    <col min="3332" max="3334" width="14.5703125" style="6" customWidth="1"/>
    <col min="3335" max="3335" width="12.85546875" style="6" customWidth="1"/>
    <col min="3336" max="3580" width="9.140625" style="6"/>
    <col min="3581" max="3581" width="18.28515625" style="6" customWidth="1"/>
    <col min="3582" max="3582" width="13.5703125" style="6" customWidth="1"/>
    <col min="3583" max="3583" width="15.140625" style="6" customWidth="1"/>
    <col min="3584" max="3585" width="12.85546875" style="6" customWidth="1"/>
    <col min="3586" max="3586" width="12.5703125" style="6" customWidth="1"/>
    <col min="3587" max="3587" width="10.85546875" style="6" customWidth="1"/>
    <col min="3588" max="3590" width="14.5703125" style="6" customWidth="1"/>
    <col min="3591" max="3591" width="12.85546875" style="6" customWidth="1"/>
    <col min="3592" max="3836" width="9.140625" style="6"/>
    <col min="3837" max="3837" width="18.28515625" style="6" customWidth="1"/>
    <col min="3838" max="3838" width="13.5703125" style="6" customWidth="1"/>
    <col min="3839" max="3839" width="15.140625" style="6" customWidth="1"/>
    <col min="3840" max="3841" width="12.85546875" style="6" customWidth="1"/>
    <col min="3842" max="3842" width="12.5703125" style="6" customWidth="1"/>
    <col min="3843" max="3843" width="10.85546875" style="6" customWidth="1"/>
    <col min="3844" max="3846" width="14.5703125" style="6" customWidth="1"/>
    <col min="3847" max="3847" width="12.85546875" style="6" customWidth="1"/>
    <col min="3848" max="4092" width="9.140625" style="6"/>
    <col min="4093" max="4093" width="18.28515625" style="6" customWidth="1"/>
    <col min="4094" max="4094" width="13.5703125" style="6" customWidth="1"/>
    <col min="4095" max="4095" width="15.140625" style="6" customWidth="1"/>
    <col min="4096" max="4097" width="12.85546875" style="6" customWidth="1"/>
    <col min="4098" max="4098" width="12.5703125" style="6" customWidth="1"/>
    <col min="4099" max="4099" width="10.85546875" style="6" customWidth="1"/>
    <col min="4100" max="4102" width="14.5703125" style="6" customWidth="1"/>
    <col min="4103" max="4103" width="12.85546875" style="6" customWidth="1"/>
    <col min="4104" max="4348" width="9.140625" style="6"/>
    <col min="4349" max="4349" width="18.28515625" style="6" customWidth="1"/>
    <col min="4350" max="4350" width="13.5703125" style="6" customWidth="1"/>
    <col min="4351" max="4351" width="15.140625" style="6" customWidth="1"/>
    <col min="4352" max="4353" width="12.85546875" style="6" customWidth="1"/>
    <col min="4354" max="4354" width="12.5703125" style="6" customWidth="1"/>
    <col min="4355" max="4355" width="10.85546875" style="6" customWidth="1"/>
    <col min="4356" max="4358" width="14.5703125" style="6" customWidth="1"/>
    <col min="4359" max="4359" width="12.85546875" style="6" customWidth="1"/>
    <col min="4360" max="4604" width="9.140625" style="6"/>
    <col min="4605" max="4605" width="18.28515625" style="6" customWidth="1"/>
    <col min="4606" max="4606" width="13.5703125" style="6" customWidth="1"/>
    <col min="4607" max="4607" width="15.140625" style="6" customWidth="1"/>
    <col min="4608" max="4609" width="12.85546875" style="6" customWidth="1"/>
    <col min="4610" max="4610" width="12.5703125" style="6" customWidth="1"/>
    <col min="4611" max="4611" width="10.85546875" style="6" customWidth="1"/>
    <col min="4612" max="4614" width="14.5703125" style="6" customWidth="1"/>
    <col min="4615" max="4615" width="12.85546875" style="6" customWidth="1"/>
    <col min="4616" max="4860" width="9.140625" style="6"/>
    <col min="4861" max="4861" width="18.28515625" style="6" customWidth="1"/>
    <col min="4862" max="4862" width="13.5703125" style="6" customWidth="1"/>
    <col min="4863" max="4863" width="15.140625" style="6" customWidth="1"/>
    <col min="4864" max="4865" width="12.85546875" style="6" customWidth="1"/>
    <col min="4866" max="4866" width="12.5703125" style="6" customWidth="1"/>
    <col min="4867" max="4867" width="10.85546875" style="6" customWidth="1"/>
    <col min="4868" max="4870" width="14.5703125" style="6" customWidth="1"/>
    <col min="4871" max="4871" width="12.85546875" style="6" customWidth="1"/>
    <col min="4872" max="5116" width="9.140625" style="6"/>
    <col min="5117" max="5117" width="18.28515625" style="6" customWidth="1"/>
    <col min="5118" max="5118" width="13.5703125" style="6" customWidth="1"/>
    <col min="5119" max="5119" width="15.140625" style="6" customWidth="1"/>
    <col min="5120" max="5121" width="12.85546875" style="6" customWidth="1"/>
    <col min="5122" max="5122" width="12.5703125" style="6" customWidth="1"/>
    <col min="5123" max="5123" width="10.85546875" style="6" customWidth="1"/>
    <col min="5124" max="5126" width="14.5703125" style="6" customWidth="1"/>
    <col min="5127" max="5127" width="12.85546875" style="6" customWidth="1"/>
    <col min="5128" max="5372" width="9.140625" style="6"/>
    <col min="5373" max="5373" width="18.28515625" style="6" customWidth="1"/>
    <col min="5374" max="5374" width="13.5703125" style="6" customWidth="1"/>
    <col min="5375" max="5375" width="15.140625" style="6" customWidth="1"/>
    <col min="5376" max="5377" width="12.85546875" style="6" customWidth="1"/>
    <col min="5378" max="5378" width="12.5703125" style="6" customWidth="1"/>
    <col min="5379" max="5379" width="10.85546875" style="6" customWidth="1"/>
    <col min="5380" max="5382" width="14.5703125" style="6" customWidth="1"/>
    <col min="5383" max="5383" width="12.85546875" style="6" customWidth="1"/>
    <col min="5384" max="5628" width="9.140625" style="6"/>
    <col min="5629" max="5629" width="18.28515625" style="6" customWidth="1"/>
    <col min="5630" max="5630" width="13.5703125" style="6" customWidth="1"/>
    <col min="5631" max="5631" width="15.140625" style="6" customWidth="1"/>
    <col min="5632" max="5633" width="12.85546875" style="6" customWidth="1"/>
    <col min="5634" max="5634" width="12.5703125" style="6" customWidth="1"/>
    <col min="5635" max="5635" width="10.85546875" style="6" customWidth="1"/>
    <col min="5636" max="5638" width="14.5703125" style="6" customWidth="1"/>
    <col min="5639" max="5639" width="12.85546875" style="6" customWidth="1"/>
    <col min="5640" max="5884" width="9.140625" style="6"/>
    <col min="5885" max="5885" width="18.28515625" style="6" customWidth="1"/>
    <col min="5886" max="5886" width="13.5703125" style="6" customWidth="1"/>
    <col min="5887" max="5887" width="15.140625" style="6" customWidth="1"/>
    <col min="5888" max="5889" width="12.85546875" style="6" customWidth="1"/>
    <col min="5890" max="5890" width="12.5703125" style="6" customWidth="1"/>
    <col min="5891" max="5891" width="10.85546875" style="6" customWidth="1"/>
    <col min="5892" max="5894" width="14.5703125" style="6" customWidth="1"/>
    <col min="5895" max="5895" width="12.85546875" style="6" customWidth="1"/>
    <col min="5896" max="6140" width="9.140625" style="6"/>
    <col min="6141" max="6141" width="18.28515625" style="6" customWidth="1"/>
    <col min="6142" max="6142" width="13.5703125" style="6" customWidth="1"/>
    <col min="6143" max="6143" width="15.140625" style="6" customWidth="1"/>
    <col min="6144" max="6145" width="12.85546875" style="6" customWidth="1"/>
    <col min="6146" max="6146" width="12.5703125" style="6" customWidth="1"/>
    <col min="6147" max="6147" width="10.85546875" style="6" customWidth="1"/>
    <col min="6148" max="6150" width="14.5703125" style="6" customWidth="1"/>
    <col min="6151" max="6151" width="12.85546875" style="6" customWidth="1"/>
    <col min="6152" max="6396" width="9.140625" style="6"/>
    <col min="6397" max="6397" width="18.28515625" style="6" customWidth="1"/>
    <col min="6398" max="6398" width="13.5703125" style="6" customWidth="1"/>
    <col min="6399" max="6399" width="15.140625" style="6" customWidth="1"/>
    <col min="6400" max="6401" width="12.85546875" style="6" customWidth="1"/>
    <col min="6402" max="6402" width="12.5703125" style="6" customWidth="1"/>
    <col min="6403" max="6403" width="10.85546875" style="6" customWidth="1"/>
    <col min="6404" max="6406" width="14.5703125" style="6" customWidth="1"/>
    <col min="6407" max="6407" width="12.85546875" style="6" customWidth="1"/>
    <col min="6408" max="6652" width="9.140625" style="6"/>
    <col min="6653" max="6653" width="18.28515625" style="6" customWidth="1"/>
    <col min="6654" max="6654" width="13.5703125" style="6" customWidth="1"/>
    <col min="6655" max="6655" width="15.140625" style="6" customWidth="1"/>
    <col min="6656" max="6657" width="12.85546875" style="6" customWidth="1"/>
    <col min="6658" max="6658" width="12.5703125" style="6" customWidth="1"/>
    <col min="6659" max="6659" width="10.85546875" style="6" customWidth="1"/>
    <col min="6660" max="6662" width="14.5703125" style="6" customWidth="1"/>
    <col min="6663" max="6663" width="12.85546875" style="6" customWidth="1"/>
    <col min="6664" max="6908" width="9.140625" style="6"/>
    <col min="6909" max="6909" width="18.28515625" style="6" customWidth="1"/>
    <col min="6910" max="6910" width="13.5703125" style="6" customWidth="1"/>
    <col min="6911" max="6911" width="15.140625" style="6" customWidth="1"/>
    <col min="6912" max="6913" width="12.85546875" style="6" customWidth="1"/>
    <col min="6914" max="6914" width="12.5703125" style="6" customWidth="1"/>
    <col min="6915" max="6915" width="10.85546875" style="6" customWidth="1"/>
    <col min="6916" max="6918" width="14.5703125" style="6" customWidth="1"/>
    <col min="6919" max="6919" width="12.85546875" style="6" customWidth="1"/>
    <col min="6920" max="7164" width="9.140625" style="6"/>
    <col min="7165" max="7165" width="18.28515625" style="6" customWidth="1"/>
    <col min="7166" max="7166" width="13.5703125" style="6" customWidth="1"/>
    <col min="7167" max="7167" width="15.140625" style="6" customWidth="1"/>
    <col min="7168" max="7169" width="12.85546875" style="6" customWidth="1"/>
    <col min="7170" max="7170" width="12.5703125" style="6" customWidth="1"/>
    <col min="7171" max="7171" width="10.85546875" style="6" customWidth="1"/>
    <col min="7172" max="7174" width="14.5703125" style="6" customWidth="1"/>
    <col min="7175" max="7175" width="12.85546875" style="6" customWidth="1"/>
    <col min="7176" max="7420" width="9.140625" style="6"/>
    <col min="7421" max="7421" width="18.28515625" style="6" customWidth="1"/>
    <col min="7422" max="7422" width="13.5703125" style="6" customWidth="1"/>
    <col min="7423" max="7423" width="15.140625" style="6" customWidth="1"/>
    <col min="7424" max="7425" width="12.85546875" style="6" customWidth="1"/>
    <col min="7426" max="7426" width="12.5703125" style="6" customWidth="1"/>
    <col min="7427" max="7427" width="10.85546875" style="6" customWidth="1"/>
    <col min="7428" max="7430" width="14.5703125" style="6" customWidth="1"/>
    <col min="7431" max="7431" width="12.85546875" style="6" customWidth="1"/>
    <col min="7432" max="7676" width="9.140625" style="6"/>
    <col min="7677" max="7677" width="18.28515625" style="6" customWidth="1"/>
    <col min="7678" max="7678" width="13.5703125" style="6" customWidth="1"/>
    <col min="7679" max="7679" width="15.140625" style="6" customWidth="1"/>
    <col min="7680" max="7681" width="12.85546875" style="6" customWidth="1"/>
    <col min="7682" max="7682" width="12.5703125" style="6" customWidth="1"/>
    <col min="7683" max="7683" width="10.85546875" style="6" customWidth="1"/>
    <col min="7684" max="7686" width="14.5703125" style="6" customWidth="1"/>
    <col min="7687" max="7687" width="12.85546875" style="6" customWidth="1"/>
    <col min="7688" max="7932" width="9.140625" style="6"/>
    <col min="7933" max="7933" width="18.28515625" style="6" customWidth="1"/>
    <col min="7934" max="7934" width="13.5703125" style="6" customWidth="1"/>
    <col min="7935" max="7935" width="15.140625" style="6" customWidth="1"/>
    <col min="7936" max="7937" width="12.85546875" style="6" customWidth="1"/>
    <col min="7938" max="7938" width="12.5703125" style="6" customWidth="1"/>
    <col min="7939" max="7939" width="10.85546875" style="6" customWidth="1"/>
    <col min="7940" max="7942" width="14.5703125" style="6" customWidth="1"/>
    <col min="7943" max="7943" width="12.85546875" style="6" customWidth="1"/>
    <col min="7944" max="8188" width="9.140625" style="6"/>
    <col min="8189" max="8189" width="18.28515625" style="6" customWidth="1"/>
    <col min="8190" max="8190" width="13.5703125" style="6" customWidth="1"/>
    <col min="8191" max="8191" width="15.140625" style="6" customWidth="1"/>
    <col min="8192" max="8193" width="12.85546875" style="6" customWidth="1"/>
    <col min="8194" max="8194" width="12.5703125" style="6" customWidth="1"/>
    <col min="8195" max="8195" width="10.85546875" style="6" customWidth="1"/>
    <col min="8196" max="8198" width="14.5703125" style="6" customWidth="1"/>
    <col min="8199" max="8199" width="12.85546875" style="6" customWidth="1"/>
    <col min="8200" max="8444" width="9.140625" style="6"/>
    <col min="8445" max="8445" width="18.28515625" style="6" customWidth="1"/>
    <col min="8446" max="8446" width="13.5703125" style="6" customWidth="1"/>
    <col min="8447" max="8447" width="15.140625" style="6" customWidth="1"/>
    <col min="8448" max="8449" width="12.85546875" style="6" customWidth="1"/>
    <col min="8450" max="8450" width="12.5703125" style="6" customWidth="1"/>
    <col min="8451" max="8451" width="10.85546875" style="6" customWidth="1"/>
    <col min="8452" max="8454" width="14.5703125" style="6" customWidth="1"/>
    <col min="8455" max="8455" width="12.85546875" style="6" customWidth="1"/>
    <col min="8456" max="8700" width="9.140625" style="6"/>
    <col min="8701" max="8701" width="18.28515625" style="6" customWidth="1"/>
    <col min="8702" max="8702" width="13.5703125" style="6" customWidth="1"/>
    <col min="8703" max="8703" width="15.140625" style="6" customWidth="1"/>
    <col min="8704" max="8705" width="12.85546875" style="6" customWidth="1"/>
    <col min="8706" max="8706" width="12.5703125" style="6" customWidth="1"/>
    <col min="8707" max="8707" width="10.85546875" style="6" customWidth="1"/>
    <col min="8708" max="8710" width="14.5703125" style="6" customWidth="1"/>
    <col min="8711" max="8711" width="12.85546875" style="6" customWidth="1"/>
    <col min="8712" max="8956" width="9.140625" style="6"/>
    <col min="8957" max="8957" width="18.28515625" style="6" customWidth="1"/>
    <col min="8958" max="8958" width="13.5703125" style="6" customWidth="1"/>
    <col min="8959" max="8959" width="15.140625" style="6" customWidth="1"/>
    <col min="8960" max="8961" width="12.85546875" style="6" customWidth="1"/>
    <col min="8962" max="8962" width="12.5703125" style="6" customWidth="1"/>
    <col min="8963" max="8963" width="10.85546875" style="6" customWidth="1"/>
    <col min="8964" max="8966" width="14.5703125" style="6" customWidth="1"/>
    <col min="8967" max="8967" width="12.85546875" style="6" customWidth="1"/>
    <col min="8968" max="9212" width="9.140625" style="6"/>
    <col min="9213" max="9213" width="18.28515625" style="6" customWidth="1"/>
    <col min="9214" max="9214" width="13.5703125" style="6" customWidth="1"/>
    <col min="9215" max="9215" width="15.140625" style="6" customWidth="1"/>
    <col min="9216" max="9217" width="12.85546875" style="6" customWidth="1"/>
    <col min="9218" max="9218" width="12.5703125" style="6" customWidth="1"/>
    <col min="9219" max="9219" width="10.85546875" style="6" customWidth="1"/>
    <col min="9220" max="9222" width="14.5703125" style="6" customWidth="1"/>
    <col min="9223" max="9223" width="12.85546875" style="6" customWidth="1"/>
    <col min="9224" max="9468" width="9.140625" style="6"/>
    <col min="9469" max="9469" width="18.28515625" style="6" customWidth="1"/>
    <col min="9470" max="9470" width="13.5703125" style="6" customWidth="1"/>
    <col min="9471" max="9471" width="15.140625" style="6" customWidth="1"/>
    <col min="9472" max="9473" width="12.85546875" style="6" customWidth="1"/>
    <col min="9474" max="9474" width="12.5703125" style="6" customWidth="1"/>
    <col min="9475" max="9475" width="10.85546875" style="6" customWidth="1"/>
    <col min="9476" max="9478" width="14.5703125" style="6" customWidth="1"/>
    <col min="9479" max="9479" width="12.85546875" style="6" customWidth="1"/>
    <col min="9480" max="9724" width="9.140625" style="6"/>
    <col min="9725" max="9725" width="18.28515625" style="6" customWidth="1"/>
    <col min="9726" max="9726" width="13.5703125" style="6" customWidth="1"/>
    <col min="9727" max="9727" width="15.140625" style="6" customWidth="1"/>
    <col min="9728" max="9729" width="12.85546875" style="6" customWidth="1"/>
    <col min="9730" max="9730" width="12.5703125" style="6" customWidth="1"/>
    <col min="9731" max="9731" width="10.85546875" style="6" customWidth="1"/>
    <col min="9732" max="9734" width="14.5703125" style="6" customWidth="1"/>
    <col min="9735" max="9735" width="12.85546875" style="6" customWidth="1"/>
    <col min="9736" max="9980" width="9.140625" style="6"/>
    <col min="9981" max="9981" width="18.28515625" style="6" customWidth="1"/>
    <col min="9982" max="9982" width="13.5703125" style="6" customWidth="1"/>
    <col min="9983" max="9983" width="15.140625" style="6" customWidth="1"/>
    <col min="9984" max="9985" width="12.85546875" style="6" customWidth="1"/>
    <col min="9986" max="9986" width="12.5703125" style="6" customWidth="1"/>
    <col min="9987" max="9987" width="10.85546875" style="6" customWidth="1"/>
    <col min="9988" max="9990" width="14.5703125" style="6" customWidth="1"/>
    <col min="9991" max="9991" width="12.85546875" style="6" customWidth="1"/>
    <col min="9992" max="10236" width="9.140625" style="6"/>
    <col min="10237" max="10237" width="18.28515625" style="6" customWidth="1"/>
    <col min="10238" max="10238" width="13.5703125" style="6" customWidth="1"/>
    <col min="10239" max="10239" width="15.140625" style="6" customWidth="1"/>
    <col min="10240" max="10241" width="12.85546875" style="6" customWidth="1"/>
    <col min="10242" max="10242" width="12.5703125" style="6" customWidth="1"/>
    <col min="10243" max="10243" width="10.85546875" style="6" customWidth="1"/>
    <col min="10244" max="10246" width="14.5703125" style="6" customWidth="1"/>
    <col min="10247" max="10247" width="12.85546875" style="6" customWidth="1"/>
    <col min="10248" max="10492" width="9.140625" style="6"/>
    <col min="10493" max="10493" width="18.28515625" style="6" customWidth="1"/>
    <col min="10494" max="10494" width="13.5703125" style="6" customWidth="1"/>
    <col min="10495" max="10495" width="15.140625" style="6" customWidth="1"/>
    <col min="10496" max="10497" width="12.85546875" style="6" customWidth="1"/>
    <col min="10498" max="10498" width="12.5703125" style="6" customWidth="1"/>
    <col min="10499" max="10499" width="10.85546875" style="6" customWidth="1"/>
    <col min="10500" max="10502" width="14.5703125" style="6" customWidth="1"/>
    <col min="10503" max="10503" width="12.85546875" style="6" customWidth="1"/>
    <col min="10504" max="10748" width="9.140625" style="6"/>
    <col min="10749" max="10749" width="18.28515625" style="6" customWidth="1"/>
    <col min="10750" max="10750" width="13.5703125" style="6" customWidth="1"/>
    <col min="10751" max="10751" width="15.140625" style="6" customWidth="1"/>
    <col min="10752" max="10753" width="12.85546875" style="6" customWidth="1"/>
    <col min="10754" max="10754" width="12.5703125" style="6" customWidth="1"/>
    <col min="10755" max="10755" width="10.85546875" style="6" customWidth="1"/>
    <col min="10756" max="10758" width="14.5703125" style="6" customWidth="1"/>
    <col min="10759" max="10759" width="12.85546875" style="6" customWidth="1"/>
    <col min="10760" max="11004" width="9.140625" style="6"/>
    <col min="11005" max="11005" width="18.28515625" style="6" customWidth="1"/>
    <col min="11006" max="11006" width="13.5703125" style="6" customWidth="1"/>
    <col min="11007" max="11007" width="15.140625" style="6" customWidth="1"/>
    <col min="11008" max="11009" width="12.85546875" style="6" customWidth="1"/>
    <col min="11010" max="11010" width="12.5703125" style="6" customWidth="1"/>
    <col min="11011" max="11011" width="10.85546875" style="6" customWidth="1"/>
    <col min="11012" max="11014" width="14.5703125" style="6" customWidth="1"/>
    <col min="11015" max="11015" width="12.85546875" style="6" customWidth="1"/>
    <col min="11016" max="11260" width="9.140625" style="6"/>
    <col min="11261" max="11261" width="18.28515625" style="6" customWidth="1"/>
    <col min="11262" max="11262" width="13.5703125" style="6" customWidth="1"/>
    <col min="11263" max="11263" width="15.140625" style="6" customWidth="1"/>
    <col min="11264" max="11265" width="12.85546875" style="6" customWidth="1"/>
    <col min="11266" max="11266" width="12.5703125" style="6" customWidth="1"/>
    <col min="11267" max="11267" width="10.85546875" style="6" customWidth="1"/>
    <col min="11268" max="11270" width="14.5703125" style="6" customWidth="1"/>
    <col min="11271" max="11271" width="12.85546875" style="6" customWidth="1"/>
    <col min="11272" max="11516" width="9.140625" style="6"/>
    <col min="11517" max="11517" width="18.28515625" style="6" customWidth="1"/>
    <col min="11518" max="11518" width="13.5703125" style="6" customWidth="1"/>
    <col min="11519" max="11519" width="15.140625" style="6" customWidth="1"/>
    <col min="11520" max="11521" width="12.85546875" style="6" customWidth="1"/>
    <col min="11522" max="11522" width="12.5703125" style="6" customWidth="1"/>
    <col min="11523" max="11523" width="10.85546875" style="6" customWidth="1"/>
    <col min="11524" max="11526" width="14.5703125" style="6" customWidth="1"/>
    <col min="11527" max="11527" width="12.85546875" style="6" customWidth="1"/>
    <col min="11528" max="11772" width="9.140625" style="6"/>
    <col min="11773" max="11773" width="18.28515625" style="6" customWidth="1"/>
    <col min="11774" max="11774" width="13.5703125" style="6" customWidth="1"/>
    <col min="11775" max="11775" width="15.140625" style="6" customWidth="1"/>
    <col min="11776" max="11777" width="12.85546875" style="6" customWidth="1"/>
    <col min="11778" max="11778" width="12.5703125" style="6" customWidth="1"/>
    <col min="11779" max="11779" width="10.85546875" style="6" customWidth="1"/>
    <col min="11780" max="11782" width="14.5703125" style="6" customWidth="1"/>
    <col min="11783" max="11783" width="12.85546875" style="6" customWidth="1"/>
    <col min="11784" max="12028" width="9.140625" style="6"/>
    <col min="12029" max="12029" width="18.28515625" style="6" customWidth="1"/>
    <col min="12030" max="12030" width="13.5703125" style="6" customWidth="1"/>
    <col min="12031" max="12031" width="15.140625" style="6" customWidth="1"/>
    <col min="12032" max="12033" width="12.85546875" style="6" customWidth="1"/>
    <col min="12034" max="12034" width="12.5703125" style="6" customWidth="1"/>
    <col min="12035" max="12035" width="10.85546875" style="6" customWidth="1"/>
    <col min="12036" max="12038" width="14.5703125" style="6" customWidth="1"/>
    <col min="12039" max="12039" width="12.85546875" style="6" customWidth="1"/>
    <col min="12040" max="12284" width="9.140625" style="6"/>
    <col min="12285" max="12285" width="18.28515625" style="6" customWidth="1"/>
    <col min="12286" max="12286" width="13.5703125" style="6" customWidth="1"/>
    <col min="12287" max="12287" width="15.140625" style="6" customWidth="1"/>
    <col min="12288" max="12289" width="12.85546875" style="6" customWidth="1"/>
    <col min="12290" max="12290" width="12.5703125" style="6" customWidth="1"/>
    <col min="12291" max="12291" width="10.85546875" style="6" customWidth="1"/>
    <col min="12292" max="12294" width="14.5703125" style="6" customWidth="1"/>
    <col min="12295" max="12295" width="12.85546875" style="6" customWidth="1"/>
    <col min="12296" max="12540" width="9.140625" style="6"/>
    <col min="12541" max="12541" width="18.28515625" style="6" customWidth="1"/>
    <col min="12542" max="12542" width="13.5703125" style="6" customWidth="1"/>
    <col min="12543" max="12543" width="15.140625" style="6" customWidth="1"/>
    <col min="12544" max="12545" width="12.85546875" style="6" customWidth="1"/>
    <col min="12546" max="12546" width="12.5703125" style="6" customWidth="1"/>
    <col min="12547" max="12547" width="10.85546875" style="6" customWidth="1"/>
    <col min="12548" max="12550" width="14.5703125" style="6" customWidth="1"/>
    <col min="12551" max="12551" width="12.85546875" style="6" customWidth="1"/>
    <col min="12552" max="12796" width="9.140625" style="6"/>
    <col min="12797" max="12797" width="18.28515625" style="6" customWidth="1"/>
    <col min="12798" max="12798" width="13.5703125" style="6" customWidth="1"/>
    <col min="12799" max="12799" width="15.140625" style="6" customWidth="1"/>
    <col min="12800" max="12801" width="12.85546875" style="6" customWidth="1"/>
    <col min="12802" max="12802" width="12.5703125" style="6" customWidth="1"/>
    <col min="12803" max="12803" width="10.85546875" style="6" customWidth="1"/>
    <col min="12804" max="12806" width="14.5703125" style="6" customWidth="1"/>
    <col min="12807" max="12807" width="12.85546875" style="6" customWidth="1"/>
    <col min="12808" max="13052" width="9.140625" style="6"/>
    <col min="13053" max="13053" width="18.28515625" style="6" customWidth="1"/>
    <col min="13054" max="13054" width="13.5703125" style="6" customWidth="1"/>
    <col min="13055" max="13055" width="15.140625" style="6" customWidth="1"/>
    <col min="13056" max="13057" width="12.85546875" style="6" customWidth="1"/>
    <col min="13058" max="13058" width="12.5703125" style="6" customWidth="1"/>
    <col min="13059" max="13059" width="10.85546875" style="6" customWidth="1"/>
    <col min="13060" max="13062" width="14.5703125" style="6" customWidth="1"/>
    <col min="13063" max="13063" width="12.85546875" style="6" customWidth="1"/>
    <col min="13064" max="13308" width="9.140625" style="6"/>
    <col min="13309" max="13309" width="18.28515625" style="6" customWidth="1"/>
    <col min="13310" max="13310" width="13.5703125" style="6" customWidth="1"/>
    <col min="13311" max="13311" width="15.140625" style="6" customWidth="1"/>
    <col min="13312" max="13313" width="12.85546875" style="6" customWidth="1"/>
    <col min="13314" max="13314" width="12.5703125" style="6" customWidth="1"/>
    <col min="13315" max="13315" width="10.85546875" style="6" customWidth="1"/>
    <col min="13316" max="13318" width="14.5703125" style="6" customWidth="1"/>
    <col min="13319" max="13319" width="12.85546875" style="6" customWidth="1"/>
    <col min="13320" max="13564" width="9.140625" style="6"/>
    <col min="13565" max="13565" width="18.28515625" style="6" customWidth="1"/>
    <col min="13566" max="13566" width="13.5703125" style="6" customWidth="1"/>
    <col min="13567" max="13567" width="15.140625" style="6" customWidth="1"/>
    <col min="13568" max="13569" width="12.85546875" style="6" customWidth="1"/>
    <col min="13570" max="13570" width="12.5703125" style="6" customWidth="1"/>
    <col min="13571" max="13571" width="10.85546875" style="6" customWidth="1"/>
    <col min="13572" max="13574" width="14.5703125" style="6" customWidth="1"/>
    <col min="13575" max="13575" width="12.85546875" style="6" customWidth="1"/>
    <col min="13576" max="13820" width="9.140625" style="6"/>
    <col min="13821" max="13821" width="18.28515625" style="6" customWidth="1"/>
    <col min="13822" max="13822" width="13.5703125" style="6" customWidth="1"/>
    <col min="13823" max="13823" width="15.140625" style="6" customWidth="1"/>
    <col min="13824" max="13825" width="12.85546875" style="6" customWidth="1"/>
    <col min="13826" max="13826" width="12.5703125" style="6" customWidth="1"/>
    <col min="13827" max="13827" width="10.85546875" style="6" customWidth="1"/>
    <col min="13828" max="13830" width="14.5703125" style="6" customWidth="1"/>
    <col min="13831" max="13831" width="12.85546875" style="6" customWidth="1"/>
    <col min="13832" max="14076" width="9.140625" style="6"/>
    <col min="14077" max="14077" width="18.28515625" style="6" customWidth="1"/>
    <col min="14078" max="14078" width="13.5703125" style="6" customWidth="1"/>
    <col min="14079" max="14079" width="15.140625" style="6" customWidth="1"/>
    <col min="14080" max="14081" width="12.85546875" style="6" customWidth="1"/>
    <col min="14082" max="14082" width="12.5703125" style="6" customWidth="1"/>
    <col min="14083" max="14083" width="10.85546875" style="6" customWidth="1"/>
    <col min="14084" max="14086" width="14.5703125" style="6" customWidth="1"/>
    <col min="14087" max="14087" width="12.85546875" style="6" customWidth="1"/>
    <col min="14088" max="14332" width="9.140625" style="6"/>
    <col min="14333" max="14333" width="18.28515625" style="6" customWidth="1"/>
    <col min="14334" max="14334" width="13.5703125" style="6" customWidth="1"/>
    <col min="14335" max="14335" width="15.140625" style="6" customWidth="1"/>
    <col min="14336" max="14337" width="12.85546875" style="6" customWidth="1"/>
    <col min="14338" max="14338" width="12.5703125" style="6" customWidth="1"/>
    <col min="14339" max="14339" width="10.85546875" style="6" customWidth="1"/>
    <col min="14340" max="14342" width="14.5703125" style="6" customWidth="1"/>
    <col min="14343" max="14343" width="12.85546875" style="6" customWidth="1"/>
    <col min="14344" max="14588" width="9.140625" style="6"/>
    <col min="14589" max="14589" width="18.28515625" style="6" customWidth="1"/>
    <col min="14590" max="14590" width="13.5703125" style="6" customWidth="1"/>
    <col min="14591" max="14591" width="15.140625" style="6" customWidth="1"/>
    <col min="14592" max="14593" width="12.85546875" style="6" customWidth="1"/>
    <col min="14594" max="14594" width="12.5703125" style="6" customWidth="1"/>
    <col min="14595" max="14595" width="10.85546875" style="6" customWidth="1"/>
    <col min="14596" max="14598" width="14.5703125" style="6" customWidth="1"/>
    <col min="14599" max="14599" width="12.85546875" style="6" customWidth="1"/>
    <col min="14600" max="14844" width="9.140625" style="6"/>
    <col min="14845" max="14845" width="18.28515625" style="6" customWidth="1"/>
    <col min="14846" max="14846" width="13.5703125" style="6" customWidth="1"/>
    <col min="14847" max="14847" width="15.140625" style="6" customWidth="1"/>
    <col min="14848" max="14849" width="12.85546875" style="6" customWidth="1"/>
    <col min="14850" max="14850" width="12.5703125" style="6" customWidth="1"/>
    <col min="14851" max="14851" width="10.85546875" style="6" customWidth="1"/>
    <col min="14852" max="14854" width="14.5703125" style="6" customWidth="1"/>
    <col min="14855" max="14855" width="12.85546875" style="6" customWidth="1"/>
    <col min="14856" max="15100" width="9.140625" style="6"/>
    <col min="15101" max="15101" width="18.28515625" style="6" customWidth="1"/>
    <col min="15102" max="15102" width="13.5703125" style="6" customWidth="1"/>
    <col min="15103" max="15103" width="15.140625" style="6" customWidth="1"/>
    <col min="15104" max="15105" width="12.85546875" style="6" customWidth="1"/>
    <col min="15106" max="15106" width="12.5703125" style="6" customWidth="1"/>
    <col min="15107" max="15107" width="10.85546875" style="6" customWidth="1"/>
    <col min="15108" max="15110" width="14.5703125" style="6" customWidth="1"/>
    <col min="15111" max="15111" width="12.85546875" style="6" customWidth="1"/>
    <col min="15112" max="15356" width="9.140625" style="6"/>
    <col min="15357" max="15357" width="18.28515625" style="6" customWidth="1"/>
    <col min="15358" max="15358" width="13.5703125" style="6" customWidth="1"/>
    <col min="15359" max="15359" width="15.140625" style="6" customWidth="1"/>
    <col min="15360" max="15361" width="12.85546875" style="6" customWidth="1"/>
    <col min="15362" max="15362" width="12.5703125" style="6" customWidth="1"/>
    <col min="15363" max="15363" width="10.85546875" style="6" customWidth="1"/>
    <col min="15364" max="15366" width="14.5703125" style="6" customWidth="1"/>
    <col min="15367" max="15367" width="12.85546875" style="6" customWidth="1"/>
    <col min="15368" max="15612" width="9.140625" style="6"/>
    <col min="15613" max="15613" width="18.28515625" style="6" customWidth="1"/>
    <col min="15614" max="15614" width="13.5703125" style="6" customWidth="1"/>
    <col min="15615" max="15615" width="15.140625" style="6" customWidth="1"/>
    <col min="15616" max="15617" width="12.85546875" style="6" customWidth="1"/>
    <col min="15618" max="15618" width="12.5703125" style="6" customWidth="1"/>
    <col min="15619" max="15619" width="10.85546875" style="6" customWidth="1"/>
    <col min="15620" max="15622" width="14.5703125" style="6" customWidth="1"/>
    <col min="15623" max="15623" width="12.85546875" style="6" customWidth="1"/>
    <col min="15624" max="15868" width="9.140625" style="6"/>
    <col min="15869" max="15869" width="18.28515625" style="6" customWidth="1"/>
    <col min="15870" max="15870" width="13.5703125" style="6" customWidth="1"/>
    <col min="15871" max="15871" width="15.140625" style="6" customWidth="1"/>
    <col min="15872" max="15873" width="12.85546875" style="6" customWidth="1"/>
    <col min="15874" max="15874" width="12.5703125" style="6" customWidth="1"/>
    <col min="15875" max="15875" width="10.85546875" style="6" customWidth="1"/>
    <col min="15876" max="15878" width="14.5703125" style="6" customWidth="1"/>
    <col min="15879" max="15879" width="12.85546875" style="6" customWidth="1"/>
    <col min="15880" max="16124" width="9.140625" style="6"/>
    <col min="16125" max="16125" width="18.28515625" style="6" customWidth="1"/>
    <col min="16126" max="16126" width="13.5703125" style="6" customWidth="1"/>
    <col min="16127" max="16127" width="15.140625" style="6" customWidth="1"/>
    <col min="16128" max="16129" width="12.85546875" style="6" customWidth="1"/>
    <col min="16130" max="16130" width="12.5703125" style="6" customWidth="1"/>
    <col min="16131" max="16131" width="10.85546875" style="6" customWidth="1"/>
    <col min="16132" max="16134" width="14.5703125" style="6" customWidth="1"/>
    <col min="16135" max="16135" width="12.85546875" style="6" customWidth="1"/>
    <col min="16136" max="16384" width="9.140625" style="6"/>
  </cols>
  <sheetData>
    <row r="1" spans="1:11" ht="15.75">
      <c r="A1" s="460" t="str">
        <f xml:space="preserve"> "Psychological Therapies Waiting Times - Number of patients waiting at the end of month by Health Board, "&amp;TEXT(A25,"mmm yyyy")&amp;" - "&amp;TEXT(A11,"mmm yyyy")</f>
        <v>Psychological Therapies Waiting Times - Number of patients waiting at the end of month by Health Board, Apr 2020 - Jun 2021</v>
      </c>
      <c r="B1" s="460"/>
      <c r="C1" s="460"/>
      <c r="D1" s="460"/>
      <c r="E1" s="460"/>
      <c r="F1" s="460"/>
      <c r="G1" s="460"/>
      <c r="H1" s="460"/>
      <c r="I1" s="460"/>
      <c r="J1" s="460"/>
      <c r="K1" s="460"/>
    </row>
    <row r="2" spans="1:11">
      <c r="A2" s="456" t="s">
        <v>457</v>
      </c>
      <c r="B2" s="457"/>
      <c r="C2" s="457"/>
      <c r="D2" s="457"/>
      <c r="E2" s="206"/>
      <c r="F2" s="206"/>
      <c r="G2" s="206"/>
      <c r="H2" s="206"/>
      <c r="I2" s="206"/>
      <c r="J2" s="206"/>
      <c r="K2" s="206"/>
    </row>
    <row r="3" spans="1:11">
      <c r="A3" s="207" t="s">
        <v>186</v>
      </c>
      <c r="B3" s="206"/>
      <c r="C3" s="206"/>
      <c r="D3" s="206"/>
      <c r="E3" s="206"/>
      <c r="F3" s="206"/>
      <c r="G3" s="206"/>
      <c r="H3" s="206"/>
      <c r="I3" s="206"/>
      <c r="J3" s="206"/>
      <c r="K3" s="206"/>
    </row>
    <row r="4" spans="1:11">
      <c r="A4" s="66"/>
      <c r="B4" s="65"/>
      <c r="C4" s="65"/>
      <c r="D4" s="65"/>
      <c r="E4" s="65"/>
      <c r="F4" s="65"/>
      <c r="G4" s="65"/>
    </row>
    <row r="5" spans="1:11">
      <c r="A5" s="199" t="s">
        <v>453</v>
      </c>
      <c r="B5" s="65"/>
      <c r="C5" s="65"/>
      <c r="D5" s="65"/>
      <c r="E5" s="65"/>
      <c r="F5" s="65"/>
      <c r="G5" s="65"/>
    </row>
    <row r="6" spans="1:11" ht="15.75" thickBot="1">
      <c r="A6" s="458"/>
      <c r="B6" s="458"/>
      <c r="C6" s="458"/>
      <c r="D6" s="458"/>
      <c r="E6" s="67"/>
      <c r="F6" s="67"/>
      <c r="G6" s="67"/>
    </row>
    <row r="7" spans="1:11" ht="15.75" thickBot="1">
      <c r="A7" s="6" t="s">
        <v>180</v>
      </c>
      <c r="B7" s="9"/>
      <c r="C7" s="440" t="s">
        <v>28</v>
      </c>
      <c r="D7" s="441"/>
      <c r="E7" s="67"/>
      <c r="F7" s="67"/>
      <c r="G7" s="67"/>
    </row>
    <row r="8" spans="1:11">
      <c r="A8" s="220" t="s">
        <v>1302</v>
      </c>
      <c r="B8" s="33" t="s">
        <v>183</v>
      </c>
      <c r="C8" s="9"/>
      <c r="D8" s="9"/>
      <c r="E8" s="34"/>
      <c r="F8" s="34"/>
      <c r="G8" s="34"/>
      <c r="H8" s="28"/>
    </row>
    <row r="9" spans="1:11" ht="21.75" customHeight="1">
      <c r="A9" s="442" t="s">
        <v>31</v>
      </c>
      <c r="B9" s="445" t="s">
        <v>193</v>
      </c>
      <c r="C9" s="449" t="s">
        <v>33</v>
      </c>
      <c r="D9" s="446"/>
      <c r="E9" s="449" t="s">
        <v>187</v>
      </c>
      <c r="F9" s="446"/>
      <c r="G9" s="20"/>
    </row>
    <row r="10" spans="1:11" ht="16.5" customHeight="1">
      <c r="A10" s="442"/>
      <c r="B10" s="445"/>
      <c r="C10" s="151" t="s">
        <v>34</v>
      </c>
      <c r="D10" s="348" t="s">
        <v>362</v>
      </c>
      <c r="E10" s="164" t="s">
        <v>34</v>
      </c>
      <c r="F10" s="276" t="s">
        <v>362</v>
      </c>
      <c r="G10" s="93"/>
      <c r="H10" s="40"/>
    </row>
    <row r="11" spans="1:11">
      <c r="A11" s="359">
        <f>REPORT_raw_dataseen!R1</f>
        <v>44348</v>
      </c>
      <c r="B11" s="260">
        <f>VLOOKUP($C$7&amp;"Unadjusted waiting "&amp;$B$9,REPORT_raw_datawaiting!$A$1:$R$817,MATCH($A11,REPORT_raw_datawaiting!$D$1:$R$1,1)+3, FALSE)</f>
        <v>22401</v>
      </c>
      <c r="C11" s="260">
        <f>VLOOKUP($C$7&amp;"Unadjusted waiting "&amp;$C$10,REPORT_raw_datawaiting!$A$1:$R$817,MATCH($A11,REPORT_raw_datawaiting!$D$1:$R$1,1)+3, FALSE)</f>
        <v>13407</v>
      </c>
      <c r="D11" s="261">
        <f>IF(B11="..","..",IF(C11="-",B11, IF((B11-C11)=0, "-",B11-C11)))</f>
        <v>8994</v>
      </c>
      <c r="E11" s="263">
        <f t="shared" ref="E11:F17" si="0">IF(C11="-","-",IF(C11=0,"-",IF(C11="..","..",IF((C11/$B11%)=0,"-",ROUND(C11/$B11%,2)))))</f>
        <v>59.85</v>
      </c>
      <c r="F11" s="257">
        <f t="shared" si="0"/>
        <v>40.15</v>
      </c>
      <c r="G11" s="94"/>
      <c r="H11" s="94"/>
      <c r="I11" s="94"/>
    </row>
    <row r="12" spans="1:11">
      <c r="A12" s="360">
        <f>DATE(YEAR(A11),MONTH(A11)-1,DAY(A11))</f>
        <v>44317</v>
      </c>
      <c r="B12" s="261">
        <f>VLOOKUP($C$7&amp;"Adjusted waiting "&amp;$B$9,REPORT_raw_datawaiting!$A$1:$R$817,MATCH($A12,REPORT_raw_datawaiting!$D$1:$R$1,1)+3, FALSE)</f>
        <v>21308</v>
      </c>
      <c r="C12" s="261">
        <f>VLOOKUP($C$7&amp;"Unadjusted waiting "&amp;$C$10,REPORT_raw_datawaiting!$A$1:$R$817,MATCH($A12,REPORT_raw_datawaiting!$D$1:$R$1,1)+3, FALSE)</f>
        <v>12356</v>
      </c>
      <c r="D12" s="261">
        <f>IF(B12="..","..",IF(C12="-",B12, IF((B12-C12)=0, "-",B12-C12)))</f>
        <v>8952</v>
      </c>
      <c r="E12" s="264">
        <f t="shared" si="0"/>
        <v>57.99</v>
      </c>
      <c r="F12" s="258">
        <f t="shared" si="0"/>
        <v>42.01</v>
      </c>
      <c r="G12" s="94"/>
      <c r="H12" s="94"/>
      <c r="I12" s="94"/>
    </row>
    <row r="13" spans="1:11">
      <c r="A13" s="360">
        <f>DATE(YEAR(A12),MONTH(A12)-1,DAY(A12))</f>
        <v>44287</v>
      </c>
      <c r="B13" s="261">
        <f>VLOOKUP($C$7&amp;"Adjusted waiting "&amp;$B$9,REPORT_raw_datawaiting!$A$1:$R$817,MATCH($A13,REPORT_raw_datawaiting!$D$1:$R$1,1)+3, FALSE)</f>
        <v>21167</v>
      </c>
      <c r="C13" s="261">
        <f>VLOOKUP($C$7&amp;"Unadjusted waiting "&amp;$C$10,REPORT_raw_datawaiting!$A$1:$R$817,MATCH($A13,REPORT_raw_datawaiting!$D$1:$R$1,1)+3, FALSE)</f>
        <v>11411</v>
      </c>
      <c r="D13" s="261">
        <f t="shared" ref="D13:D25" si="1">IF(B13="..","..",IF(C13="-",B13, IF((B13-C13)=0, "-",B13-C13)))</f>
        <v>9756</v>
      </c>
      <c r="E13" s="264">
        <f t="shared" si="0"/>
        <v>53.91</v>
      </c>
      <c r="F13" s="258">
        <f t="shared" si="0"/>
        <v>46.09</v>
      </c>
      <c r="G13" s="94"/>
      <c r="H13" s="94"/>
      <c r="I13" s="94"/>
    </row>
    <row r="14" spans="1:11">
      <c r="A14" s="360">
        <f>DATE(YEAR(A13),MONTH(A13)-1,DAY(A13))</f>
        <v>44256</v>
      </c>
      <c r="B14" s="261">
        <f>VLOOKUP($C$7&amp;"Adjusted waiting "&amp;$B$9,REPORT_raw_datawaiting!$A$1:$R$817,MATCH($A14,REPORT_raw_datawaiting!$D$1:$R$1,1)+3, FALSE)</f>
        <v>22599</v>
      </c>
      <c r="C14" s="261">
        <f>VLOOKUP($C$7&amp;"Unadjusted waiting "&amp;$C$10,REPORT_raw_datawaiting!$A$1:$R$817,MATCH($A14,REPORT_raw_datawaiting!$D$1:$R$1,1)+3, FALSE)</f>
        <v>11742</v>
      </c>
      <c r="D14" s="261">
        <f t="shared" si="1"/>
        <v>10857</v>
      </c>
      <c r="E14" s="264">
        <f t="shared" si="0"/>
        <v>51.96</v>
      </c>
      <c r="F14" s="258">
        <f t="shared" si="0"/>
        <v>48.04</v>
      </c>
      <c r="G14" s="94"/>
      <c r="H14" s="94"/>
      <c r="I14" s="94"/>
    </row>
    <row r="15" spans="1:11">
      <c r="A15" s="360">
        <f>DATE(YEAR(A14),MONTH(A14)-1,DAY(A14))</f>
        <v>44228</v>
      </c>
      <c r="B15" s="261">
        <f>VLOOKUP($C$7&amp;"Adjusted waiting "&amp;$B$9,REPORT_raw_datawaiting!$A$1:$R$817,MATCH($A15,REPORT_raw_datawaiting!$D$1:$R$1,1)+3, FALSE)</f>
        <v>22091</v>
      </c>
      <c r="C15" s="261">
        <f>VLOOKUP($C$7&amp;"Unadjusted waiting "&amp;$C$10,REPORT_raw_datawaiting!$A$1:$R$817,MATCH($A15,REPORT_raw_datawaiting!$D$1:$R$1,1)+3, FALSE)</f>
        <v>10966</v>
      </c>
      <c r="D15" s="261">
        <f t="shared" si="1"/>
        <v>11125</v>
      </c>
      <c r="E15" s="264">
        <f t="shared" si="0"/>
        <v>49.64</v>
      </c>
      <c r="F15" s="258">
        <f t="shared" si="0"/>
        <v>50.36</v>
      </c>
      <c r="G15" s="94"/>
      <c r="H15" s="94"/>
      <c r="I15" s="94"/>
    </row>
    <row r="16" spans="1:11">
      <c r="A16" s="360">
        <f>DATE(YEAR(A15),MONTH(A15)-1,DAY(A15))</f>
        <v>44197</v>
      </c>
      <c r="B16" s="261">
        <f>VLOOKUP($C$7&amp;"Adjusted waiting "&amp;$B$9,REPORT_raw_datawaiting!$A$1:$R$817,MATCH($A16,REPORT_raw_datawaiting!$D$1:$R$1,1)+3, FALSE)</f>
        <v>22662</v>
      </c>
      <c r="C16" s="261">
        <f>VLOOKUP($C$7&amp;"Unadjusted waiting "&amp;$C$10,REPORT_raw_datawaiting!$A$1:$R$817,MATCH($A16,REPORT_raw_datawaiting!$D$1:$R$1,1)+3, FALSE)</f>
        <v>10952</v>
      </c>
      <c r="D16" s="261">
        <f t="shared" si="1"/>
        <v>11710</v>
      </c>
      <c r="E16" s="264">
        <f t="shared" si="0"/>
        <v>48.33</v>
      </c>
      <c r="F16" s="258">
        <f t="shared" si="0"/>
        <v>51.67</v>
      </c>
      <c r="G16" s="94"/>
      <c r="H16" s="94"/>
      <c r="I16" s="94"/>
    </row>
    <row r="17" spans="1:9">
      <c r="A17" s="360">
        <f t="shared" ref="A17:A25" si="2">DATE(YEAR(A16),MONTH(A16)-1,DAY(A16))</f>
        <v>44166</v>
      </c>
      <c r="B17" s="261">
        <f>VLOOKUP($C$7&amp;"Adjusted waiting "&amp;$B$9,REPORT_raw_datawaiting!$A$1:$R$817,MATCH($A17,REPORT_raw_datawaiting!$D$1:$R$1,1)+3, FALSE)</f>
        <v>23780</v>
      </c>
      <c r="C17" s="261">
        <f>VLOOKUP($C$7&amp;"Unadjusted waiting "&amp;$C$10,REPORT_raw_datawaiting!$A$1:$R$817,MATCH($A17,REPORT_raw_datawaiting!$D$1:$R$1,1)+3, FALSE)</f>
        <v>11799</v>
      </c>
      <c r="D17" s="261">
        <f t="shared" si="1"/>
        <v>11981</v>
      </c>
      <c r="E17" s="264">
        <f t="shared" si="0"/>
        <v>49.62</v>
      </c>
      <c r="F17" s="258">
        <f t="shared" si="0"/>
        <v>50.38</v>
      </c>
      <c r="G17" s="94"/>
      <c r="H17" s="94"/>
      <c r="I17" s="94"/>
    </row>
    <row r="18" spans="1:9">
      <c r="A18" s="360">
        <f t="shared" si="2"/>
        <v>44136</v>
      </c>
      <c r="B18" s="261">
        <f>VLOOKUP($C$7&amp;"Adjusted waiting "&amp;$B$9,REPORT_raw_datawaiting!$A$1:$R$817,MATCH($A18,REPORT_raw_datawaiting!$D$1:$R$1,1)+3, FALSE)</f>
        <v>23760</v>
      </c>
      <c r="C18" s="261">
        <f>VLOOKUP($C$7&amp;"Unadjusted waiting "&amp;$C$10,REPORT_raw_datawaiting!$A$1:$R$817,MATCH($A18,REPORT_raw_datawaiting!$D$1:$R$1,1)+3, FALSE)</f>
        <v>11633</v>
      </c>
      <c r="D18" s="261">
        <f t="shared" si="1"/>
        <v>12127</v>
      </c>
      <c r="E18" s="264">
        <f t="shared" ref="E18:E25" si="3">IF(C18="-","-",IF(C18=0,"-",IF(C18="..","..",IF((C18/$B18%)=0,"-",ROUND(C18/$B18%,2)))))</f>
        <v>48.96</v>
      </c>
      <c r="F18" s="258">
        <f t="shared" ref="F18:F25" si="4">IF(D18="-","-",IF(D18=0,"-",IF(D18="..","..",IF((D18/$B18%)=0,"-",ROUND(D18/$B18%,2)))))</f>
        <v>51.04</v>
      </c>
      <c r="G18" s="94"/>
      <c r="H18" s="94"/>
      <c r="I18" s="94"/>
    </row>
    <row r="19" spans="1:9">
      <c r="A19" s="360">
        <f t="shared" si="2"/>
        <v>44105</v>
      </c>
      <c r="B19" s="261">
        <f>VLOOKUP($C$7&amp;"Adjusted waiting "&amp;$B$9,REPORT_raw_datawaiting!$A$1:$R$817,MATCH($A19,REPORT_raw_datawaiting!$D$1:$R$1,1)+3, FALSE)</f>
        <v>23859</v>
      </c>
      <c r="C19" s="261">
        <f>VLOOKUP($C$7&amp;"Unadjusted waiting "&amp;$C$10,REPORT_raw_datawaiting!$A$1:$R$817,MATCH($A19,REPORT_raw_datawaiting!$D$1:$R$1,1)+3, FALSE)</f>
        <v>10827</v>
      </c>
      <c r="D19" s="261">
        <f t="shared" si="1"/>
        <v>13032</v>
      </c>
      <c r="E19" s="264">
        <f t="shared" si="3"/>
        <v>45.38</v>
      </c>
      <c r="F19" s="258">
        <f t="shared" si="4"/>
        <v>54.62</v>
      </c>
      <c r="G19" s="94"/>
      <c r="H19" s="94"/>
      <c r="I19" s="94"/>
    </row>
    <row r="20" spans="1:9">
      <c r="A20" s="360">
        <f t="shared" si="2"/>
        <v>44075</v>
      </c>
      <c r="B20" s="261">
        <f>VLOOKUP($C$7&amp;"Adjusted waiting "&amp;$B$9,REPORT_raw_datawaiting!$A$1:$R$817,MATCH($A20,REPORT_raw_datawaiting!$D$1:$R$1,1)+3, FALSE)</f>
        <v>23652</v>
      </c>
      <c r="C20" s="261">
        <f>VLOOKUP($C$7&amp;"Unadjusted waiting "&amp;$C$10,REPORT_raw_datawaiting!$A$1:$R$817,MATCH($A20,REPORT_raw_datawaiting!$D$1:$R$1,1)+3, FALSE)</f>
        <v>9645</v>
      </c>
      <c r="D20" s="261">
        <f t="shared" si="1"/>
        <v>14007</v>
      </c>
      <c r="E20" s="264">
        <f t="shared" si="3"/>
        <v>40.78</v>
      </c>
      <c r="F20" s="258">
        <f t="shared" si="4"/>
        <v>59.22</v>
      </c>
      <c r="G20" s="94"/>
      <c r="H20" s="94"/>
      <c r="I20" s="94"/>
    </row>
    <row r="21" spans="1:9">
      <c r="A21" s="360">
        <f t="shared" si="2"/>
        <v>44044</v>
      </c>
      <c r="B21" s="261">
        <f>VLOOKUP($C$7&amp;"Adjusted waiting "&amp;$B$9,REPORT_raw_datawaiting!$A$1:$R$817,MATCH($A21,REPORT_raw_datawaiting!$D$1:$R$1,1)+3, FALSE)</f>
        <v>23673</v>
      </c>
      <c r="C21" s="261">
        <f>VLOOKUP($C$7&amp;"Unadjusted waiting "&amp;$C$10,REPORT_raw_datawaiting!$A$1:$R$817,MATCH($A21,REPORT_raw_datawaiting!$D$1:$R$1,1)+3, FALSE)</f>
        <v>8490</v>
      </c>
      <c r="D21" s="261">
        <f t="shared" si="1"/>
        <v>15183</v>
      </c>
      <c r="E21" s="264">
        <f t="shared" si="3"/>
        <v>35.86</v>
      </c>
      <c r="F21" s="258">
        <f t="shared" si="4"/>
        <v>64.14</v>
      </c>
      <c r="G21" s="94"/>
      <c r="H21" s="94"/>
      <c r="I21" s="94"/>
    </row>
    <row r="22" spans="1:9">
      <c r="A22" s="360">
        <f t="shared" si="2"/>
        <v>44013</v>
      </c>
      <c r="B22" s="261">
        <f>VLOOKUP($C$7&amp;"Adjusted waiting "&amp;$B$9,REPORT_raw_datawaiting!$A$1:$R$817,MATCH($A22,REPORT_raw_datawaiting!$D$1:$R$1,1)+3, FALSE)</f>
        <v>23804</v>
      </c>
      <c r="C22" s="261">
        <f>VLOOKUP($C$7&amp;"Unadjusted waiting "&amp;$C$10,REPORT_raw_datawaiting!$A$1:$R$817,MATCH($A22,REPORT_raw_datawaiting!$D$1:$R$1,1)+3, FALSE)</f>
        <v>7363</v>
      </c>
      <c r="D22" s="261">
        <f>IF(B22="..","..",IF(C22="-",B22, IF((B22-C22)=0, "-",B22-C22)))</f>
        <v>16441</v>
      </c>
      <c r="E22" s="264">
        <f t="shared" si="3"/>
        <v>30.93</v>
      </c>
      <c r="F22" s="258">
        <f t="shared" si="4"/>
        <v>69.069999999999993</v>
      </c>
      <c r="G22" s="94"/>
      <c r="H22" s="94"/>
      <c r="I22" s="94"/>
    </row>
    <row r="23" spans="1:9">
      <c r="A23" s="360">
        <f t="shared" si="2"/>
        <v>43983</v>
      </c>
      <c r="B23" s="261">
        <f>VLOOKUP($C$7&amp;"Adjusted waiting "&amp;$B$9,REPORT_raw_datawaiting!$A$1:$R$817,MATCH($A23,REPORT_raw_datawaiting!$D$1:$R$1,1)+3, FALSE)</f>
        <v>24049</v>
      </c>
      <c r="C23" s="261">
        <f>VLOOKUP($C$7&amp;"Unadjusted waiting "&amp;$C$10,REPORT_raw_datawaiting!$A$1:$R$817,MATCH($A23,REPORT_raw_datawaiting!$D$1:$R$1,1)+3, FALSE)</f>
        <v>8473</v>
      </c>
      <c r="D23" s="261">
        <f t="shared" si="1"/>
        <v>15576</v>
      </c>
      <c r="E23" s="264">
        <f t="shared" si="3"/>
        <v>35.229999999999997</v>
      </c>
      <c r="F23" s="258">
        <f t="shared" si="4"/>
        <v>64.77</v>
      </c>
    </row>
    <row r="24" spans="1:9">
      <c r="A24" s="360">
        <f t="shared" si="2"/>
        <v>43952</v>
      </c>
      <c r="B24" s="261">
        <f>VLOOKUP($C$7&amp;"Adjusted waiting "&amp;$B$9,REPORT_raw_datawaiting!$A$1:$R$817,MATCH($A24,REPORT_raw_datawaiting!$D$1:$R$1,1)+3, FALSE)</f>
        <v>24778</v>
      </c>
      <c r="C24" s="261">
        <f>VLOOKUP($C$7&amp;"Unadjusted waiting "&amp;$C$10,REPORT_raw_datawaiting!$A$1:$R$817,MATCH($A24,REPORT_raw_datawaiting!$D$1:$R$1,1)+3, FALSE)</f>
        <v>10524</v>
      </c>
      <c r="D24" s="261">
        <f t="shared" si="1"/>
        <v>14254</v>
      </c>
      <c r="E24" s="264">
        <f t="shared" si="3"/>
        <v>42.47</v>
      </c>
      <c r="F24" s="258">
        <f t="shared" si="4"/>
        <v>57.53</v>
      </c>
    </row>
    <row r="25" spans="1:9">
      <c r="A25" s="361">
        <f t="shared" si="2"/>
        <v>43922</v>
      </c>
      <c r="B25" s="262">
        <f>VLOOKUP($C$7&amp;"Adjusted waiting "&amp;$B$9,REPORT_raw_datawaiting!$A$1:$R$817,MATCH($A25,REPORT_raw_datawaiting!$D$1:$R$1,1)+3, FALSE)</f>
        <v>26017</v>
      </c>
      <c r="C25" s="262">
        <f>VLOOKUP($C$7&amp;"Unadjusted waiting "&amp;$C$10,REPORT_raw_datawaiting!$A$1:$R$817,MATCH($A25,REPORT_raw_datawaiting!$D$1:$R$1,1)+3, FALSE)</f>
        <v>12611</v>
      </c>
      <c r="D25" s="262">
        <f t="shared" si="1"/>
        <v>13406</v>
      </c>
      <c r="E25" s="265">
        <f t="shared" si="3"/>
        <v>48.47</v>
      </c>
      <c r="F25" s="259">
        <f t="shared" si="4"/>
        <v>51.53</v>
      </c>
    </row>
    <row r="26" spans="1:9">
      <c r="A26" s="32"/>
      <c r="B26" s="16"/>
      <c r="C26" s="16"/>
      <c r="D26" s="16"/>
      <c r="E26" s="16"/>
      <c r="F26" s="17"/>
      <c r="G26" s="17"/>
    </row>
    <row r="27" spans="1:9" ht="20.25">
      <c r="A27" s="76" t="s">
        <v>337</v>
      </c>
      <c r="B27" s="16"/>
      <c r="C27" s="16"/>
      <c r="D27" s="16"/>
      <c r="E27" s="16"/>
      <c r="F27" s="17"/>
      <c r="G27" s="17"/>
    </row>
    <row r="28" spans="1:9">
      <c r="A28" s="77" t="s">
        <v>338</v>
      </c>
      <c r="B28" s="77" t="s">
        <v>339</v>
      </c>
      <c r="C28" s="78"/>
      <c r="D28" s="450" t="s">
        <v>340</v>
      </c>
      <c r="E28" s="450"/>
      <c r="F28" s="450"/>
      <c r="G28" s="450"/>
    </row>
    <row r="29" spans="1:9">
      <c r="A29" s="79" t="s">
        <v>55</v>
      </c>
      <c r="B29" s="80" t="s">
        <v>341</v>
      </c>
      <c r="C29" s="81"/>
      <c r="D29" s="451" t="s">
        <v>342</v>
      </c>
      <c r="E29" s="451"/>
      <c r="F29" s="451"/>
      <c r="G29" s="451"/>
    </row>
    <row r="30" spans="1:9" ht="51">
      <c r="A30" s="82" t="s">
        <v>343</v>
      </c>
      <c r="B30" s="83" t="s">
        <v>344</v>
      </c>
      <c r="C30" s="84"/>
      <c r="D30" s="452" t="s">
        <v>345</v>
      </c>
      <c r="E30" s="452"/>
      <c r="F30" s="452"/>
      <c r="G30" s="452"/>
    </row>
    <row r="31" spans="1:9">
      <c r="A31" s="85" t="s">
        <v>27</v>
      </c>
      <c r="B31" s="86"/>
      <c r="C31" s="87"/>
      <c r="D31" s="439" t="s">
        <v>346</v>
      </c>
      <c r="E31" s="439"/>
      <c r="F31" s="439"/>
      <c r="G31" s="439"/>
    </row>
    <row r="32" spans="1:9">
      <c r="A32" s="88"/>
      <c r="B32" s="89"/>
      <c r="C32" s="89"/>
      <c r="D32" s="19"/>
      <c r="E32" s="89"/>
      <c r="F32" s="90"/>
      <c r="G32" s="15"/>
    </row>
    <row r="33" spans="1:7">
      <c r="A33" s="88"/>
      <c r="B33" s="89"/>
      <c r="C33" s="89"/>
      <c r="D33" s="19"/>
      <c r="E33" s="89"/>
      <c r="F33" s="90"/>
      <c r="G33" s="15"/>
    </row>
    <row r="34" spans="1:7">
      <c r="A34" s="88"/>
      <c r="B34" s="89"/>
      <c r="C34" s="89"/>
      <c r="D34" s="19"/>
      <c r="E34" s="89"/>
      <c r="F34" s="90"/>
      <c r="G34" s="15"/>
    </row>
    <row r="35" spans="1:7">
      <c r="A35" s="91" t="s">
        <v>190</v>
      </c>
      <c r="B35" s="89"/>
      <c r="C35" s="89"/>
      <c r="D35" s="89"/>
      <c r="E35" s="89"/>
      <c r="F35" s="90"/>
      <c r="G35" s="15"/>
    </row>
    <row r="36" spans="1:7">
      <c r="A36" s="91" t="s">
        <v>191</v>
      </c>
      <c r="B36" s="89"/>
      <c r="C36" s="89"/>
      <c r="D36" s="89"/>
      <c r="E36" s="89"/>
      <c r="F36" s="90"/>
      <c r="G36" s="15"/>
    </row>
    <row r="37" spans="1:7">
      <c r="B37" s="16"/>
      <c r="C37" s="16"/>
      <c r="D37" s="16"/>
      <c r="E37" s="16"/>
      <c r="F37" s="18"/>
      <c r="G37" s="18"/>
    </row>
    <row r="38" spans="1:7">
      <c r="A38" s="43" t="s">
        <v>410</v>
      </c>
      <c r="B38" s="12"/>
      <c r="C38" s="12"/>
      <c r="D38" s="12"/>
      <c r="E38" s="12"/>
      <c r="F38" s="13"/>
      <c r="G38" s="13"/>
    </row>
    <row r="39" spans="1:7">
      <c r="B39" s="7"/>
      <c r="C39" s="7"/>
      <c r="D39" s="7"/>
      <c r="E39" s="7"/>
      <c r="F39" s="14"/>
      <c r="G39" s="14"/>
    </row>
    <row r="40" spans="1:7">
      <c r="A40" s="8"/>
      <c r="B40" s="7"/>
      <c r="C40" s="7"/>
      <c r="D40" s="7"/>
      <c r="E40" s="7"/>
      <c r="F40" s="15"/>
      <c r="G40" s="15"/>
    </row>
    <row r="41" spans="1:7">
      <c r="B41" s="16"/>
      <c r="C41" s="16"/>
      <c r="D41" s="16"/>
      <c r="E41" s="16"/>
      <c r="F41" s="18"/>
      <c r="G41" s="18"/>
    </row>
    <row r="42" spans="1:7">
      <c r="B42" s="12"/>
      <c r="C42" s="12"/>
      <c r="D42" s="12"/>
      <c r="E42" s="12"/>
      <c r="F42" s="13"/>
      <c r="G42" s="13"/>
    </row>
    <row r="43" spans="1:7">
      <c r="B43" s="12"/>
      <c r="C43" s="12"/>
      <c r="D43" s="7"/>
      <c r="E43" s="7"/>
      <c r="F43" s="14"/>
      <c r="G43" s="14"/>
    </row>
    <row r="44" spans="1:7">
      <c r="B44" s="12"/>
      <c r="C44" s="12"/>
      <c r="D44" s="7"/>
      <c r="E44" s="7"/>
      <c r="F44" s="15"/>
      <c r="G44" s="15"/>
    </row>
    <row r="45" spans="1:7">
      <c r="B45" s="16"/>
      <c r="C45" s="16"/>
      <c r="D45" s="7"/>
      <c r="E45" s="7"/>
      <c r="F45" s="15"/>
      <c r="G45" s="15"/>
    </row>
    <row r="46" spans="1:7">
      <c r="A46" s="29" t="str">
        <f>"Percentage of patients waiting less than 18 weeks for adjusted waits - "&amp;C7</f>
        <v>Percentage of patients waiting less than 18 weeks for adjusted waits - Scotland</v>
      </c>
      <c r="B46" s="16"/>
      <c r="C46" s="16"/>
      <c r="D46" s="16"/>
      <c r="E46" s="16"/>
      <c r="F46" s="15"/>
      <c r="G46" s="15"/>
    </row>
    <row r="47" spans="1:7">
      <c r="A47" s="28"/>
      <c r="B47" s="16"/>
      <c r="C47" s="16"/>
      <c r="D47" s="16"/>
      <c r="E47" s="16"/>
      <c r="F47" s="18"/>
      <c r="G47" s="18"/>
    </row>
    <row r="48" spans="1:7">
      <c r="B48" s="12"/>
      <c r="C48" s="12"/>
      <c r="D48" s="12"/>
      <c r="E48" s="12"/>
      <c r="F48" s="13"/>
      <c r="G48" s="13"/>
    </row>
    <row r="49" spans="1:7">
      <c r="B49" s="7"/>
      <c r="C49" s="7"/>
      <c r="D49" s="7"/>
      <c r="E49" s="7"/>
      <c r="F49" s="14"/>
      <c r="G49" s="14"/>
    </row>
    <row r="50" spans="1:7">
      <c r="A50" s="29" t="str">
        <f>"Patients waiting - adjusted waits - "&amp;C7</f>
        <v>Patients waiting - adjusted waits - Scotland</v>
      </c>
      <c r="B50" s="16"/>
      <c r="C50" s="16"/>
      <c r="D50" s="16"/>
      <c r="E50" s="16"/>
      <c r="F50" s="15"/>
      <c r="G50" s="15"/>
    </row>
    <row r="51" spans="1:7">
      <c r="A51" s="29" t="str">
        <f>"Percentage of patients waiting 0-18 weeks - adjusted waits - "&amp;C7</f>
        <v>Percentage of patients waiting 0-18 weeks - adjusted waits - Scotland</v>
      </c>
      <c r="B51" s="16"/>
      <c r="C51" s="16"/>
      <c r="D51" s="16"/>
      <c r="E51" s="16"/>
      <c r="F51" s="15"/>
      <c r="G51" s="15"/>
    </row>
    <row r="52" spans="1:7">
      <c r="A52" s="29" t="str">
        <f>"Percentage of patients waiting - adjusted waits - "&amp;C7</f>
        <v>Percentage of patients waiting - adjusted waits - Scotland</v>
      </c>
      <c r="B52" s="16"/>
      <c r="C52" s="16"/>
      <c r="D52" s="16"/>
      <c r="E52" s="16"/>
      <c r="F52" s="17"/>
      <c r="G52" s="17"/>
    </row>
    <row r="53" spans="1:7">
      <c r="B53" s="12"/>
      <c r="C53" s="12"/>
      <c r="D53" s="12"/>
      <c r="E53" s="12"/>
      <c r="F53" s="13"/>
      <c r="G53" s="13"/>
    </row>
    <row r="54" spans="1:7" s="20" customFormat="1">
      <c r="B54" s="21"/>
      <c r="C54" s="21"/>
      <c r="D54" s="21"/>
      <c r="E54" s="21"/>
      <c r="F54" s="22"/>
      <c r="G54" s="22"/>
    </row>
    <row r="55" spans="1:7">
      <c r="B55" s="8"/>
      <c r="C55" s="8"/>
      <c r="D55" s="8"/>
      <c r="E55" s="8"/>
      <c r="F55" s="24"/>
      <c r="G55" s="24"/>
    </row>
    <row r="56" spans="1:7">
      <c r="B56" s="8"/>
      <c r="C56" s="8"/>
      <c r="D56" s="8"/>
      <c r="E56" s="8"/>
      <c r="F56" s="24"/>
      <c r="G56" s="24"/>
    </row>
    <row r="57" spans="1:7">
      <c r="B57" s="8"/>
      <c r="C57" s="8"/>
      <c r="D57" s="8"/>
      <c r="E57" s="8"/>
      <c r="F57" s="24"/>
      <c r="G57" s="24"/>
    </row>
    <row r="58" spans="1:7">
      <c r="A58" s="16"/>
      <c r="B58" s="16"/>
      <c r="C58" s="16"/>
      <c r="D58" s="16"/>
      <c r="E58" s="16"/>
      <c r="F58" s="26"/>
      <c r="G58" s="26"/>
    </row>
    <row r="59" spans="1:7">
      <c r="B59" s="16"/>
      <c r="C59" s="16"/>
      <c r="D59" s="16"/>
      <c r="E59" s="16"/>
      <c r="F59" s="18"/>
      <c r="G59" s="18"/>
    </row>
    <row r="60" spans="1:7">
      <c r="B60" s="12"/>
      <c r="C60" s="12"/>
      <c r="D60" s="12"/>
      <c r="E60" s="12"/>
      <c r="F60" s="13"/>
      <c r="G60" s="13"/>
    </row>
    <row r="61" spans="1:7">
      <c r="B61" s="7"/>
      <c r="C61" s="7"/>
      <c r="D61" s="7"/>
      <c r="E61" s="7"/>
      <c r="F61" s="14"/>
      <c r="G61" s="14"/>
    </row>
    <row r="62" spans="1:7">
      <c r="B62" s="7"/>
      <c r="C62" s="7"/>
      <c r="D62" s="7"/>
      <c r="E62" s="7"/>
      <c r="F62" s="15"/>
      <c r="G62" s="15"/>
    </row>
    <row r="63" spans="1:7">
      <c r="B63" s="7"/>
      <c r="C63" s="7"/>
      <c r="D63" s="7"/>
      <c r="E63" s="7"/>
      <c r="F63" s="15"/>
      <c r="G63" s="15"/>
    </row>
    <row r="64" spans="1:7">
      <c r="B64" s="16"/>
      <c r="C64" s="16"/>
      <c r="D64" s="16"/>
      <c r="E64" s="16"/>
      <c r="F64" s="18"/>
      <c r="G64" s="18"/>
    </row>
    <row r="65" spans="2:7">
      <c r="B65" s="27"/>
      <c r="C65" s="27"/>
      <c r="D65" s="27"/>
      <c r="E65" s="27"/>
      <c r="F65" s="13"/>
      <c r="G65" s="13"/>
    </row>
    <row r="66" spans="2:7">
      <c r="B66" s="28"/>
      <c r="C66" s="28"/>
      <c r="D66" s="28"/>
      <c r="E66" s="28"/>
      <c r="F66" s="14"/>
      <c r="G66" s="14"/>
    </row>
    <row r="67" spans="2:7">
      <c r="F67" s="15"/>
      <c r="G67" s="15"/>
    </row>
    <row r="68" spans="2:7">
      <c r="F68" s="15"/>
      <c r="G68" s="15"/>
    </row>
    <row r="84" spans="1:4">
      <c r="A84" s="28"/>
      <c r="B84" s="28"/>
      <c r="C84" s="28"/>
      <c r="D84" s="28"/>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9"/>
      <c r="B90" s="29"/>
      <c r="C90" s="29"/>
      <c r="D90" s="29"/>
    </row>
    <row r="91" spans="1:4">
      <c r="A91" s="29"/>
      <c r="B91" s="29"/>
      <c r="C91" s="29"/>
      <c r="D91" s="29"/>
    </row>
    <row r="92" spans="1:4">
      <c r="A92" s="29"/>
      <c r="B92" s="29"/>
      <c r="C92" s="29"/>
      <c r="D92" s="29"/>
    </row>
    <row r="93" spans="1:4">
      <c r="A93" s="29"/>
      <c r="C93" s="29"/>
      <c r="D93" s="29"/>
    </row>
    <row r="94" spans="1:4">
      <c r="A94" s="29"/>
      <c r="B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sheetData>
  <sheetProtection algorithmName="SHA-512" hashValue="Sr6k6QTchV4Db0M7RPNrObtrw+52oxoQ/COsZ2Cjoje29B1ueeSnwcUFnFg1/X8jTqcWoh4cts9griW7RMsO9A==" saltValue="n/wKWtf4J7s99wwZoKiRtg==" spinCount="100000" sheet="1" objects="1" scenarios="1"/>
  <mergeCells count="12">
    <mergeCell ref="A1:K1"/>
    <mergeCell ref="A2:D2"/>
    <mergeCell ref="D31:G31"/>
    <mergeCell ref="A6:D6"/>
    <mergeCell ref="C7:D7"/>
    <mergeCell ref="A9:A10"/>
    <mergeCell ref="B9:B10"/>
    <mergeCell ref="C9:D9"/>
    <mergeCell ref="E9:F9"/>
    <mergeCell ref="D28:G28"/>
    <mergeCell ref="D29:G29"/>
    <mergeCell ref="D30:G30"/>
  </mergeCells>
  <dataValidations count="2">
    <dataValidation type="list" allowBlank="1" showInputMessage="1" showErrorMessage="1" sqref="WVG983021:WVH983021 WLK983021:WLL983021 WBO983021:WBP983021 VRS983021:VRT983021 VHW983021:VHX983021 UYA983021:UYB983021 UOE983021:UOF983021 UEI983021:UEJ983021 TUM983021:TUN983021 TKQ983021:TKR983021 TAU983021:TAV983021 SQY983021:SQZ983021 SHC983021:SHD983021 RXG983021:RXH983021 RNK983021:RNL983021 RDO983021:RDP983021 QTS983021:QTT983021 QJW983021:QJX983021 QAA983021:QAB983021 PQE983021:PQF983021 PGI983021:PGJ983021 OWM983021:OWN983021 OMQ983021:OMR983021 OCU983021:OCV983021 NSY983021:NSZ983021 NJC983021:NJD983021 MZG983021:MZH983021 MPK983021:MPL983021 MFO983021:MFP983021 LVS983021:LVT983021 LLW983021:LLX983021 LCA983021:LCB983021 KSE983021:KSF983021 KII983021:KIJ983021 JYM983021:JYN983021 JOQ983021:JOR983021 JEU983021:JEV983021 IUY983021:IUZ983021 ILC983021:ILD983021 IBG983021:IBH983021 HRK983021:HRL983021 HHO983021:HHP983021 GXS983021:GXT983021 GNW983021:GNX983021 GEA983021:GEB983021 FUE983021:FUF983021 FKI983021:FKJ983021 FAM983021:FAN983021 EQQ983021:EQR983021 EGU983021:EGV983021 DWY983021:DWZ983021 DNC983021:DND983021 DDG983021:DDH983021 CTK983021:CTL983021 CJO983021:CJP983021 BZS983021:BZT983021 BPW983021:BPX983021 BGA983021:BGB983021 AWE983021:AWF983021 AMI983021:AMJ983021 ACM983021:ACN983021 SQ983021:SR983021 IU983021:IV983021 WVG917485:WVH917485 WLK917485:WLL917485 WBO917485:WBP917485 VRS917485:VRT917485 VHW917485:VHX917485 UYA917485:UYB917485 UOE917485:UOF917485 UEI917485:UEJ917485 TUM917485:TUN917485 TKQ917485:TKR917485 TAU917485:TAV917485 SQY917485:SQZ917485 SHC917485:SHD917485 RXG917485:RXH917485 RNK917485:RNL917485 RDO917485:RDP917485 QTS917485:QTT917485 QJW917485:QJX917485 QAA917485:QAB917485 PQE917485:PQF917485 PGI917485:PGJ917485 OWM917485:OWN917485 OMQ917485:OMR917485 OCU917485:OCV917485 NSY917485:NSZ917485 NJC917485:NJD917485 MZG917485:MZH917485 MPK917485:MPL917485 MFO917485:MFP917485 LVS917485:LVT917485 LLW917485:LLX917485 LCA917485:LCB917485 KSE917485:KSF917485 KII917485:KIJ917485 JYM917485:JYN917485 JOQ917485:JOR917485 JEU917485:JEV917485 IUY917485:IUZ917485 ILC917485:ILD917485 IBG917485:IBH917485 HRK917485:HRL917485 HHO917485:HHP917485 GXS917485:GXT917485 GNW917485:GNX917485 GEA917485:GEB917485 FUE917485:FUF917485 FKI917485:FKJ917485 FAM917485:FAN917485 EQQ917485:EQR917485 EGU917485:EGV917485 DWY917485:DWZ917485 DNC917485:DND917485 DDG917485:DDH917485 CTK917485:CTL917485 CJO917485:CJP917485 BZS917485:BZT917485 BPW917485:BPX917485 BGA917485:BGB917485 AWE917485:AWF917485 AMI917485:AMJ917485 ACM917485:ACN917485 SQ917485:SR917485 IU917485:IV917485 WVG851949:WVH851949 WLK851949:WLL851949 WBO851949:WBP851949 VRS851949:VRT851949 VHW851949:VHX851949 UYA851949:UYB851949 UOE851949:UOF851949 UEI851949:UEJ851949 TUM851949:TUN851949 TKQ851949:TKR851949 TAU851949:TAV851949 SQY851949:SQZ851949 SHC851949:SHD851949 RXG851949:RXH851949 RNK851949:RNL851949 RDO851949:RDP851949 QTS851949:QTT851949 QJW851949:QJX851949 QAA851949:QAB851949 PQE851949:PQF851949 PGI851949:PGJ851949 OWM851949:OWN851949 OMQ851949:OMR851949 OCU851949:OCV851949 NSY851949:NSZ851949 NJC851949:NJD851949 MZG851949:MZH851949 MPK851949:MPL851949 MFO851949:MFP851949 LVS851949:LVT851949 LLW851949:LLX851949 LCA851949:LCB851949 KSE851949:KSF851949 KII851949:KIJ851949 JYM851949:JYN851949 JOQ851949:JOR851949 JEU851949:JEV851949 IUY851949:IUZ851949 ILC851949:ILD851949 IBG851949:IBH851949 HRK851949:HRL851949 HHO851949:HHP851949 GXS851949:GXT851949 GNW851949:GNX851949 GEA851949:GEB851949 FUE851949:FUF851949 FKI851949:FKJ851949 FAM851949:FAN851949 EQQ851949:EQR851949 EGU851949:EGV851949 DWY851949:DWZ851949 DNC851949:DND851949 DDG851949:DDH851949 CTK851949:CTL851949 CJO851949:CJP851949 BZS851949:BZT851949 BPW851949:BPX851949 BGA851949:BGB851949 AWE851949:AWF851949 AMI851949:AMJ851949 ACM851949:ACN851949 SQ851949:SR851949 IU851949:IV851949 WVG786413:WVH786413 WLK786413:WLL786413 WBO786413:WBP786413 VRS786413:VRT786413 VHW786413:VHX786413 UYA786413:UYB786413 UOE786413:UOF786413 UEI786413:UEJ786413 TUM786413:TUN786413 TKQ786413:TKR786413 TAU786413:TAV786413 SQY786413:SQZ786413 SHC786413:SHD786413 RXG786413:RXH786413 RNK786413:RNL786413 RDO786413:RDP786413 QTS786413:QTT786413 QJW786413:QJX786413 QAA786413:QAB786413 PQE786413:PQF786413 PGI786413:PGJ786413 OWM786413:OWN786413 OMQ786413:OMR786413 OCU786413:OCV786413 NSY786413:NSZ786413 NJC786413:NJD786413 MZG786413:MZH786413 MPK786413:MPL786413 MFO786413:MFP786413 LVS786413:LVT786413 LLW786413:LLX786413 LCA786413:LCB786413 KSE786413:KSF786413 KII786413:KIJ786413 JYM786413:JYN786413 JOQ786413:JOR786413 JEU786413:JEV786413 IUY786413:IUZ786413 ILC786413:ILD786413 IBG786413:IBH786413 HRK786413:HRL786413 HHO786413:HHP786413 GXS786413:GXT786413 GNW786413:GNX786413 GEA786413:GEB786413 FUE786413:FUF786413 FKI786413:FKJ786413 FAM786413:FAN786413 EQQ786413:EQR786413 EGU786413:EGV786413 DWY786413:DWZ786413 DNC786413:DND786413 DDG786413:DDH786413 CTK786413:CTL786413 CJO786413:CJP786413 BZS786413:BZT786413 BPW786413:BPX786413 BGA786413:BGB786413 AWE786413:AWF786413 AMI786413:AMJ786413 ACM786413:ACN786413 SQ786413:SR786413 IU786413:IV786413 WVG720877:WVH720877 WLK720877:WLL720877 WBO720877:WBP720877 VRS720877:VRT720877 VHW720877:VHX720877 UYA720877:UYB720877 UOE720877:UOF720877 UEI720877:UEJ720877 TUM720877:TUN720877 TKQ720877:TKR720877 TAU720877:TAV720877 SQY720877:SQZ720877 SHC720877:SHD720877 RXG720877:RXH720877 RNK720877:RNL720877 RDO720877:RDP720877 QTS720877:QTT720877 QJW720877:QJX720877 QAA720877:QAB720877 PQE720877:PQF720877 PGI720877:PGJ720877 OWM720877:OWN720877 OMQ720877:OMR720877 OCU720877:OCV720877 NSY720877:NSZ720877 NJC720877:NJD720877 MZG720877:MZH720877 MPK720877:MPL720877 MFO720877:MFP720877 LVS720877:LVT720877 LLW720877:LLX720877 LCA720877:LCB720877 KSE720877:KSF720877 KII720877:KIJ720877 JYM720877:JYN720877 JOQ720877:JOR720877 JEU720877:JEV720877 IUY720877:IUZ720877 ILC720877:ILD720877 IBG720877:IBH720877 HRK720877:HRL720877 HHO720877:HHP720877 GXS720877:GXT720877 GNW720877:GNX720877 GEA720877:GEB720877 FUE720877:FUF720877 FKI720877:FKJ720877 FAM720877:FAN720877 EQQ720877:EQR720877 EGU720877:EGV720877 DWY720877:DWZ720877 DNC720877:DND720877 DDG720877:DDH720877 CTK720877:CTL720877 CJO720877:CJP720877 BZS720877:BZT720877 BPW720877:BPX720877 BGA720877:BGB720877 AWE720877:AWF720877 AMI720877:AMJ720877 ACM720877:ACN720877 SQ720877:SR720877 IU720877:IV720877 WVG655341:WVH655341 WLK655341:WLL655341 WBO655341:WBP655341 VRS655341:VRT655341 VHW655341:VHX655341 UYA655341:UYB655341 UOE655341:UOF655341 UEI655341:UEJ655341 TUM655341:TUN655341 TKQ655341:TKR655341 TAU655341:TAV655341 SQY655341:SQZ655341 SHC655341:SHD655341 RXG655341:RXH655341 RNK655341:RNL655341 RDO655341:RDP655341 QTS655341:QTT655341 QJW655341:QJX655341 QAA655341:QAB655341 PQE655341:PQF655341 PGI655341:PGJ655341 OWM655341:OWN655341 OMQ655341:OMR655341 OCU655341:OCV655341 NSY655341:NSZ655341 NJC655341:NJD655341 MZG655341:MZH655341 MPK655341:MPL655341 MFO655341:MFP655341 LVS655341:LVT655341 LLW655341:LLX655341 LCA655341:LCB655341 KSE655341:KSF655341 KII655341:KIJ655341 JYM655341:JYN655341 JOQ655341:JOR655341 JEU655341:JEV655341 IUY655341:IUZ655341 ILC655341:ILD655341 IBG655341:IBH655341 HRK655341:HRL655341 HHO655341:HHP655341 GXS655341:GXT655341 GNW655341:GNX655341 GEA655341:GEB655341 FUE655341:FUF655341 FKI655341:FKJ655341 FAM655341:FAN655341 EQQ655341:EQR655341 EGU655341:EGV655341 DWY655341:DWZ655341 DNC655341:DND655341 DDG655341:DDH655341 CTK655341:CTL655341 CJO655341:CJP655341 BZS655341:BZT655341 BPW655341:BPX655341 BGA655341:BGB655341 AWE655341:AWF655341 AMI655341:AMJ655341 ACM655341:ACN655341 SQ655341:SR655341 IU655341:IV655341 WVG589805:WVH589805 WLK589805:WLL589805 WBO589805:WBP589805 VRS589805:VRT589805 VHW589805:VHX589805 UYA589805:UYB589805 UOE589805:UOF589805 UEI589805:UEJ589805 TUM589805:TUN589805 TKQ589805:TKR589805 TAU589805:TAV589805 SQY589805:SQZ589805 SHC589805:SHD589805 RXG589805:RXH589805 RNK589805:RNL589805 RDO589805:RDP589805 QTS589805:QTT589805 QJW589805:QJX589805 QAA589805:QAB589805 PQE589805:PQF589805 PGI589805:PGJ589805 OWM589805:OWN589805 OMQ589805:OMR589805 OCU589805:OCV589805 NSY589805:NSZ589805 NJC589805:NJD589805 MZG589805:MZH589805 MPK589805:MPL589805 MFO589805:MFP589805 LVS589805:LVT589805 LLW589805:LLX589805 LCA589805:LCB589805 KSE589805:KSF589805 KII589805:KIJ589805 JYM589805:JYN589805 JOQ589805:JOR589805 JEU589805:JEV589805 IUY589805:IUZ589805 ILC589805:ILD589805 IBG589805:IBH589805 HRK589805:HRL589805 HHO589805:HHP589805 GXS589805:GXT589805 GNW589805:GNX589805 GEA589805:GEB589805 FUE589805:FUF589805 FKI589805:FKJ589805 FAM589805:FAN589805 EQQ589805:EQR589805 EGU589805:EGV589805 DWY589805:DWZ589805 DNC589805:DND589805 DDG589805:DDH589805 CTK589805:CTL589805 CJO589805:CJP589805 BZS589805:BZT589805 BPW589805:BPX589805 BGA589805:BGB589805 AWE589805:AWF589805 AMI589805:AMJ589805 ACM589805:ACN589805 SQ589805:SR589805 IU589805:IV589805 WVG524269:WVH524269 WLK524269:WLL524269 WBO524269:WBP524269 VRS524269:VRT524269 VHW524269:VHX524269 UYA524269:UYB524269 UOE524269:UOF524269 UEI524269:UEJ524269 TUM524269:TUN524269 TKQ524269:TKR524269 TAU524269:TAV524269 SQY524269:SQZ524269 SHC524269:SHD524269 RXG524269:RXH524269 RNK524269:RNL524269 RDO524269:RDP524269 QTS524269:QTT524269 QJW524269:QJX524269 QAA524269:QAB524269 PQE524269:PQF524269 PGI524269:PGJ524269 OWM524269:OWN524269 OMQ524269:OMR524269 OCU524269:OCV524269 NSY524269:NSZ524269 NJC524269:NJD524269 MZG524269:MZH524269 MPK524269:MPL524269 MFO524269:MFP524269 LVS524269:LVT524269 LLW524269:LLX524269 LCA524269:LCB524269 KSE524269:KSF524269 KII524269:KIJ524269 JYM524269:JYN524269 JOQ524269:JOR524269 JEU524269:JEV524269 IUY524269:IUZ524269 ILC524269:ILD524269 IBG524269:IBH524269 HRK524269:HRL524269 HHO524269:HHP524269 GXS524269:GXT524269 GNW524269:GNX524269 GEA524269:GEB524269 FUE524269:FUF524269 FKI524269:FKJ524269 FAM524269:FAN524269 EQQ524269:EQR524269 EGU524269:EGV524269 DWY524269:DWZ524269 DNC524269:DND524269 DDG524269:DDH524269 CTK524269:CTL524269 CJO524269:CJP524269 BZS524269:BZT524269 BPW524269:BPX524269 BGA524269:BGB524269 AWE524269:AWF524269 AMI524269:AMJ524269 ACM524269:ACN524269 SQ524269:SR524269 IU524269:IV524269 WVG458733:WVH458733 WLK458733:WLL458733 WBO458733:WBP458733 VRS458733:VRT458733 VHW458733:VHX458733 UYA458733:UYB458733 UOE458733:UOF458733 UEI458733:UEJ458733 TUM458733:TUN458733 TKQ458733:TKR458733 TAU458733:TAV458733 SQY458733:SQZ458733 SHC458733:SHD458733 RXG458733:RXH458733 RNK458733:RNL458733 RDO458733:RDP458733 QTS458733:QTT458733 QJW458733:QJX458733 QAA458733:QAB458733 PQE458733:PQF458733 PGI458733:PGJ458733 OWM458733:OWN458733 OMQ458733:OMR458733 OCU458733:OCV458733 NSY458733:NSZ458733 NJC458733:NJD458733 MZG458733:MZH458733 MPK458733:MPL458733 MFO458733:MFP458733 LVS458733:LVT458733 LLW458733:LLX458733 LCA458733:LCB458733 KSE458733:KSF458733 KII458733:KIJ458733 JYM458733:JYN458733 JOQ458733:JOR458733 JEU458733:JEV458733 IUY458733:IUZ458733 ILC458733:ILD458733 IBG458733:IBH458733 HRK458733:HRL458733 HHO458733:HHP458733 GXS458733:GXT458733 GNW458733:GNX458733 GEA458733:GEB458733 FUE458733:FUF458733 FKI458733:FKJ458733 FAM458733:FAN458733 EQQ458733:EQR458733 EGU458733:EGV458733 DWY458733:DWZ458733 DNC458733:DND458733 DDG458733:DDH458733 CTK458733:CTL458733 CJO458733:CJP458733 BZS458733:BZT458733 BPW458733:BPX458733 BGA458733:BGB458733 AWE458733:AWF458733 AMI458733:AMJ458733 ACM458733:ACN458733 SQ458733:SR458733 IU458733:IV458733 WVG393197:WVH393197 WLK393197:WLL393197 WBO393197:WBP393197 VRS393197:VRT393197 VHW393197:VHX393197 UYA393197:UYB393197 UOE393197:UOF393197 UEI393197:UEJ393197 TUM393197:TUN393197 TKQ393197:TKR393197 TAU393197:TAV393197 SQY393197:SQZ393197 SHC393197:SHD393197 RXG393197:RXH393197 RNK393197:RNL393197 RDO393197:RDP393197 QTS393197:QTT393197 QJW393197:QJX393197 QAA393197:QAB393197 PQE393197:PQF393197 PGI393197:PGJ393197 OWM393197:OWN393197 OMQ393197:OMR393197 OCU393197:OCV393197 NSY393197:NSZ393197 NJC393197:NJD393197 MZG393197:MZH393197 MPK393197:MPL393197 MFO393197:MFP393197 LVS393197:LVT393197 LLW393197:LLX393197 LCA393197:LCB393197 KSE393197:KSF393197 KII393197:KIJ393197 JYM393197:JYN393197 JOQ393197:JOR393197 JEU393197:JEV393197 IUY393197:IUZ393197 ILC393197:ILD393197 IBG393197:IBH393197 HRK393197:HRL393197 HHO393197:HHP393197 GXS393197:GXT393197 GNW393197:GNX393197 GEA393197:GEB393197 FUE393197:FUF393197 FKI393197:FKJ393197 FAM393197:FAN393197 EQQ393197:EQR393197 EGU393197:EGV393197 DWY393197:DWZ393197 DNC393197:DND393197 DDG393197:DDH393197 CTK393197:CTL393197 CJO393197:CJP393197 BZS393197:BZT393197 BPW393197:BPX393197 BGA393197:BGB393197 AWE393197:AWF393197 AMI393197:AMJ393197 ACM393197:ACN393197 SQ393197:SR393197 IU393197:IV393197 WVG327661:WVH327661 WLK327661:WLL327661 WBO327661:WBP327661 VRS327661:VRT327661 VHW327661:VHX327661 UYA327661:UYB327661 UOE327661:UOF327661 UEI327661:UEJ327661 TUM327661:TUN327661 TKQ327661:TKR327661 TAU327661:TAV327661 SQY327661:SQZ327661 SHC327661:SHD327661 RXG327661:RXH327661 RNK327661:RNL327661 RDO327661:RDP327661 QTS327661:QTT327661 QJW327661:QJX327661 QAA327661:QAB327661 PQE327661:PQF327661 PGI327661:PGJ327661 OWM327661:OWN327661 OMQ327661:OMR327661 OCU327661:OCV327661 NSY327661:NSZ327661 NJC327661:NJD327661 MZG327661:MZH327661 MPK327661:MPL327661 MFO327661:MFP327661 LVS327661:LVT327661 LLW327661:LLX327661 LCA327661:LCB327661 KSE327661:KSF327661 KII327661:KIJ327661 JYM327661:JYN327661 JOQ327661:JOR327661 JEU327661:JEV327661 IUY327661:IUZ327661 ILC327661:ILD327661 IBG327661:IBH327661 HRK327661:HRL327661 HHO327661:HHP327661 GXS327661:GXT327661 GNW327661:GNX327661 GEA327661:GEB327661 FUE327661:FUF327661 FKI327661:FKJ327661 FAM327661:FAN327661 EQQ327661:EQR327661 EGU327661:EGV327661 DWY327661:DWZ327661 DNC327661:DND327661 DDG327661:DDH327661 CTK327661:CTL327661 CJO327661:CJP327661 BZS327661:BZT327661 BPW327661:BPX327661 BGA327661:BGB327661 AWE327661:AWF327661 AMI327661:AMJ327661 ACM327661:ACN327661 SQ327661:SR327661 IU327661:IV327661 WVG262125:WVH262125 WLK262125:WLL262125 WBO262125:WBP262125 VRS262125:VRT262125 VHW262125:VHX262125 UYA262125:UYB262125 UOE262125:UOF262125 UEI262125:UEJ262125 TUM262125:TUN262125 TKQ262125:TKR262125 TAU262125:TAV262125 SQY262125:SQZ262125 SHC262125:SHD262125 RXG262125:RXH262125 RNK262125:RNL262125 RDO262125:RDP262125 QTS262125:QTT262125 QJW262125:QJX262125 QAA262125:QAB262125 PQE262125:PQF262125 PGI262125:PGJ262125 OWM262125:OWN262125 OMQ262125:OMR262125 OCU262125:OCV262125 NSY262125:NSZ262125 NJC262125:NJD262125 MZG262125:MZH262125 MPK262125:MPL262125 MFO262125:MFP262125 LVS262125:LVT262125 LLW262125:LLX262125 LCA262125:LCB262125 KSE262125:KSF262125 KII262125:KIJ262125 JYM262125:JYN262125 JOQ262125:JOR262125 JEU262125:JEV262125 IUY262125:IUZ262125 ILC262125:ILD262125 IBG262125:IBH262125 HRK262125:HRL262125 HHO262125:HHP262125 GXS262125:GXT262125 GNW262125:GNX262125 GEA262125:GEB262125 FUE262125:FUF262125 FKI262125:FKJ262125 FAM262125:FAN262125 EQQ262125:EQR262125 EGU262125:EGV262125 DWY262125:DWZ262125 DNC262125:DND262125 DDG262125:DDH262125 CTK262125:CTL262125 CJO262125:CJP262125 BZS262125:BZT262125 BPW262125:BPX262125 BGA262125:BGB262125 AWE262125:AWF262125 AMI262125:AMJ262125 ACM262125:ACN262125 SQ262125:SR262125 IU262125:IV262125 WVG196589:WVH196589 WLK196589:WLL196589 WBO196589:WBP196589 VRS196589:VRT196589 VHW196589:VHX196589 UYA196589:UYB196589 UOE196589:UOF196589 UEI196589:UEJ196589 TUM196589:TUN196589 TKQ196589:TKR196589 TAU196589:TAV196589 SQY196589:SQZ196589 SHC196589:SHD196589 RXG196589:RXH196589 RNK196589:RNL196589 RDO196589:RDP196589 QTS196589:QTT196589 QJW196589:QJX196589 QAA196589:QAB196589 PQE196589:PQF196589 PGI196589:PGJ196589 OWM196589:OWN196589 OMQ196589:OMR196589 OCU196589:OCV196589 NSY196589:NSZ196589 NJC196589:NJD196589 MZG196589:MZH196589 MPK196589:MPL196589 MFO196589:MFP196589 LVS196589:LVT196589 LLW196589:LLX196589 LCA196589:LCB196589 KSE196589:KSF196589 KII196589:KIJ196589 JYM196589:JYN196589 JOQ196589:JOR196589 JEU196589:JEV196589 IUY196589:IUZ196589 ILC196589:ILD196589 IBG196589:IBH196589 HRK196589:HRL196589 HHO196589:HHP196589 GXS196589:GXT196589 GNW196589:GNX196589 GEA196589:GEB196589 FUE196589:FUF196589 FKI196589:FKJ196589 FAM196589:FAN196589 EQQ196589:EQR196589 EGU196589:EGV196589 DWY196589:DWZ196589 DNC196589:DND196589 DDG196589:DDH196589 CTK196589:CTL196589 CJO196589:CJP196589 BZS196589:BZT196589 BPW196589:BPX196589 BGA196589:BGB196589 AWE196589:AWF196589 AMI196589:AMJ196589 ACM196589:ACN196589 SQ196589:SR196589 IU196589:IV196589 WVG131053:WVH131053 WLK131053:WLL131053 WBO131053:WBP131053 VRS131053:VRT131053 VHW131053:VHX131053 UYA131053:UYB131053 UOE131053:UOF131053 UEI131053:UEJ131053 TUM131053:TUN131053 TKQ131053:TKR131053 TAU131053:TAV131053 SQY131053:SQZ131053 SHC131053:SHD131053 RXG131053:RXH131053 RNK131053:RNL131053 RDO131053:RDP131053 QTS131053:QTT131053 QJW131053:QJX131053 QAA131053:QAB131053 PQE131053:PQF131053 PGI131053:PGJ131053 OWM131053:OWN131053 OMQ131053:OMR131053 OCU131053:OCV131053 NSY131053:NSZ131053 NJC131053:NJD131053 MZG131053:MZH131053 MPK131053:MPL131053 MFO131053:MFP131053 LVS131053:LVT131053 LLW131053:LLX131053 LCA131053:LCB131053 KSE131053:KSF131053 KII131053:KIJ131053 JYM131053:JYN131053 JOQ131053:JOR131053 JEU131053:JEV131053 IUY131053:IUZ131053 ILC131053:ILD131053 IBG131053:IBH131053 HRK131053:HRL131053 HHO131053:HHP131053 GXS131053:GXT131053 GNW131053:GNX131053 GEA131053:GEB131053 FUE131053:FUF131053 FKI131053:FKJ131053 FAM131053:FAN131053 EQQ131053:EQR131053 EGU131053:EGV131053 DWY131053:DWZ131053 DNC131053:DND131053 DDG131053:DDH131053 CTK131053:CTL131053 CJO131053:CJP131053 BZS131053:BZT131053 BPW131053:BPX131053 BGA131053:BGB131053 AWE131053:AWF131053 AMI131053:AMJ131053 ACM131053:ACN131053 SQ131053:SR131053 IU131053:IV131053 WVG65517:WVH65517 WLK65517:WLL65517 WBO65517:WBP65517 VRS65517:VRT65517 VHW65517:VHX65517 UYA65517:UYB65517 UOE65517:UOF65517 UEI65517:UEJ65517 TUM65517:TUN65517 TKQ65517:TKR65517 TAU65517:TAV65517 SQY65517:SQZ65517 SHC65517:SHD65517 RXG65517:RXH65517 RNK65517:RNL65517 RDO65517:RDP65517 QTS65517:QTT65517 QJW65517:QJX65517 QAA65517:QAB65517 PQE65517:PQF65517 PGI65517:PGJ65517 OWM65517:OWN65517 OMQ65517:OMR65517 OCU65517:OCV65517 NSY65517:NSZ65517 NJC65517:NJD65517 MZG65517:MZH65517 MPK65517:MPL65517 MFO65517:MFP65517 LVS65517:LVT65517 LLW65517:LLX65517 LCA65517:LCB65517 KSE65517:KSF65517 KII65517:KIJ65517 JYM65517:JYN65517 JOQ65517:JOR65517 JEU65517:JEV65517 IUY65517:IUZ65517 ILC65517:ILD65517 IBG65517:IBH65517 HRK65517:HRL65517 HHO65517:HHP65517 GXS65517:GXT65517 GNW65517:GNX65517 GEA65517:GEB65517 FUE65517:FUF65517 FKI65517:FKJ65517 FAM65517:FAN65517 EQQ65517:EQR65517 EGU65517:EGV65517 DWY65517:DWZ65517 DNC65517:DND65517 DDG65517:DDH65517 CTK65517:CTL65517 CJO65517:CJP65517 BZS65517:BZT65517 BPW65517:BPX65517 BGA65517:BGB65517 AWE65517:AWF65517 AMI65517:AMJ65517 ACM65517:ACN65517 SQ65517:SR65517 IU65517:IV65517 C983021:D983021 C917485:D917485 C851949:D851949 C786413:D786413 C720877:D720877 C655341:D655341 C589805:D589805 C524269:D524269 C458733:D458733 C393197:D393197 C327661:D327661 C262125:D262125 C196589:D196589 C131053:D131053 C65517:D65517 SQ7:SR7 ACM7:ACN7 AMI7:AMJ7 AWE7:AWF7 BGA7:BGB7 BPW7:BPX7 BZS7:BZT7 CJO7:CJP7 CTK7:CTL7 DDG7:DDH7 DNC7:DND7 DWY7:DWZ7 EGU7:EGV7 EQQ7:EQR7 FAM7:FAN7 FKI7:FKJ7 FUE7:FUF7 GEA7:GEB7 GNW7:GNX7 GXS7:GXT7 HHO7:HHP7 HRK7:HRL7 IBG7:IBH7 ILC7:ILD7 IUY7:IUZ7 JEU7:JEV7 JOQ7:JOR7 JYM7:JYN7 KII7:KIJ7 KSE7:KSF7 LCA7:LCB7 LLW7:LLX7 LVS7:LVT7 MFO7:MFP7 MPK7:MPL7 MZG7:MZH7 NJC7:NJD7 NSY7:NSZ7 OCU7:OCV7 OMQ7:OMR7 OWM7:OWN7 PGI7:PGJ7 PQE7:PQF7 QAA7:QAB7 QJW7:QJX7 QTS7:QTT7 RDO7:RDP7 RNK7:RNL7 RXG7:RXH7 SHC7:SHD7 SQY7:SQZ7 TAU7:TAV7 TKQ7:TKR7 TUM7:TUN7 UEI7:UEJ7 UOE7:UOF7 UYA7:UYB7 VHW7:VHX7 VRS7:VRT7 WBO7:WBP7 WLK7:WLL7 WVG7:WVH7 IU7:IV7">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K123"/>
  <sheetViews>
    <sheetView workbookViewId="0"/>
  </sheetViews>
  <sheetFormatPr defaultRowHeight="15"/>
  <cols>
    <col min="1" max="1" width="22.28515625" style="6" customWidth="1"/>
    <col min="2" max="2" width="13.5703125" style="6" customWidth="1"/>
    <col min="3" max="3" width="15.140625" style="6" customWidth="1"/>
    <col min="4" max="4" width="12.85546875" style="6" customWidth="1"/>
    <col min="5" max="5" width="12.28515625" style="6" customWidth="1"/>
    <col min="6" max="6" width="12.42578125" style="6" customWidth="1"/>
    <col min="7" max="7" width="11.7109375" style="6" customWidth="1"/>
    <col min="8" max="10" width="14.5703125" style="6" customWidth="1"/>
    <col min="11" max="11" width="13.42578125" style="6" customWidth="1"/>
    <col min="12" max="253" width="9.140625" style="6"/>
    <col min="254" max="254" width="18.28515625" style="6" customWidth="1"/>
    <col min="255" max="255" width="13.5703125" style="6" customWidth="1"/>
    <col min="256" max="256" width="15.140625" style="6" customWidth="1"/>
    <col min="257" max="257" width="12.85546875" style="6" customWidth="1"/>
    <col min="258" max="258" width="12.28515625" style="6" customWidth="1"/>
    <col min="259" max="259" width="12.42578125" style="6" customWidth="1"/>
    <col min="260" max="260" width="11.7109375" style="6" customWidth="1"/>
    <col min="261" max="263" width="14.5703125" style="6" customWidth="1"/>
    <col min="264" max="264" width="13.42578125" style="6" customWidth="1"/>
    <col min="265" max="509" width="9.140625" style="6"/>
    <col min="510" max="510" width="18.28515625" style="6" customWidth="1"/>
    <col min="511" max="511" width="13.5703125" style="6" customWidth="1"/>
    <col min="512" max="512" width="15.140625" style="6" customWidth="1"/>
    <col min="513" max="513" width="12.85546875" style="6" customWidth="1"/>
    <col min="514" max="514" width="12.28515625" style="6" customWidth="1"/>
    <col min="515" max="515" width="12.42578125" style="6" customWidth="1"/>
    <col min="516" max="516" width="11.7109375" style="6" customWidth="1"/>
    <col min="517" max="519" width="14.5703125" style="6" customWidth="1"/>
    <col min="520" max="520" width="13.42578125" style="6" customWidth="1"/>
    <col min="521" max="765" width="9.140625" style="6"/>
    <col min="766" max="766" width="18.28515625" style="6" customWidth="1"/>
    <col min="767" max="767" width="13.5703125" style="6" customWidth="1"/>
    <col min="768" max="768" width="15.140625" style="6" customWidth="1"/>
    <col min="769" max="769" width="12.85546875" style="6" customWidth="1"/>
    <col min="770" max="770" width="12.28515625" style="6" customWidth="1"/>
    <col min="771" max="771" width="12.42578125" style="6" customWidth="1"/>
    <col min="772" max="772" width="11.7109375" style="6" customWidth="1"/>
    <col min="773" max="775" width="14.5703125" style="6" customWidth="1"/>
    <col min="776" max="776" width="13.42578125" style="6" customWidth="1"/>
    <col min="777" max="1021" width="9.140625" style="6"/>
    <col min="1022" max="1022" width="18.28515625" style="6" customWidth="1"/>
    <col min="1023" max="1023" width="13.5703125" style="6" customWidth="1"/>
    <col min="1024" max="1024" width="15.140625" style="6" customWidth="1"/>
    <col min="1025" max="1025" width="12.85546875" style="6" customWidth="1"/>
    <col min="1026" max="1026" width="12.28515625" style="6" customWidth="1"/>
    <col min="1027" max="1027" width="12.42578125" style="6" customWidth="1"/>
    <col min="1028" max="1028" width="11.7109375" style="6" customWidth="1"/>
    <col min="1029" max="1031" width="14.5703125" style="6" customWidth="1"/>
    <col min="1032" max="1032" width="13.42578125" style="6" customWidth="1"/>
    <col min="1033" max="1277" width="9.140625" style="6"/>
    <col min="1278" max="1278" width="18.28515625" style="6" customWidth="1"/>
    <col min="1279" max="1279" width="13.5703125" style="6" customWidth="1"/>
    <col min="1280" max="1280" width="15.140625" style="6" customWidth="1"/>
    <col min="1281" max="1281" width="12.85546875" style="6" customWidth="1"/>
    <col min="1282" max="1282" width="12.28515625" style="6" customWidth="1"/>
    <col min="1283" max="1283" width="12.42578125" style="6" customWidth="1"/>
    <col min="1284" max="1284" width="11.7109375" style="6" customWidth="1"/>
    <col min="1285" max="1287" width="14.5703125" style="6" customWidth="1"/>
    <col min="1288" max="1288" width="13.42578125" style="6" customWidth="1"/>
    <col min="1289" max="1533" width="9.140625" style="6"/>
    <col min="1534" max="1534" width="18.28515625" style="6" customWidth="1"/>
    <col min="1535" max="1535" width="13.5703125" style="6" customWidth="1"/>
    <col min="1536" max="1536" width="15.140625" style="6" customWidth="1"/>
    <col min="1537" max="1537" width="12.85546875" style="6" customWidth="1"/>
    <col min="1538" max="1538" width="12.28515625" style="6" customWidth="1"/>
    <col min="1539" max="1539" width="12.42578125" style="6" customWidth="1"/>
    <col min="1540" max="1540" width="11.7109375" style="6" customWidth="1"/>
    <col min="1541" max="1543" width="14.5703125" style="6" customWidth="1"/>
    <col min="1544" max="1544" width="13.42578125" style="6" customWidth="1"/>
    <col min="1545" max="1789" width="9.140625" style="6"/>
    <col min="1790" max="1790" width="18.28515625" style="6" customWidth="1"/>
    <col min="1791" max="1791" width="13.5703125" style="6" customWidth="1"/>
    <col min="1792" max="1792" width="15.140625" style="6" customWidth="1"/>
    <col min="1793" max="1793" width="12.85546875" style="6" customWidth="1"/>
    <col min="1794" max="1794" width="12.28515625" style="6" customWidth="1"/>
    <col min="1795" max="1795" width="12.42578125" style="6" customWidth="1"/>
    <col min="1796" max="1796" width="11.7109375" style="6" customWidth="1"/>
    <col min="1797" max="1799" width="14.5703125" style="6" customWidth="1"/>
    <col min="1800" max="1800" width="13.42578125" style="6" customWidth="1"/>
    <col min="1801" max="2045" width="9.140625" style="6"/>
    <col min="2046" max="2046" width="18.28515625" style="6" customWidth="1"/>
    <col min="2047" max="2047" width="13.5703125" style="6" customWidth="1"/>
    <col min="2048" max="2048" width="15.140625" style="6" customWidth="1"/>
    <col min="2049" max="2049" width="12.85546875" style="6" customWidth="1"/>
    <col min="2050" max="2050" width="12.28515625" style="6" customWidth="1"/>
    <col min="2051" max="2051" width="12.42578125" style="6" customWidth="1"/>
    <col min="2052" max="2052" width="11.7109375" style="6" customWidth="1"/>
    <col min="2053" max="2055" width="14.5703125" style="6" customWidth="1"/>
    <col min="2056" max="2056" width="13.42578125" style="6" customWidth="1"/>
    <col min="2057" max="2301" width="9.140625" style="6"/>
    <col min="2302" max="2302" width="18.28515625" style="6" customWidth="1"/>
    <col min="2303" max="2303" width="13.5703125" style="6" customWidth="1"/>
    <col min="2304" max="2304" width="15.140625" style="6" customWidth="1"/>
    <col min="2305" max="2305" width="12.85546875" style="6" customWidth="1"/>
    <col min="2306" max="2306" width="12.28515625" style="6" customWidth="1"/>
    <col min="2307" max="2307" width="12.42578125" style="6" customWidth="1"/>
    <col min="2308" max="2308" width="11.7109375" style="6" customWidth="1"/>
    <col min="2309" max="2311" width="14.5703125" style="6" customWidth="1"/>
    <col min="2312" max="2312" width="13.42578125" style="6" customWidth="1"/>
    <col min="2313" max="2557" width="9.140625" style="6"/>
    <col min="2558" max="2558" width="18.28515625" style="6" customWidth="1"/>
    <col min="2559" max="2559" width="13.5703125" style="6" customWidth="1"/>
    <col min="2560" max="2560" width="15.140625" style="6" customWidth="1"/>
    <col min="2561" max="2561" width="12.85546875" style="6" customWidth="1"/>
    <col min="2562" max="2562" width="12.28515625" style="6" customWidth="1"/>
    <col min="2563" max="2563" width="12.42578125" style="6" customWidth="1"/>
    <col min="2564" max="2564" width="11.7109375" style="6" customWidth="1"/>
    <col min="2565" max="2567" width="14.5703125" style="6" customWidth="1"/>
    <col min="2568" max="2568" width="13.42578125" style="6" customWidth="1"/>
    <col min="2569" max="2813" width="9.140625" style="6"/>
    <col min="2814" max="2814" width="18.28515625" style="6" customWidth="1"/>
    <col min="2815" max="2815" width="13.5703125" style="6" customWidth="1"/>
    <col min="2816" max="2816" width="15.140625" style="6" customWidth="1"/>
    <col min="2817" max="2817" width="12.85546875" style="6" customWidth="1"/>
    <col min="2818" max="2818" width="12.28515625" style="6" customWidth="1"/>
    <col min="2819" max="2819" width="12.42578125" style="6" customWidth="1"/>
    <col min="2820" max="2820" width="11.7109375" style="6" customWidth="1"/>
    <col min="2821" max="2823" width="14.5703125" style="6" customWidth="1"/>
    <col min="2824" max="2824" width="13.42578125" style="6" customWidth="1"/>
    <col min="2825" max="3069" width="9.140625" style="6"/>
    <col min="3070" max="3070" width="18.28515625" style="6" customWidth="1"/>
    <col min="3071" max="3071" width="13.5703125" style="6" customWidth="1"/>
    <col min="3072" max="3072" width="15.140625" style="6" customWidth="1"/>
    <col min="3073" max="3073" width="12.85546875" style="6" customWidth="1"/>
    <col min="3074" max="3074" width="12.28515625" style="6" customWidth="1"/>
    <col min="3075" max="3075" width="12.42578125" style="6" customWidth="1"/>
    <col min="3076" max="3076" width="11.7109375" style="6" customWidth="1"/>
    <col min="3077" max="3079" width="14.5703125" style="6" customWidth="1"/>
    <col min="3080" max="3080" width="13.42578125" style="6" customWidth="1"/>
    <col min="3081" max="3325" width="9.140625" style="6"/>
    <col min="3326" max="3326" width="18.28515625" style="6" customWidth="1"/>
    <col min="3327" max="3327" width="13.5703125" style="6" customWidth="1"/>
    <col min="3328" max="3328" width="15.140625" style="6" customWidth="1"/>
    <col min="3329" max="3329" width="12.85546875" style="6" customWidth="1"/>
    <col min="3330" max="3330" width="12.28515625" style="6" customWidth="1"/>
    <col min="3331" max="3331" width="12.42578125" style="6" customWidth="1"/>
    <col min="3332" max="3332" width="11.7109375" style="6" customWidth="1"/>
    <col min="3333" max="3335" width="14.5703125" style="6" customWidth="1"/>
    <col min="3336" max="3336" width="13.42578125" style="6" customWidth="1"/>
    <col min="3337" max="3581" width="9.140625" style="6"/>
    <col min="3582" max="3582" width="18.28515625" style="6" customWidth="1"/>
    <col min="3583" max="3583" width="13.5703125" style="6" customWidth="1"/>
    <col min="3584" max="3584" width="15.140625" style="6" customWidth="1"/>
    <col min="3585" max="3585" width="12.85546875" style="6" customWidth="1"/>
    <col min="3586" max="3586" width="12.28515625" style="6" customWidth="1"/>
    <col min="3587" max="3587" width="12.42578125" style="6" customWidth="1"/>
    <col min="3588" max="3588" width="11.7109375" style="6" customWidth="1"/>
    <col min="3589" max="3591" width="14.5703125" style="6" customWidth="1"/>
    <col min="3592" max="3592" width="13.42578125" style="6" customWidth="1"/>
    <col min="3593" max="3837" width="9.140625" style="6"/>
    <col min="3838" max="3838" width="18.28515625" style="6" customWidth="1"/>
    <col min="3839" max="3839" width="13.5703125" style="6" customWidth="1"/>
    <col min="3840" max="3840" width="15.140625" style="6" customWidth="1"/>
    <col min="3841" max="3841" width="12.85546875" style="6" customWidth="1"/>
    <col min="3842" max="3842" width="12.28515625" style="6" customWidth="1"/>
    <col min="3843" max="3843" width="12.42578125" style="6" customWidth="1"/>
    <col min="3844" max="3844" width="11.7109375" style="6" customWidth="1"/>
    <col min="3845" max="3847" width="14.5703125" style="6" customWidth="1"/>
    <col min="3848" max="3848" width="13.42578125" style="6" customWidth="1"/>
    <col min="3849" max="4093" width="9.140625" style="6"/>
    <col min="4094" max="4094" width="18.28515625" style="6" customWidth="1"/>
    <col min="4095" max="4095" width="13.5703125" style="6" customWidth="1"/>
    <col min="4096" max="4096" width="15.140625" style="6" customWidth="1"/>
    <col min="4097" max="4097" width="12.85546875" style="6" customWidth="1"/>
    <col min="4098" max="4098" width="12.28515625" style="6" customWidth="1"/>
    <col min="4099" max="4099" width="12.42578125" style="6" customWidth="1"/>
    <col min="4100" max="4100" width="11.7109375" style="6" customWidth="1"/>
    <col min="4101" max="4103" width="14.5703125" style="6" customWidth="1"/>
    <col min="4104" max="4104" width="13.42578125" style="6" customWidth="1"/>
    <col min="4105" max="4349" width="9.140625" style="6"/>
    <col min="4350" max="4350" width="18.28515625" style="6" customWidth="1"/>
    <col min="4351" max="4351" width="13.5703125" style="6" customWidth="1"/>
    <col min="4352" max="4352" width="15.140625" style="6" customWidth="1"/>
    <col min="4353" max="4353" width="12.85546875" style="6" customWidth="1"/>
    <col min="4354" max="4354" width="12.28515625" style="6" customWidth="1"/>
    <col min="4355" max="4355" width="12.42578125" style="6" customWidth="1"/>
    <col min="4356" max="4356" width="11.7109375" style="6" customWidth="1"/>
    <col min="4357" max="4359" width="14.5703125" style="6" customWidth="1"/>
    <col min="4360" max="4360" width="13.42578125" style="6" customWidth="1"/>
    <col min="4361" max="4605" width="9.140625" style="6"/>
    <col min="4606" max="4606" width="18.28515625" style="6" customWidth="1"/>
    <col min="4607" max="4607" width="13.5703125" style="6" customWidth="1"/>
    <col min="4608" max="4608" width="15.140625" style="6" customWidth="1"/>
    <col min="4609" max="4609" width="12.85546875" style="6" customWidth="1"/>
    <col min="4610" max="4610" width="12.28515625" style="6" customWidth="1"/>
    <col min="4611" max="4611" width="12.42578125" style="6" customWidth="1"/>
    <col min="4612" max="4612" width="11.7109375" style="6" customWidth="1"/>
    <col min="4613" max="4615" width="14.5703125" style="6" customWidth="1"/>
    <col min="4616" max="4616" width="13.42578125" style="6" customWidth="1"/>
    <col min="4617" max="4861" width="9.140625" style="6"/>
    <col min="4862" max="4862" width="18.28515625" style="6" customWidth="1"/>
    <col min="4863" max="4863" width="13.5703125" style="6" customWidth="1"/>
    <col min="4864" max="4864" width="15.140625" style="6" customWidth="1"/>
    <col min="4865" max="4865" width="12.85546875" style="6" customWidth="1"/>
    <col min="4866" max="4866" width="12.28515625" style="6" customWidth="1"/>
    <col min="4867" max="4867" width="12.42578125" style="6" customWidth="1"/>
    <col min="4868" max="4868" width="11.7109375" style="6" customWidth="1"/>
    <col min="4869" max="4871" width="14.5703125" style="6" customWidth="1"/>
    <col min="4872" max="4872" width="13.42578125" style="6" customWidth="1"/>
    <col min="4873" max="5117" width="9.140625" style="6"/>
    <col min="5118" max="5118" width="18.28515625" style="6" customWidth="1"/>
    <col min="5119" max="5119" width="13.5703125" style="6" customWidth="1"/>
    <col min="5120" max="5120" width="15.140625" style="6" customWidth="1"/>
    <col min="5121" max="5121" width="12.85546875" style="6" customWidth="1"/>
    <col min="5122" max="5122" width="12.28515625" style="6" customWidth="1"/>
    <col min="5123" max="5123" width="12.42578125" style="6" customWidth="1"/>
    <col min="5124" max="5124" width="11.7109375" style="6" customWidth="1"/>
    <col min="5125" max="5127" width="14.5703125" style="6" customWidth="1"/>
    <col min="5128" max="5128" width="13.42578125" style="6" customWidth="1"/>
    <col min="5129" max="5373" width="9.140625" style="6"/>
    <col min="5374" max="5374" width="18.28515625" style="6" customWidth="1"/>
    <col min="5375" max="5375" width="13.5703125" style="6" customWidth="1"/>
    <col min="5376" max="5376" width="15.140625" style="6" customWidth="1"/>
    <col min="5377" max="5377" width="12.85546875" style="6" customWidth="1"/>
    <col min="5378" max="5378" width="12.28515625" style="6" customWidth="1"/>
    <col min="5379" max="5379" width="12.42578125" style="6" customWidth="1"/>
    <col min="5380" max="5380" width="11.7109375" style="6" customWidth="1"/>
    <col min="5381" max="5383" width="14.5703125" style="6" customWidth="1"/>
    <col min="5384" max="5384" width="13.42578125" style="6" customWidth="1"/>
    <col min="5385" max="5629" width="9.140625" style="6"/>
    <col min="5630" max="5630" width="18.28515625" style="6" customWidth="1"/>
    <col min="5631" max="5631" width="13.5703125" style="6" customWidth="1"/>
    <col min="5632" max="5632" width="15.140625" style="6" customWidth="1"/>
    <col min="5633" max="5633" width="12.85546875" style="6" customWidth="1"/>
    <col min="5634" max="5634" width="12.28515625" style="6" customWidth="1"/>
    <col min="5635" max="5635" width="12.42578125" style="6" customWidth="1"/>
    <col min="5636" max="5636" width="11.7109375" style="6" customWidth="1"/>
    <col min="5637" max="5639" width="14.5703125" style="6" customWidth="1"/>
    <col min="5640" max="5640" width="13.42578125" style="6" customWidth="1"/>
    <col min="5641" max="5885" width="9.140625" style="6"/>
    <col min="5886" max="5886" width="18.28515625" style="6" customWidth="1"/>
    <col min="5887" max="5887" width="13.5703125" style="6" customWidth="1"/>
    <col min="5888" max="5888" width="15.140625" style="6" customWidth="1"/>
    <col min="5889" max="5889" width="12.85546875" style="6" customWidth="1"/>
    <col min="5890" max="5890" width="12.28515625" style="6" customWidth="1"/>
    <col min="5891" max="5891" width="12.42578125" style="6" customWidth="1"/>
    <col min="5892" max="5892" width="11.7109375" style="6" customWidth="1"/>
    <col min="5893" max="5895" width="14.5703125" style="6" customWidth="1"/>
    <col min="5896" max="5896" width="13.42578125" style="6" customWidth="1"/>
    <col min="5897" max="6141" width="9.140625" style="6"/>
    <col min="6142" max="6142" width="18.28515625" style="6" customWidth="1"/>
    <col min="6143" max="6143" width="13.5703125" style="6" customWidth="1"/>
    <col min="6144" max="6144" width="15.140625" style="6" customWidth="1"/>
    <col min="6145" max="6145" width="12.85546875" style="6" customWidth="1"/>
    <col min="6146" max="6146" width="12.28515625" style="6" customWidth="1"/>
    <col min="6147" max="6147" width="12.42578125" style="6" customWidth="1"/>
    <col min="6148" max="6148" width="11.7109375" style="6" customWidth="1"/>
    <col min="6149" max="6151" width="14.5703125" style="6" customWidth="1"/>
    <col min="6152" max="6152" width="13.42578125" style="6" customWidth="1"/>
    <col min="6153" max="6397" width="9.140625" style="6"/>
    <col min="6398" max="6398" width="18.28515625" style="6" customWidth="1"/>
    <col min="6399" max="6399" width="13.5703125" style="6" customWidth="1"/>
    <col min="6400" max="6400" width="15.140625" style="6" customWidth="1"/>
    <col min="6401" max="6401" width="12.85546875" style="6" customWidth="1"/>
    <col min="6402" max="6402" width="12.28515625" style="6" customWidth="1"/>
    <col min="6403" max="6403" width="12.42578125" style="6" customWidth="1"/>
    <col min="6404" max="6404" width="11.7109375" style="6" customWidth="1"/>
    <col min="6405" max="6407" width="14.5703125" style="6" customWidth="1"/>
    <col min="6408" max="6408" width="13.42578125" style="6" customWidth="1"/>
    <col min="6409" max="6653" width="9.140625" style="6"/>
    <col min="6654" max="6654" width="18.28515625" style="6" customWidth="1"/>
    <col min="6655" max="6655" width="13.5703125" style="6" customWidth="1"/>
    <col min="6656" max="6656" width="15.140625" style="6" customWidth="1"/>
    <col min="6657" max="6657" width="12.85546875" style="6" customWidth="1"/>
    <col min="6658" max="6658" width="12.28515625" style="6" customWidth="1"/>
    <col min="6659" max="6659" width="12.42578125" style="6" customWidth="1"/>
    <col min="6660" max="6660" width="11.7109375" style="6" customWidth="1"/>
    <col min="6661" max="6663" width="14.5703125" style="6" customWidth="1"/>
    <col min="6664" max="6664" width="13.42578125" style="6" customWidth="1"/>
    <col min="6665" max="6909" width="9.140625" style="6"/>
    <col min="6910" max="6910" width="18.28515625" style="6" customWidth="1"/>
    <col min="6911" max="6911" width="13.5703125" style="6" customWidth="1"/>
    <col min="6912" max="6912" width="15.140625" style="6" customWidth="1"/>
    <col min="6913" max="6913" width="12.85546875" style="6" customWidth="1"/>
    <col min="6914" max="6914" width="12.28515625" style="6" customWidth="1"/>
    <col min="6915" max="6915" width="12.42578125" style="6" customWidth="1"/>
    <col min="6916" max="6916" width="11.7109375" style="6" customWidth="1"/>
    <col min="6917" max="6919" width="14.5703125" style="6" customWidth="1"/>
    <col min="6920" max="6920" width="13.42578125" style="6" customWidth="1"/>
    <col min="6921" max="7165" width="9.140625" style="6"/>
    <col min="7166" max="7166" width="18.28515625" style="6" customWidth="1"/>
    <col min="7167" max="7167" width="13.5703125" style="6" customWidth="1"/>
    <col min="7168" max="7168" width="15.140625" style="6" customWidth="1"/>
    <col min="7169" max="7169" width="12.85546875" style="6" customWidth="1"/>
    <col min="7170" max="7170" width="12.28515625" style="6" customWidth="1"/>
    <col min="7171" max="7171" width="12.42578125" style="6" customWidth="1"/>
    <col min="7172" max="7172" width="11.7109375" style="6" customWidth="1"/>
    <col min="7173" max="7175" width="14.5703125" style="6" customWidth="1"/>
    <col min="7176" max="7176" width="13.42578125" style="6" customWidth="1"/>
    <col min="7177" max="7421" width="9.140625" style="6"/>
    <col min="7422" max="7422" width="18.28515625" style="6" customWidth="1"/>
    <col min="7423" max="7423" width="13.5703125" style="6" customWidth="1"/>
    <col min="7424" max="7424" width="15.140625" style="6" customWidth="1"/>
    <col min="7425" max="7425" width="12.85546875" style="6" customWidth="1"/>
    <col min="7426" max="7426" width="12.28515625" style="6" customWidth="1"/>
    <col min="7427" max="7427" width="12.42578125" style="6" customWidth="1"/>
    <col min="7428" max="7428" width="11.7109375" style="6" customWidth="1"/>
    <col min="7429" max="7431" width="14.5703125" style="6" customWidth="1"/>
    <col min="7432" max="7432" width="13.42578125" style="6" customWidth="1"/>
    <col min="7433" max="7677" width="9.140625" style="6"/>
    <col min="7678" max="7678" width="18.28515625" style="6" customWidth="1"/>
    <col min="7679" max="7679" width="13.5703125" style="6" customWidth="1"/>
    <col min="7680" max="7680" width="15.140625" style="6" customWidth="1"/>
    <col min="7681" max="7681" width="12.85546875" style="6" customWidth="1"/>
    <col min="7682" max="7682" width="12.28515625" style="6" customWidth="1"/>
    <col min="7683" max="7683" width="12.42578125" style="6" customWidth="1"/>
    <col min="7684" max="7684" width="11.7109375" style="6" customWidth="1"/>
    <col min="7685" max="7687" width="14.5703125" style="6" customWidth="1"/>
    <col min="7688" max="7688" width="13.42578125" style="6" customWidth="1"/>
    <col min="7689" max="7933" width="9.140625" style="6"/>
    <col min="7934" max="7934" width="18.28515625" style="6" customWidth="1"/>
    <col min="7935" max="7935" width="13.5703125" style="6" customWidth="1"/>
    <col min="7936" max="7936" width="15.140625" style="6" customWidth="1"/>
    <col min="7937" max="7937" width="12.85546875" style="6" customWidth="1"/>
    <col min="7938" max="7938" width="12.28515625" style="6" customWidth="1"/>
    <col min="7939" max="7939" width="12.42578125" style="6" customWidth="1"/>
    <col min="7940" max="7940" width="11.7109375" style="6" customWidth="1"/>
    <col min="7941" max="7943" width="14.5703125" style="6" customWidth="1"/>
    <col min="7944" max="7944" width="13.42578125" style="6" customWidth="1"/>
    <col min="7945" max="8189" width="9.140625" style="6"/>
    <col min="8190" max="8190" width="18.28515625" style="6" customWidth="1"/>
    <col min="8191" max="8191" width="13.5703125" style="6" customWidth="1"/>
    <col min="8192" max="8192" width="15.140625" style="6" customWidth="1"/>
    <col min="8193" max="8193" width="12.85546875" style="6" customWidth="1"/>
    <col min="8194" max="8194" width="12.28515625" style="6" customWidth="1"/>
    <col min="8195" max="8195" width="12.42578125" style="6" customWidth="1"/>
    <col min="8196" max="8196" width="11.7109375" style="6" customWidth="1"/>
    <col min="8197" max="8199" width="14.5703125" style="6" customWidth="1"/>
    <col min="8200" max="8200" width="13.42578125" style="6" customWidth="1"/>
    <col min="8201" max="8445" width="9.140625" style="6"/>
    <col min="8446" max="8446" width="18.28515625" style="6" customWidth="1"/>
    <col min="8447" max="8447" width="13.5703125" style="6" customWidth="1"/>
    <col min="8448" max="8448" width="15.140625" style="6" customWidth="1"/>
    <col min="8449" max="8449" width="12.85546875" style="6" customWidth="1"/>
    <col min="8450" max="8450" width="12.28515625" style="6" customWidth="1"/>
    <col min="8451" max="8451" width="12.42578125" style="6" customWidth="1"/>
    <col min="8452" max="8452" width="11.7109375" style="6" customWidth="1"/>
    <col min="8453" max="8455" width="14.5703125" style="6" customWidth="1"/>
    <col min="8456" max="8456" width="13.42578125" style="6" customWidth="1"/>
    <col min="8457" max="8701" width="9.140625" style="6"/>
    <col min="8702" max="8702" width="18.28515625" style="6" customWidth="1"/>
    <col min="8703" max="8703" width="13.5703125" style="6" customWidth="1"/>
    <col min="8704" max="8704" width="15.140625" style="6" customWidth="1"/>
    <col min="8705" max="8705" width="12.85546875" style="6" customWidth="1"/>
    <col min="8706" max="8706" width="12.28515625" style="6" customWidth="1"/>
    <col min="8707" max="8707" width="12.42578125" style="6" customWidth="1"/>
    <col min="8708" max="8708" width="11.7109375" style="6" customWidth="1"/>
    <col min="8709" max="8711" width="14.5703125" style="6" customWidth="1"/>
    <col min="8712" max="8712" width="13.42578125" style="6" customWidth="1"/>
    <col min="8713" max="8957" width="9.140625" style="6"/>
    <col min="8958" max="8958" width="18.28515625" style="6" customWidth="1"/>
    <col min="8959" max="8959" width="13.5703125" style="6" customWidth="1"/>
    <col min="8960" max="8960" width="15.140625" style="6" customWidth="1"/>
    <col min="8961" max="8961" width="12.85546875" style="6" customWidth="1"/>
    <col min="8962" max="8962" width="12.28515625" style="6" customWidth="1"/>
    <col min="8963" max="8963" width="12.42578125" style="6" customWidth="1"/>
    <col min="8964" max="8964" width="11.7109375" style="6" customWidth="1"/>
    <col min="8965" max="8967" width="14.5703125" style="6" customWidth="1"/>
    <col min="8968" max="8968" width="13.42578125" style="6" customWidth="1"/>
    <col min="8969" max="9213" width="9.140625" style="6"/>
    <col min="9214" max="9214" width="18.28515625" style="6" customWidth="1"/>
    <col min="9215" max="9215" width="13.5703125" style="6" customWidth="1"/>
    <col min="9216" max="9216" width="15.140625" style="6" customWidth="1"/>
    <col min="9217" max="9217" width="12.85546875" style="6" customWidth="1"/>
    <col min="9218" max="9218" width="12.28515625" style="6" customWidth="1"/>
    <col min="9219" max="9219" width="12.42578125" style="6" customWidth="1"/>
    <col min="9220" max="9220" width="11.7109375" style="6" customWidth="1"/>
    <col min="9221" max="9223" width="14.5703125" style="6" customWidth="1"/>
    <col min="9224" max="9224" width="13.42578125" style="6" customWidth="1"/>
    <col min="9225" max="9469" width="9.140625" style="6"/>
    <col min="9470" max="9470" width="18.28515625" style="6" customWidth="1"/>
    <col min="9471" max="9471" width="13.5703125" style="6" customWidth="1"/>
    <col min="9472" max="9472" width="15.140625" style="6" customWidth="1"/>
    <col min="9473" max="9473" width="12.85546875" style="6" customWidth="1"/>
    <col min="9474" max="9474" width="12.28515625" style="6" customWidth="1"/>
    <col min="9475" max="9475" width="12.42578125" style="6" customWidth="1"/>
    <col min="9476" max="9476" width="11.7109375" style="6" customWidth="1"/>
    <col min="9477" max="9479" width="14.5703125" style="6" customWidth="1"/>
    <col min="9480" max="9480" width="13.42578125" style="6" customWidth="1"/>
    <col min="9481" max="9725" width="9.140625" style="6"/>
    <col min="9726" max="9726" width="18.28515625" style="6" customWidth="1"/>
    <col min="9727" max="9727" width="13.5703125" style="6" customWidth="1"/>
    <col min="9728" max="9728" width="15.140625" style="6" customWidth="1"/>
    <col min="9729" max="9729" width="12.85546875" style="6" customWidth="1"/>
    <col min="9730" max="9730" width="12.28515625" style="6" customWidth="1"/>
    <col min="9731" max="9731" width="12.42578125" style="6" customWidth="1"/>
    <col min="9732" max="9732" width="11.7109375" style="6" customWidth="1"/>
    <col min="9733" max="9735" width="14.5703125" style="6" customWidth="1"/>
    <col min="9736" max="9736" width="13.42578125" style="6" customWidth="1"/>
    <col min="9737" max="9981" width="9.140625" style="6"/>
    <col min="9982" max="9982" width="18.28515625" style="6" customWidth="1"/>
    <col min="9983" max="9983" width="13.5703125" style="6" customWidth="1"/>
    <col min="9984" max="9984" width="15.140625" style="6" customWidth="1"/>
    <col min="9985" max="9985" width="12.85546875" style="6" customWidth="1"/>
    <col min="9986" max="9986" width="12.28515625" style="6" customWidth="1"/>
    <col min="9987" max="9987" width="12.42578125" style="6" customWidth="1"/>
    <col min="9988" max="9988" width="11.7109375" style="6" customWidth="1"/>
    <col min="9989" max="9991" width="14.5703125" style="6" customWidth="1"/>
    <col min="9992" max="9992" width="13.42578125" style="6" customWidth="1"/>
    <col min="9993" max="10237" width="9.140625" style="6"/>
    <col min="10238" max="10238" width="18.28515625" style="6" customWidth="1"/>
    <col min="10239" max="10239" width="13.5703125" style="6" customWidth="1"/>
    <col min="10240" max="10240" width="15.140625" style="6" customWidth="1"/>
    <col min="10241" max="10241" width="12.85546875" style="6" customWidth="1"/>
    <col min="10242" max="10242" width="12.28515625" style="6" customWidth="1"/>
    <col min="10243" max="10243" width="12.42578125" style="6" customWidth="1"/>
    <col min="10244" max="10244" width="11.7109375" style="6" customWidth="1"/>
    <col min="10245" max="10247" width="14.5703125" style="6" customWidth="1"/>
    <col min="10248" max="10248" width="13.42578125" style="6" customWidth="1"/>
    <col min="10249" max="10493" width="9.140625" style="6"/>
    <col min="10494" max="10494" width="18.28515625" style="6" customWidth="1"/>
    <col min="10495" max="10495" width="13.5703125" style="6" customWidth="1"/>
    <col min="10496" max="10496" width="15.140625" style="6" customWidth="1"/>
    <col min="10497" max="10497" width="12.85546875" style="6" customWidth="1"/>
    <col min="10498" max="10498" width="12.28515625" style="6" customWidth="1"/>
    <col min="10499" max="10499" width="12.42578125" style="6" customWidth="1"/>
    <col min="10500" max="10500" width="11.7109375" style="6" customWidth="1"/>
    <col min="10501" max="10503" width="14.5703125" style="6" customWidth="1"/>
    <col min="10504" max="10504" width="13.42578125" style="6" customWidth="1"/>
    <col min="10505" max="10749" width="9.140625" style="6"/>
    <col min="10750" max="10750" width="18.28515625" style="6" customWidth="1"/>
    <col min="10751" max="10751" width="13.5703125" style="6" customWidth="1"/>
    <col min="10752" max="10752" width="15.140625" style="6" customWidth="1"/>
    <col min="10753" max="10753" width="12.85546875" style="6" customWidth="1"/>
    <col min="10754" max="10754" width="12.28515625" style="6" customWidth="1"/>
    <col min="10755" max="10755" width="12.42578125" style="6" customWidth="1"/>
    <col min="10756" max="10756" width="11.7109375" style="6" customWidth="1"/>
    <col min="10757" max="10759" width="14.5703125" style="6" customWidth="1"/>
    <col min="10760" max="10760" width="13.42578125" style="6" customWidth="1"/>
    <col min="10761" max="11005" width="9.140625" style="6"/>
    <col min="11006" max="11006" width="18.28515625" style="6" customWidth="1"/>
    <col min="11007" max="11007" width="13.5703125" style="6" customWidth="1"/>
    <col min="11008" max="11008" width="15.140625" style="6" customWidth="1"/>
    <col min="11009" max="11009" width="12.85546875" style="6" customWidth="1"/>
    <col min="11010" max="11010" width="12.28515625" style="6" customWidth="1"/>
    <col min="11011" max="11011" width="12.42578125" style="6" customWidth="1"/>
    <col min="11012" max="11012" width="11.7109375" style="6" customWidth="1"/>
    <col min="11013" max="11015" width="14.5703125" style="6" customWidth="1"/>
    <col min="11016" max="11016" width="13.42578125" style="6" customWidth="1"/>
    <col min="11017" max="11261" width="9.140625" style="6"/>
    <col min="11262" max="11262" width="18.28515625" style="6" customWidth="1"/>
    <col min="11263" max="11263" width="13.5703125" style="6" customWidth="1"/>
    <col min="11264" max="11264" width="15.140625" style="6" customWidth="1"/>
    <col min="11265" max="11265" width="12.85546875" style="6" customWidth="1"/>
    <col min="11266" max="11266" width="12.28515625" style="6" customWidth="1"/>
    <col min="11267" max="11267" width="12.42578125" style="6" customWidth="1"/>
    <col min="11268" max="11268" width="11.7109375" style="6" customWidth="1"/>
    <col min="11269" max="11271" width="14.5703125" style="6" customWidth="1"/>
    <col min="11272" max="11272" width="13.42578125" style="6" customWidth="1"/>
    <col min="11273" max="11517" width="9.140625" style="6"/>
    <col min="11518" max="11518" width="18.28515625" style="6" customWidth="1"/>
    <col min="11519" max="11519" width="13.5703125" style="6" customWidth="1"/>
    <col min="11520" max="11520" width="15.140625" style="6" customWidth="1"/>
    <col min="11521" max="11521" width="12.85546875" style="6" customWidth="1"/>
    <col min="11522" max="11522" width="12.28515625" style="6" customWidth="1"/>
    <col min="11523" max="11523" width="12.42578125" style="6" customWidth="1"/>
    <col min="11524" max="11524" width="11.7109375" style="6" customWidth="1"/>
    <col min="11525" max="11527" width="14.5703125" style="6" customWidth="1"/>
    <col min="11528" max="11528" width="13.42578125" style="6" customWidth="1"/>
    <col min="11529" max="11773" width="9.140625" style="6"/>
    <col min="11774" max="11774" width="18.28515625" style="6" customWidth="1"/>
    <col min="11775" max="11775" width="13.5703125" style="6" customWidth="1"/>
    <col min="11776" max="11776" width="15.140625" style="6" customWidth="1"/>
    <col min="11777" max="11777" width="12.85546875" style="6" customWidth="1"/>
    <col min="11778" max="11778" width="12.28515625" style="6" customWidth="1"/>
    <col min="11779" max="11779" width="12.42578125" style="6" customWidth="1"/>
    <col min="11780" max="11780" width="11.7109375" style="6" customWidth="1"/>
    <col min="11781" max="11783" width="14.5703125" style="6" customWidth="1"/>
    <col min="11784" max="11784" width="13.42578125" style="6" customWidth="1"/>
    <col min="11785" max="12029" width="9.140625" style="6"/>
    <col min="12030" max="12030" width="18.28515625" style="6" customWidth="1"/>
    <col min="12031" max="12031" width="13.5703125" style="6" customWidth="1"/>
    <col min="12032" max="12032" width="15.140625" style="6" customWidth="1"/>
    <col min="12033" max="12033" width="12.85546875" style="6" customWidth="1"/>
    <col min="12034" max="12034" width="12.28515625" style="6" customWidth="1"/>
    <col min="12035" max="12035" width="12.42578125" style="6" customWidth="1"/>
    <col min="12036" max="12036" width="11.7109375" style="6" customWidth="1"/>
    <col min="12037" max="12039" width="14.5703125" style="6" customWidth="1"/>
    <col min="12040" max="12040" width="13.42578125" style="6" customWidth="1"/>
    <col min="12041" max="12285" width="9.140625" style="6"/>
    <col min="12286" max="12286" width="18.28515625" style="6" customWidth="1"/>
    <col min="12287" max="12287" width="13.5703125" style="6" customWidth="1"/>
    <col min="12288" max="12288" width="15.140625" style="6" customWidth="1"/>
    <col min="12289" max="12289" width="12.85546875" style="6" customWidth="1"/>
    <col min="12290" max="12290" width="12.28515625" style="6" customWidth="1"/>
    <col min="12291" max="12291" width="12.42578125" style="6" customWidth="1"/>
    <col min="12292" max="12292" width="11.7109375" style="6" customWidth="1"/>
    <col min="12293" max="12295" width="14.5703125" style="6" customWidth="1"/>
    <col min="12296" max="12296" width="13.42578125" style="6" customWidth="1"/>
    <col min="12297" max="12541" width="9.140625" style="6"/>
    <col min="12542" max="12542" width="18.28515625" style="6" customWidth="1"/>
    <col min="12543" max="12543" width="13.5703125" style="6" customWidth="1"/>
    <col min="12544" max="12544" width="15.140625" style="6" customWidth="1"/>
    <col min="12545" max="12545" width="12.85546875" style="6" customWidth="1"/>
    <col min="12546" max="12546" width="12.28515625" style="6" customWidth="1"/>
    <col min="12547" max="12547" width="12.42578125" style="6" customWidth="1"/>
    <col min="12548" max="12548" width="11.7109375" style="6" customWidth="1"/>
    <col min="12549" max="12551" width="14.5703125" style="6" customWidth="1"/>
    <col min="12552" max="12552" width="13.42578125" style="6" customWidth="1"/>
    <col min="12553" max="12797" width="9.140625" style="6"/>
    <col min="12798" max="12798" width="18.28515625" style="6" customWidth="1"/>
    <col min="12799" max="12799" width="13.5703125" style="6" customWidth="1"/>
    <col min="12800" max="12800" width="15.140625" style="6" customWidth="1"/>
    <col min="12801" max="12801" width="12.85546875" style="6" customWidth="1"/>
    <col min="12802" max="12802" width="12.28515625" style="6" customWidth="1"/>
    <col min="12803" max="12803" width="12.42578125" style="6" customWidth="1"/>
    <col min="12804" max="12804" width="11.7109375" style="6" customWidth="1"/>
    <col min="12805" max="12807" width="14.5703125" style="6" customWidth="1"/>
    <col min="12808" max="12808" width="13.42578125" style="6" customWidth="1"/>
    <col min="12809" max="13053" width="9.140625" style="6"/>
    <col min="13054" max="13054" width="18.28515625" style="6" customWidth="1"/>
    <col min="13055" max="13055" width="13.5703125" style="6" customWidth="1"/>
    <col min="13056" max="13056" width="15.140625" style="6" customWidth="1"/>
    <col min="13057" max="13057" width="12.85546875" style="6" customWidth="1"/>
    <col min="13058" max="13058" width="12.28515625" style="6" customWidth="1"/>
    <col min="13059" max="13059" width="12.42578125" style="6" customWidth="1"/>
    <col min="13060" max="13060" width="11.7109375" style="6" customWidth="1"/>
    <col min="13061" max="13063" width="14.5703125" style="6" customWidth="1"/>
    <col min="13064" max="13064" width="13.42578125" style="6" customWidth="1"/>
    <col min="13065" max="13309" width="9.140625" style="6"/>
    <col min="13310" max="13310" width="18.28515625" style="6" customWidth="1"/>
    <col min="13311" max="13311" width="13.5703125" style="6" customWidth="1"/>
    <col min="13312" max="13312" width="15.140625" style="6" customWidth="1"/>
    <col min="13313" max="13313" width="12.85546875" style="6" customWidth="1"/>
    <col min="13314" max="13314" width="12.28515625" style="6" customWidth="1"/>
    <col min="13315" max="13315" width="12.42578125" style="6" customWidth="1"/>
    <col min="13316" max="13316" width="11.7109375" style="6" customWidth="1"/>
    <col min="13317" max="13319" width="14.5703125" style="6" customWidth="1"/>
    <col min="13320" max="13320" width="13.42578125" style="6" customWidth="1"/>
    <col min="13321" max="13565" width="9.140625" style="6"/>
    <col min="13566" max="13566" width="18.28515625" style="6" customWidth="1"/>
    <col min="13567" max="13567" width="13.5703125" style="6" customWidth="1"/>
    <col min="13568" max="13568" width="15.140625" style="6" customWidth="1"/>
    <col min="13569" max="13569" width="12.85546875" style="6" customWidth="1"/>
    <col min="13570" max="13570" width="12.28515625" style="6" customWidth="1"/>
    <col min="13571" max="13571" width="12.42578125" style="6" customWidth="1"/>
    <col min="13572" max="13572" width="11.7109375" style="6" customWidth="1"/>
    <col min="13573" max="13575" width="14.5703125" style="6" customWidth="1"/>
    <col min="13576" max="13576" width="13.42578125" style="6" customWidth="1"/>
    <col min="13577" max="13821" width="9.140625" style="6"/>
    <col min="13822" max="13822" width="18.28515625" style="6" customWidth="1"/>
    <col min="13823" max="13823" width="13.5703125" style="6" customWidth="1"/>
    <col min="13824" max="13824" width="15.140625" style="6" customWidth="1"/>
    <col min="13825" max="13825" width="12.85546875" style="6" customWidth="1"/>
    <col min="13826" max="13826" width="12.28515625" style="6" customWidth="1"/>
    <col min="13827" max="13827" width="12.42578125" style="6" customWidth="1"/>
    <col min="13828" max="13828" width="11.7109375" style="6" customWidth="1"/>
    <col min="13829" max="13831" width="14.5703125" style="6" customWidth="1"/>
    <col min="13832" max="13832" width="13.42578125" style="6" customWidth="1"/>
    <col min="13833" max="14077" width="9.140625" style="6"/>
    <col min="14078" max="14078" width="18.28515625" style="6" customWidth="1"/>
    <col min="14079" max="14079" width="13.5703125" style="6" customWidth="1"/>
    <col min="14080" max="14080" width="15.140625" style="6" customWidth="1"/>
    <col min="14081" max="14081" width="12.85546875" style="6" customWidth="1"/>
    <col min="14082" max="14082" width="12.28515625" style="6" customWidth="1"/>
    <col min="14083" max="14083" width="12.42578125" style="6" customWidth="1"/>
    <col min="14084" max="14084" width="11.7109375" style="6" customWidth="1"/>
    <col min="14085" max="14087" width="14.5703125" style="6" customWidth="1"/>
    <col min="14088" max="14088" width="13.42578125" style="6" customWidth="1"/>
    <col min="14089" max="14333" width="9.140625" style="6"/>
    <col min="14334" max="14334" width="18.28515625" style="6" customWidth="1"/>
    <col min="14335" max="14335" width="13.5703125" style="6" customWidth="1"/>
    <col min="14336" max="14336" width="15.140625" style="6" customWidth="1"/>
    <col min="14337" max="14337" width="12.85546875" style="6" customWidth="1"/>
    <col min="14338" max="14338" width="12.28515625" style="6" customWidth="1"/>
    <col min="14339" max="14339" width="12.42578125" style="6" customWidth="1"/>
    <col min="14340" max="14340" width="11.7109375" style="6" customWidth="1"/>
    <col min="14341" max="14343" width="14.5703125" style="6" customWidth="1"/>
    <col min="14344" max="14344" width="13.42578125" style="6" customWidth="1"/>
    <col min="14345" max="14589" width="9.140625" style="6"/>
    <col min="14590" max="14590" width="18.28515625" style="6" customWidth="1"/>
    <col min="14591" max="14591" width="13.5703125" style="6" customWidth="1"/>
    <col min="14592" max="14592" width="15.140625" style="6" customWidth="1"/>
    <col min="14593" max="14593" width="12.85546875" style="6" customWidth="1"/>
    <col min="14594" max="14594" width="12.28515625" style="6" customWidth="1"/>
    <col min="14595" max="14595" width="12.42578125" style="6" customWidth="1"/>
    <col min="14596" max="14596" width="11.7109375" style="6" customWidth="1"/>
    <col min="14597" max="14599" width="14.5703125" style="6" customWidth="1"/>
    <col min="14600" max="14600" width="13.42578125" style="6" customWidth="1"/>
    <col min="14601" max="14845" width="9.140625" style="6"/>
    <col min="14846" max="14846" width="18.28515625" style="6" customWidth="1"/>
    <col min="14847" max="14847" width="13.5703125" style="6" customWidth="1"/>
    <col min="14848" max="14848" width="15.140625" style="6" customWidth="1"/>
    <col min="14849" max="14849" width="12.85546875" style="6" customWidth="1"/>
    <col min="14850" max="14850" width="12.28515625" style="6" customWidth="1"/>
    <col min="14851" max="14851" width="12.42578125" style="6" customWidth="1"/>
    <col min="14852" max="14852" width="11.7109375" style="6" customWidth="1"/>
    <col min="14853" max="14855" width="14.5703125" style="6" customWidth="1"/>
    <col min="14856" max="14856" width="13.42578125" style="6" customWidth="1"/>
    <col min="14857" max="15101" width="9.140625" style="6"/>
    <col min="15102" max="15102" width="18.28515625" style="6" customWidth="1"/>
    <col min="15103" max="15103" width="13.5703125" style="6" customWidth="1"/>
    <col min="15104" max="15104" width="15.140625" style="6" customWidth="1"/>
    <col min="15105" max="15105" width="12.85546875" style="6" customWidth="1"/>
    <col min="15106" max="15106" width="12.28515625" style="6" customWidth="1"/>
    <col min="15107" max="15107" width="12.42578125" style="6" customWidth="1"/>
    <col min="15108" max="15108" width="11.7109375" style="6" customWidth="1"/>
    <col min="15109" max="15111" width="14.5703125" style="6" customWidth="1"/>
    <col min="15112" max="15112" width="13.42578125" style="6" customWidth="1"/>
    <col min="15113" max="15357" width="9.140625" style="6"/>
    <col min="15358" max="15358" width="18.28515625" style="6" customWidth="1"/>
    <col min="15359" max="15359" width="13.5703125" style="6" customWidth="1"/>
    <col min="15360" max="15360" width="15.140625" style="6" customWidth="1"/>
    <col min="15361" max="15361" width="12.85546875" style="6" customWidth="1"/>
    <col min="15362" max="15362" width="12.28515625" style="6" customWidth="1"/>
    <col min="15363" max="15363" width="12.42578125" style="6" customWidth="1"/>
    <col min="15364" max="15364" width="11.7109375" style="6" customWidth="1"/>
    <col min="15365" max="15367" width="14.5703125" style="6" customWidth="1"/>
    <col min="15368" max="15368" width="13.42578125" style="6" customWidth="1"/>
    <col min="15369" max="15613" width="9.140625" style="6"/>
    <col min="15614" max="15614" width="18.28515625" style="6" customWidth="1"/>
    <col min="15615" max="15615" width="13.5703125" style="6" customWidth="1"/>
    <col min="15616" max="15616" width="15.140625" style="6" customWidth="1"/>
    <col min="15617" max="15617" width="12.85546875" style="6" customWidth="1"/>
    <col min="15618" max="15618" width="12.28515625" style="6" customWidth="1"/>
    <col min="15619" max="15619" width="12.42578125" style="6" customWidth="1"/>
    <col min="15620" max="15620" width="11.7109375" style="6" customWidth="1"/>
    <col min="15621" max="15623" width="14.5703125" style="6" customWidth="1"/>
    <col min="15624" max="15624" width="13.42578125" style="6" customWidth="1"/>
    <col min="15625" max="15869" width="9.140625" style="6"/>
    <col min="15870" max="15870" width="18.28515625" style="6" customWidth="1"/>
    <col min="15871" max="15871" width="13.5703125" style="6" customWidth="1"/>
    <col min="15872" max="15872" width="15.140625" style="6" customWidth="1"/>
    <col min="15873" max="15873" width="12.85546875" style="6" customWidth="1"/>
    <col min="15874" max="15874" width="12.28515625" style="6" customWidth="1"/>
    <col min="15875" max="15875" width="12.42578125" style="6" customWidth="1"/>
    <col min="15876" max="15876" width="11.7109375" style="6" customWidth="1"/>
    <col min="15877" max="15879" width="14.5703125" style="6" customWidth="1"/>
    <col min="15880" max="15880" width="13.42578125" style="6" customWidth="1"/>
    <col min="15881" max="16125" width="9.140625" style="6"/>
    <col min="16126" max="16126" width="18.28515625" style="6" customWidth="1"/>
    <col min="16127" max="16127" width="13.5703125" style="6" customWidth="1"/>
    <col min="16128" max="16128" width="15.140625" style="6" customWidth="1"/>
    <col min="16129" max="16129" width="12.85546875" style="6" customWidth="1"/>
    <col min="16130" max="16130" width="12.28515625" style="6" customWidth="1"/>
    <col min="16131" max="16131" width="12.42578125" style="6" customWidth="1"/>
    <col min="16132" max="16132" width="11.7109375" style="6" customWidth="1"/>
    <col min="16133" max="16135" width="14.5703125" style="6" customWidth="1"/>
    <col min="16136" max="16136" width="13.42578125" style="6" customWidth="1"/>
    <col min="16137" max="16384" width="9.140625" style="6"/>
  </cols>
  <sheetData>
    <row r="1" spans="1:11" ht="15.75">
      <c r="A1" s="208" t="str">
        <f xml:space="preserve"> "Psychological Therapies Waiting Times - Number of patients aged 65 and over seen during the month by Health Board, "&amp;TEXT(A25,"mmm yyyy")&amp;" - "&amp;TEXT(A11,"mmm yyyy")</f>
        <v>Psychological Therapies Waiting Times - Number of patients aged 65 and over seen during the month by Health Board, Apr 2020 - Jun 2021</v>
      </c>
      <c r="B1" s="221"/>
      <c r="C1" s="221"/>
      <c r="D1" s="221"/>
    </row>
    <row r="2" spans="1:11">
      <c r="A2" s="221"/>
      <c r="B2" s="221"/>
      <c r="C2" s="221"/>
      <c r="D2" s="221"/>
    </row>
    <row r="3" spans="1:11">
      <c r="A3" s="456" t="s">
        <v>454</v>
      </c>
      <c r="B3" s="457"/>
      <c r="C3" s="457"/>
      <c r="D3" s="457"/>
      <c r="E3" s="65"/>
      <c r="F3" s="65"/>
      <c r="G3" s="65"/>
      <c r="H3" s="65"/>
      <c r="I3" s="65"/>
      <c r="J3" s="65"/>
      <c r="K3" s="48"/>
    </row>
    <row r="4" spans="1:11">
      <c r="A4" s="66" t="str">
        <f>"Number of patients seen during the month by Health Board, "&amp;TEXT(A25,"mmm yyyy")&amp;" - "&amp;TEXT(A11,"mmm yyyy")</f>
        <v>Number of patients seen during the month by Health Board, Apr 2020 - Jun 2021</v>
      </c>
      <c r="B4" s="65"/>
      <c r="C4" s="65"/>
      <c r="D4" s="65"/>
      <c r="E4" s="65"/>
      <c r="F4" s="65"/>
      <c r="G4" s="65"/>
      <c r="H4" s="65"/>
      <c r="I4" s="65"/>
      <c r="J4" s="65"/>
      <c r="K4" s="48"/>
    </row>
    <row r="5" spans="1:11">
      <c r="A5" s="199" t="s">
        <v>453</v>
      </c>
      <c r="B5" s="65"/>
      <c r="C5" s="65"/>
      <c r="D5" s="65"/>
      <c r="E5" s="65"/>
      <c r="F5" s="65"/>
      <c r="G5" s="65"/>
      <c r="H5" s="65"/>
      <c r="I5" s="65"/>
      <c r="J5" s="65"/>
      <c r="K5" s="48"/>
    </row>
    <row r="6" spans="1:11" ht="15.75" thickBot="1">
      <c r="A6" s="458"/>
      <c r="B6" s="458"/>
      <c r="C6" s="458"/>
      <c r="D6" s="458"/>
      <c r="E6" s="67"/>
      <c r="F6" s="67"/>
      <c r="G6" s="67"/>
      <c r="H6" s="67"/>
      <c r="I6" s="67"/>
      <c r="J6" s="67"/>
      <c r="K6" s="67"/>
    </row>
    <row r="7" spans="1:11" ht="15.75" thickBot="1">
      <c r="A7" s="6" t="s">
        <v>180</v>
      </c>
      <c r="B7" s="9"/>
      <c r="C7" s="440" t="s">
        <v>28</v>
      </c>
      <c r="D7" s="441"/>
      <c r="E7" s="67"/>
      <c r="F7" s="124"/>
      <c r="G7" s="67"/>
      <c r="H7" s="67"/>
      <c r="I7" s="67"/>
      <c r="J7" s="67"/>
      <c r="K7" s="67"/>
    </row>
    <row r="8" spans="1:11">
      <c r="A8" s="220" t="s">
        <v>1301</v>
      </c>
      <c r="B8" s="33" t="s">
        <v>183</v>
      </c>
      <c r="C8" s="9"/>
      <c r="D8" s="9"/>
      <c r="E8" s="34"/>
      <c r="F8" s="92" t="s">
        <v>172</v>
      </c>
      <c r="G8" s="68" t="s">
        <v>30</v>
      </c>
      <c r="H8" s="34"/>
      <c r="I8" s="34"/>
      <c r="J8" s="34"/>
      <c r="K8" s="28"/>
    </row>
    <row r="9" spans="1:11" ht="21.75" customHeight="1">
      <c r="A9" s="442" t="s">
        <v>31</v>
      </c>
      <c r="B9" s="444" t="s">
        <v>329</v>
      </c>
      <c r="C9" s="445" t="s">
        <v>32</v>
      </c>
      <c r="D9" s="446" t="s">
        <v>330</v>
      </c>
      <c r="E9" s="446"/>
      <c r="F9" s="446"/>
      <c r="G9" s="446"/>
      <c r="H9" s="449" t="s">
        <v>187</v>
      </c>
      <c r="I9" s="446"/>
      <c r="J9" s="446"/>
      <c r="K9" s="446"/>
    </row>
    <row r="10" spans="1:11" ht="16.5" customHeight="1">
      <c r="A10" s="442"/>
      <c r="B10" s="444"/>
      <c r="C10" s="445"/>
      <c r="D10" s="151" t="s">
        <v>34</v>
      </c>
      <c r="E10" s="163" t="s">
        <v>188</v>
      </c>
      <c r="F10" s="151" t="s">
        <v>317</v>
      </c>
      <c r="G10" s="151" t="s">
        <v>331</v>
      </c>
      <c r="H10" s="164" t="s">
        <v>34</v>
      </c>
      <c r="I10" s="151" t="s">
        <v>188</v>
      </c>
      <c r="J10" s="151" t="s">
        <v>317</v>
      </c>
      <c r="K10" s="151" t="s">
        <v>331</v>
      </c>
    </row>
    <row r="11" spans="1:11">
      <c r="A11" s="359">
        <f>REPORT_raw_dataseen!R1</f>
        <v>44348</v>
      </c>
      <c r="B11" s="255" t="str">
        <f>IF(VLOOKUP($C$7,'Type of adjust'!$A$1:$P$18,MATCH($A11,'Type of adjust'!$A$1:$P$1,1),FALSE)="", "..", VLOOKUP($C$7,'Type of adjust'!$A$1:$P$18,MATCH($A11,'Type of adjust'!$A$1:$P$1,1),FALSE))</f>
        <v>..</v>
      </c>
      <c r="C11" s="260">
        <f>IF(VLOOKUP($C$7&amp;"Adjusted seen over_65"&amp;$C$9,REPORT_raw_dataseen!$A$1:$R$817,MATCH($A11,REPORT_raw_dataseen!$D$1:$R$1,1)+3, FALSE)=0,"-", IF(VLOOKUP($C$7&amp;"Adjusted seen over_65"&amp;$C$9,REPORT_raw_dataseen!$A$1:$R$817,MATCH($A11,REPORT_raw_dataseen!$D$1:$R$1,1)+3, FALSE)&lt;12,"*",VLOOKUP($C$7&amp;"Adjusted seen over_65"&amp;$C$9,REPORT_raw_dataseen!$A$1:$R$817,MATCH($A11,REPORT_raw_dataseen!$D$1:$R$1,1)+3, FALSE)))</f>
        <v>461</v>
      </c>
      <c r="D11" s="260">
        <f>IF(C11="*","*",IF(VLOOKUP($C$7&amp;"Adjusted seen over_65"&amp;$D$10,REPORT_raw_dataseen!$A$1:$R$817,MATCH($A11,REPORT_raw_dataseen!$D$1:$R$1,1)+3,FALSE)=0,"-",VLOOKUP($C$7&amp;"Adjusted seen over_65"&amp;$D$10,REPORT_raw_dataseen!$A$1:$R$817,MATCH($A11,REPORT_raw_dataseen!$D$1:$R$1,1)+3,FALSE)))</f>
        <v>392</v>
      </c>
      <c r="E11" s="260">
        <f>IF(C11="*","*",IF(VLOOKUP($C$7&amp;"Adjusted seen over_65"&amp;$E$10,REPORT_raw_dataseen!$A$1:$R$817,MATCH($A11,REPORT_raw_dataseen!$D$1:$R$1,1)+3, FALSE)=0,"-",VLOOKUP($C$7&amp;"Adjusted seen over_65"&amp;$E$10,REPORT_raw_dataseen!$A$1:$R$817,MATCH($A11,REPORT_raw_dataseen!$D$1:$R$1,1)+3, FALSE)))</f>
        <v>40</v>
      </c>
      <c r="F11" s="260">
        <f>IF(C11="*","*",IF(VLOOKUP($C$7&amp;"Adjusted seen over_65"&amp;$F$8,REPORT_raw_dataseen!$A$1:$R$817,MATCH($A11,REPORT_raw_dataseen!$D$1:$R$1,1)+3, FALSE)=0,"-",VLOOKUP($C$7&amp;"Adjusted seen over_65"&amp;$F$8,REPORT_raw_dataseen!$A$1:$R$817,MATCH($A11,REPORT_raw_dataseen!$D$1:$R$1,1)+3, FALSE)))</f>
        <v>14</v>
      </c>
      <c r="G11" s="260">
        <f>IF(C11="*","*",IF(VLOOKUP($C$7&amp;"Adjusted seen over_65"&amp;$G$8,REPORT_raw_dataseen!$A$1:$R$817,MATCH($A11,REPORT_raw_dataseen!$D$1:$R$1,1)+3, FALSE)=0,"-",VLOOKUP($C$7&amp;"Adjusted seen over_65"&amp;$G$8,REPORT_raw_dataseen!$A$1:$R$817,MATCH($A11,REPORT_raw_dataseen!$D$1:$R$1,1)+3, FALSE)))</f>
        <v>15</v>
      </c>
      <c r="H11" s="263">
        <f>'3a (2)'!H11</f>
        <v>85.03</v>
      </c>
      <c r="I11" s="263">
        <f>'3a (2)'!I11</f>
        <v>8.68</v>
      </c>
      <c r="J11" s="263">
        <f>'3a (2)'!J11</f>
        <v>3.04</v>
      </c>
      <c r="K11" s="257">
        <f>'3a (2)'!K11</f>
        <v>3.25</v>
      </c>
    </row>
    <row r="12" spans="1:11">
      <c r="A12" s="360">
        <f>DATE(YEAR(A11),MONTH(A11)-1,DAY(A11))</f>
        <v>44317</v>
      </c>
      <c r="B12" s="256" t="str">
        <f>IF(VLOOKUP($C$7,'Type of adjust'!$A$1:$P$18,MATCH($A12,'Type of adjust'!$A$1:$P$1,1),FALSE)="", "..", VLOOKUP($C$7,'Type of adjust'!$A$1:$P$18,MATCH($A12,'Type of adjust'!$A$1:$P$1,1),FALSE))</f>
        <v>..</v>
      </c>
      <c r="C12" s="261">
        <f>IF(VLOOKUP($C$7&amp;"Adjusted seen over_65"&amp;$C$9,REPORT_raw_dataseen!$A$1:$R$817,MATCH($A12,REPORT_raw_dataseen!$D$1:$R$1,1)+3, FALSE)=0,"-", IF(VLOOKUP($C$7&amp;"Adjusted seen over_65"&amp;$C$9,REPORT_raw_dataseen!$A$1:$R$817,MATCH($A12,REPORT_raw_dataseen!$D$1:$R$1,1)+3, FALSE)&lt;5,"*",VLOOKUP($C$7&amp;"Adjusted seen over_65"&amp;$C$9,REPORT_raw_dataseen!$A$1:$R$817,MATCH($A12,REPORT_raw_dataseen!$D$1:$R$1,1)+3, FALSE)))</f>
        <v>389</v>
      </c>
      <c r="D12" s="261">
        <f>IF(C12="*","*",IF(VLOOKUP($C$7&amp;"Adjusted seen over_65"&amp;$D$10,REPORT_raw_dataseen!$A$1:$R$817,MATCH($A12,REPORT_raw_dataseen!$D$1:$R$1,1)+3,FALSE)=0,"-",VLOOKUP($C$7&amp;"Adjusted seen over_65"&amp;$D$10,REPORT_raw_dataseen!$A$1:$R$817,MATCH($A12,REPORT_raw_dataseen!$D$1:$R$1,1)+3,FALSE)))</f>
        <v>342</v>
      </c>
      <c r="E12" s="261">
        <f>IF(C12="*","*",IF(VLOOKUP($C$7&amp;"Adjusted seen over_65"&amp;$E$10,REPORT_raw_dataseen!$A$1:$R$817,MATCH($A12,REPORT_raw_dataseen!$D$1:$R$1,1)+3, FALSE)=0,"-",VLOOKUP($C$7&amp;"Adjusted seen over_65"&amp;$E$10,REPORT_raw_dataseen!$A$1:$R$817,MATCH($A12,REPORT_raw_dataseen!$D$1:$R$1,1)+3, FALSE)))</f>
        <v>35</v>
      </c>
      <c r="F12" s="261">
        <f>IF(C12="*","*",IF(VLOOKUP($C$7&amp;"Adjusted seen over_65"&amp;$F$8,REPORT_raw_dataseen!$A$1:$R$817,MATCH($A12,REPORT_raw_dataseen!$D$1:$R$1,1)+3, FALSE)=0,"-",VLOOKUP($C$7&amp;"Adjusted seen over_65"&amp;$F$8,REPORT_raw_dataseen!$A$1:$R$817,MATCH($A12,REPORT_raw_dataseen!$D$1:$R$1,1)+3, FALSE)))</f>
        <v>4</v>
      </c>
      <c r="G12" s="261">
        <f>IF(C12="*","*",IF(VLOOKUP($C$7&amp;"Adjusted seen over_65"&amp;$G$8,REPORT_raw_dataseen!$A$1:$R$817,MATCH($A12,REPORT_raw_dataseen!$D$1:$R$1,1)+3, FALSE)=0,"-",VLOOKUP($C$7&amp;"Adjusted seen over_65"&amp;$G$8,REPORT_raw_dataseen!$A$1:$R$817,MATCH($A12,REPORT_raw_dataseen!$D$1:$R$1,1)+3, FALSE)))</f>
        <v>8</v>
      </c>
      <c r="H12" s="264">
        <f>'3a (2)'!H12</f>
        <v>87.92</v>
      </c>
      <c r="I12" s="264">
        <f>'3a (2)'!I12</f>
        <v>9</v>
      </c>
      <c r="J12" s="264">
        <f>'3a (2)'!J12</f>
        <v>1.03</v>
      </c>
      <c r="K12" s="258">
        <f>'3a (2)'!K12</f>
        <v>2.06</v>
      </c>
    </row>
    <row r="13" spans="1:11">
      <c r="A13" s="360">
        <f>DATE(YEAR(A12),MONTH(A12)-1,DAY(A12))</f>
        <v>44287</v>
      </c>
      <c r="B13" s="256" t="str">
        <f>IF(VLOOKUP($C$7,'Type of adjust'!$A$1:$P$18,MATCH($A13,'Type of adjust'!$A$1:$P$1,1),FALSE)="", "..", VLOOKUP($C$7,'Type of adjust'!$A$1:$P$18,MATCH($A13,'Type of adjust'!$A$1:$P$1,1),FALSE))</f>
        <v>..</v>
      </c>
      <c r="C13" s="261">
        <f>IF(VLOOKUP($C$7&amp;"Adjusted seen over_65"&amp;$C$9,REPORT_raw_dataseen!$A$1:$R$817,MATCH($A13,REPORT_raw_dataseen!$D$1:$R$1,1)+3, FALSE)=0,"-", IF(VLOOKUP($C$7&amp;"Adjusted seen over_65"&amp;$C$9,REPORT_raw_dataseen!$A$1:$R$817,MATCH($A13,REPORT_raw_dataseen!$D$1:$R$1,1)+3, FALSE)&lt;11,"*",VLOOKUP($C$7&amp;"Adjusted seen over_65"&amp;$C$9,REPORT_raw_dataseen!$A$1:$R$817,MATCH($A13,REPORT_raw_dataseen!$D$1:$R$1,1)+3, FALSE)))</f>
        <v>326</v>
      </c>
      <c r="D13" s="261">
        <f>IF(C13="*","*",IF(VLOOKUP($C$7&amp;"Adjusted seen over_65"&amp;$D$10,REPORT_raw_dataseen!$A$1:$R$817,MATCH($A13,REPORT_raw_dataseen!$D$1:$R$1,1)+3,FALSE)=0,"-",VLOOKUP($C$7&amp;"Adjusted seen over_65"&amp;$D$10,REPORT_raw_dataseen!$A$1:$R$817,MATCH($A13,REPORT_raw_dataseen!$D$1:$R$1,1)+3,FALSE)))</f>
        <v>281</v>
      </c>
      <c r="E13" s="261">
        <f>IF(C13="*","*",IF(VLOOKUP($C$7&amp;"Adjusted seen over_65"&amp;$E$10,REPORT_raw_dataseen!$A$1:$R$817,MATCH($A13,REPORT_raw_dataseen!$D$1:$R$1,1)+3, FALSE)=0,"-",VLOOKUP($C$7&amp;"Adjusted seen over_65"&amp;$E$10,REPORT_raw_dataseen!$A$1:$R$817,MATCH($A13,REPORT_raw_dataseen!$D$1:$R$1,1)+3, FALSE)))</f>
        <v>29</v>
      </c>
      <c r="F13" s="261">
        <f>IF(C13="*","*",IF(VLOOKUP($C$7&amp;"Adjusted seen over_65"&amp;$F$8,REPORT_raw_dataseen!$A$1:$R$817,MATCH($A13,REPORT_raw_dataseen!$D$1:$R$1,1)+3, FALSE)=0,"-",VLOOKUP($C$7&amp;"Adjusted seen over_65"&amp;$F$8,REPORT_raw_dataseen!$A$1:$R$817,MATCH($A13,REPORT_raw_dataseen!$D$1:$R$1,1)+3, FALSE)))</f>
        <v>8</v>
      </c>
      <c r="G13" s="261">
        <f>IF(C13="*","*",IF(VLOOKUP($C$7&amp;"Adjusted seen over_65"&amp;$G$8,REPORT_raw_dataseen!$A$1:$R$817,MATCH($A13,REPORT_raw_dataseen!$D$1:$R$1,1)+3, FALSE)=0,"-",VLOOKUP($C$7&amp;"Adjusted seen over_65"&amp;$G$8,REPORT_raw_dataseen!$A$1:$R$817,MATCH($A13,REPORT_raw_dataseen!$D$1:$R$1,1)+3, FALSE)))</f>
        <v>8</v>
      </c>
      <c r="H13" s="264">
        <f>'3a (2)'!H13</f>
        <v>86.2</v>
      </c>
      <c r="I13" s="264">
        <f>'3a (2)'!I13</f>
        <v>8.9</v>
      </c>
      <c r="J13" s="264">
        <f>'3a (2)'!J13</f>
        <v>2.4500000000000002</v>
      </c>
      <c r="K13" s="258">
        <f>'3a (2)'!K13</f>
        <v>2.4500000000000002</v>
      </c>
    </row>
    <row r="14" spans="1:11">
      <c r="A14" s="360">
        <f>DATE(YEAR(A13),MONTH(A13)-1,DAY(A13))</f>
        <v>44256</v>
      </c>
      <c r="B14" s="256" t="str">
        <f>IF(VLOOKUP($C$7,'Type of adjust'!$A$1:$P$18,MATCH($A14,'Type of adjust'!$A$1:$P$1,1),FALSE)="", "..", VLOOKUP($C$7,'Type of adjust'!$A$1:$P$18,MATCH($A14,'Type of adjust'!$A$1:$P$1,1),FALSE))</f>
        <v>..</v>
      </c>
      <c r="C14" s="261">
        <f>IF(VLOOKUP($C$7&amp;"Adjusted seen over_65"&amp;$C$9,REPORT_raw_dataseen!$A$1:$R$817,MATCH($A14,REPORT_raw_dataseen!$D$1:$R$1,1)+3, FALSE)=0,"-", IF(VLOOKUP($C$7&amp;"Adjusted seen over_65"&amp;$C$9,REPORT_raw_dataseen!$A$1:$R$817,MATCH($A14,REPORT_raw_dataseen!$D$1:$R$1,1)+3, FALSE)&lt;5,"*",VLOOKUP($C$7&amp;"Adjusted seen over_65"&amp;$C$9,REPORT_raw_dataseen!$A$1:$R$817,MATCH($A14,REPORT_raw_dataseen!$D$1:$R$1,1)+3, FALSE)))</f>
        <v>323</v>
      </c>
      <c r="D14" s="261">
        <f>IF(C14="*","*",IF(VLOOKUP($C$7&amp;"Adjusted seen over_65"&amp;$D$10,REPORT_raw_dataseen!$A$1:$R$817,MATCH($A14,REPORT_raw_dataseen!$D$1:$R$1,1)+3,FALSE)=0,"-",VLOOKUP($C$7&amp;"Adjusted seen over_65"&amp;$D$10,REPORT_raw_dataseen!$A$1:$R$817,MATCH($A14,REPORT_raw_dataseen!$D$1:$R$1,1)+3,FALSE)))</f>
        <v>282</v>
      </c>
      <c r="E14" s="261">
        <f>IF(C14="*","*",IF(VLOOKUP($C$7&amp;"Adjusted seen over_65"&amp;$E$10,REPORT_raw_dataseen!$A$1:$R$817,MATCH($A14,REPORT_raw_dataseen!$D$1:$R$1,1)+3, FALSE)=0,"-",VLOOKUP($C$7&amp;"Adjusted seen over_65"&amp;$E$10,REPORT_raw_dataseen!$A$1:$R$817,MATCH($A14,REPORT_raw_dataseen!$D$1:$R$1,1)+3, FALSE)))</f>
        <v>31</v>
      </c>
      <c r="F14" s="261">
        <f>IF(C14="*","*",IF(VLOOKUP($C$7&amp;"Adjusted seen over_65"&amp;$F$8,REPORT_raw_dataseen!$A$1:$R$817,MATCH($A14,REPORT_raw_dataseen!$D$1:$R$1,1)+3, FALSE)=0,"-",VLOOKUP($C$7&amp;"Adjusted seen over_65"&amp;$F$8,REPORT_raw_dataseen!$A$1:$R$817,MATCH($A14,REPORT_raw_dataseen!$D$1:$R$1,1)+3, FALSE)))</f>
        <v>2</v>
      </c>
      <c r="G14" s="261">
        <f>IF(C14="*","*",IF(VLOOKUP($C$7&amp;"Adjusted seen over_65"&amp;$G$8,REPORT_raw_dataseen!$A$1:$R$817,MATCH($A14,REPORT_raw_dataseen!$D$1:$R$1,1)+3, FALSE)=0,"-",VLOOKUP($C$7&amp;"Adjusted seen over_65"&amp;$G$8,REPORT_raw_dataseen!$A$1:$R$817,MATCH($A14,REPORT_raw_dataseen!$D$1:$R$1,1)+3, FALSE)))</f>
        <v>8</v>
      </c>
      <c r="H14" s="264">
        <f>'3a (2)'!H14</f>
        <v>87.31</v>
      </c>
      <c r="I14" s="264">
        <f>'3a (2)'!I14</f>
        <v>9.6</v>
      </c>
      <c r="J14" s="264">
        <f>'3a (2)'!J14</f>
        <v>0.62</v>
      </c>
      <c r="K14" s="258">
        <f>'3a (2)'!K14</f>
        <v>2.48</v>
      </c>
    </row>
    <row r="15" spans="1:11">
      <c r="A15" s="360">
        <f>DATE(YEAR(A14),MONTH(A14)-1,DAY(A14))</f>
        <v>44228</v>
      </c>
      <c r="B15" s="256" t="str">
        <f>IF(VLOOKUP($C$7,'Type of adjust'!$A$1:$P$18,MATCH($A15,'Type of adjust'!$A$1:$P$1,1),FALSE)="", "..", VLOOKUP($C$7,'Type of adjust'!$A$1:$P$18,MATCH($A15,'Type of adjust'!$A$1:$P$1,1),FALSE))</f>
        <v>..</v>
      </c>
      <c r="C15" s="261">
        <f>IF(VLOOKUP($C$7&amp;"Adjusted seen over_65"&amp;$C$9,REPORT_raw_dataseen!$A$1:$R$817,MATCH($A15,REPORT_raw_dataseen!$D$1:$R$1,1)+3, FALSE)=0,"-", IF(VLOOKUP($C$7&amp;"Adjusted seen over_65"&amp;$C$9,REPORT_raw_dataseen!$A$1:$R$817,MATCH($A15,REPORT_raw_dataseen!$D$1:$R$1,1)+3, FALSE)&lt;5,"*",VLOOKUP($C$7&amp;"Adjusted seen over_65"&amp;$C$9,REPORT_raw_dataseen!$A$1:$R$817,MATCH($A15,REPORT_raw_dataseen!$D$1:$R$1,1)+3, FALSE)))</f>
        <v>274</v>
      </c>
      <c r="D15" s="261">
        <f>IF(C15="*","*",IF(VLOOKUP($C$7&amp;"Adjusted seen over_65"&amp;$D$10,REPORT_raw_dataseen!$A$1:$R$817,MATCH($A15,REPORT_raw_dataseen!$D$1:$R$1,1)+3,FALSE)=0,"-",VLOOKUP($C$7&amp;"Adjusted seen over_65"&amp;$D$10,REPORT_raw_dataseen!$A$1:$R$817,MATCH($A15,REPORT_raw_dataseen!$D$1:$R$1,1)+3,FALSE)))</f>
        <v>234</v>
      </c>
      <c r="E15" s="261">
        <f>IF(C15="*","*",IF(VLOOKUP($C$7&amp;"Adjusted seen over_65"&amp;$E$10,REPORT_raw_dataseen!$A$1:$R$817,MATCH($A15,REPORT_raw_dataseen!$D$1:$R$1,1)+3, FALSE)=0,"-",VLOOKUP($C$7&amp;"Adjusted seen over_65"&amp;$E$10,REPORT_raw_dataseen!$A$1:$R$817,MATCH($A15,REPORT_raw_dataseen!$D$1:$R$1,1)+3, FALSE)))</f>
        <v>19</v>
      </c>
      <c r="F15" s="261">
        <f>IF(C15="*","*",IF(VLOOKUP($C$7&amp;"Adjusted seen over_65"&amp;$F$8,REPORT_raw_dataseen!$A$1:$R$817,MATCH($A15,REPORT_raw_dataseen!$D$1:$R$1,1)+3, FALSE)=0,"-",VLOOKUP($C$7&amp;"Adjusted seen over_65"&amp;$F$8,REPORT_raw_dataseen!$A$1:$R$817,MATCH($A15,REPORT_raw_dataseen!$D$1:$R$1,1)+3, FALSE)))</f>
        <v>11</v>
      </c>
      <c r="G15" s="261">
        <f>IF(C15="*","*",IF(VLOOKUP($C$7&amp;"Adjusted seen over_65"&amp;$G$8,REPORT_raw_dataseen!$A$1:$R$817,MATCH($A15,REPORT_raw_dataseen!$D$1:$R$1,1)+3, FALSE)=0,"-",VLOOKUP($C$7&amp;"Adjusted seen over_65"&amp;$G$8,REPORT_raw_dataseen!$A$1:$R$817,MATCH($A15,REPORT_raw_dataseen!$D$1:$R$1,1)+3, FALSE)))</f>
        <v>10</v>
      </c>
      <c r="H15" s="264">
        <f>'3a (2)'!H15</f>
        <v>85.4</v>
      </c>
      <c r="I15" s="264">
        <f>'3a (2)'!I15</f>
        <v>6.93</v>
      </c>
      <c r="J15" s="264">
        <f>'3a (2)'!J15</f>
        <v>4.01</v>
      </c>
      <c r="K15" s="258">
        <f>'3a (2)'!K15</f>
        <v>3.65</v>
      </c>
    </row>
    <row r="16" spans="1:11">
      <c r="A16" s="360">
        <f>DATE(YEAR(A15),MONTH(A15)-1,DAY(A15))</f>
        <v>44197</v>
      </c>
      <c r="B16" s="256" t="str">
        <f>IF(VLOOKUP($C$7,'Type of adjust'!$A$1:$P$18,MATCH($A16,'Type of adjust'!$A$1:$P$1,1),FALSE)="", "..", VLOOKUP($C$7,'Type of adjust'!$A$1:$P$18,MATCH($A16,'Type of adjust'!$A$1:$P$1,1),FALSE))</f>
        <v>..</v>
      </c>
      <c r="C16" s="261">
        <f>IF(VLOOKUP($C$7&amp;"Adjusted seen over_65"&amp;$C$9,REPORT_raw_dataseen!$A$1:$R$817,MATCH($A16,REPORT_raw_dataseen!$D$1:$R$1,1)+3, FALSE)=0,"-", IF(VLOOKUP($C$7&amp;"Adjusted seen over_65"&amp;$C$9,REPORT_raw_dataseen!$A$1:$R$817,MATCH($A16,REPORT_raw_dataseen!$D$1:$R$1,1)+3, FALSE)&lt;5,"*",VLOOKUP($C$7&amp;"Adjusted seen over_65"&amp;$C$9,REPORT_raw_dataseen!$A$1:$R$817,MATCH($A16,REPORT_raw_dataseen!$D$1:$R$1,1)+3, FALSE)))</f>
        <v>317</v>
      </c>
      <c r="D16" s="261">
        <f>IF(C16="*","*",IF(VLOOKUP($C$7&amp;"Adjusted seen over_65"&amp;$D$10,REPORT_raw_dataseen!$A$1:$R$817,MATCH($A16,REPORT_raw_dataseen!$D$1:$R$1,1)+3,FALSE)=0,"-",VLOOKUP($C$7&amp;"Adjusted seen over_65"&amp;$D$10,REPORT_raw_dataseen!$A$1:$R$817,MATCH($A16,REPORT_raw_dataseen!$D$1:$R$1,1)+3,FALSE)))</f>
        <v>263</v>
      </c>
      <c r="E16" s="261">
        <f>IF(C16="*","*",IF(VLOOKUP($C$7&amp;"Adjusted seen over_65"&amp;$E$10,REPORT_raw_dataseen!$A$1:$R$817,MATCH($A16,REPORT_raw_dataseen!$D$1:$R$1,1)+3, FALSE)=0,"-",VLOOKUP($C$7&amp;"Adjusted seen over_65"&amp;$E$10,REPORT_raw_dataseen!$A$1:$R$817,MATCH($A16,REPORT_raw_dataseen!$D$1:$R$1,1)+3, FALSE)))</f>
        <v>20</v>
      </c>
      <c r="F16" s="261">
        <f>IF(C16="*","*",IF(VLOOKUP($C$7&amp;"Adjusted seen over_65"&amp;$F$8,REPORT_raw_dataseen!$A$1:$R$817,MATCH($A16,REPORT_raw_dataseen!$D$1:$R$1,1)+3, FALSE)=0,"-",VLOOKUP($C$7&amp;"Adjusted seen over_65"&amp;$F$8,REPORT_raw_dataseen!$A$1:$R$817,MATCH($A16,REPORT_raw_dataseen!$D$1:$R$1,1)+3, FALSE)))</f>
        <v>24</v>
      </c>
      <c r="G16" s="261">
        <f>IF(C16="*","*",IF(VLOOKUP($C$7&amp;"Adjusted seen over_65"&amp;$G$8,REPORT_raw_dataseen!$A$1:$R$817,MATCH($A16,REPORT_raw_dataseen!$D$1:$R$1,1)+3, FALSE)=0,"-",VLOOKUP($C$7&amp;"Adjusted seen over_65"&amp;$G$8,REPORT_raw_dataseen!$A$1:$R$817,MATCH($A16,REPORT_raw_dataseen!$D$1:$R$1,1)+3, FALSE)))</f>
        <v>10</v>
      </c>
      <c r="H16" s="264">
        <f>'3a (2)'!H16</f>
        <v>82.97</v>
      </c>
      <c r="I16" s="264">
        <f>'3a (2)'!I16</f>
        <v>6.31</v>
      </c>
      <c r="J16" s="264">
        <f>'3a (2)'!J16</f>
        <v>7.57</v>
      </c>
      <c r="K16" s="258">
        <f>'3a (2)'!K16</f>
        <v>3.15</v>
      </c>
    </row>
    <row r="17" spans="1:11">
      <c r="A17" s="360">
        <f t="shared" ref="A17:A25" si="0">DATE(YEAR(A16),MONTH(A16)-1,DAY(A16))</f>
        <v>44166</v>
      </c>
      <c r="B17" s="256" t="str">
        <f>IF(VLOOKUP($C$7,'Type of adjust'!$A$1:$P$18,MATCH($A17,'Type of adjust'!$A$1:$P$1,1),FALSE)="", "..", VLOOKUP($C$7,'Type of adjust'!$A$1:$P$18,MATCH($A17,'Type of adjust'!$A$1:$P$1,1),FALSE))</f>
        <v>..</v>
      </c>
      <c r="C17" s="261">
        <f>IF(VLOOKUP($C$7&amp;"Adjusted seen over_65"&amp;$C$9,REPORT_raw_dataseen!$A$1:$R$817,MATCH($A17,REPORT_raw_dataseen!$D$1:$R$1,1)+3, FALSE)=0,"-", IF(VLOOKUP($C$7&amp;"Adjusted seen over_65"&amp;$C$9,REPORT_raw_dataseen!$A$1:$R$817,MATCH($A17,REPORT_raw_dataseen!$D$1:$R$1,1)+3, FALSE)&lt;9,"*",VLOOKUP($C$7&amp;"Adjusted seen over_65"&amp;$C$9,REPORT_raw_dataseen!$A$1:$R$817,MATCH($A17,REPORT_raw_dataseen!$D$1:$R$1,1)+3, FALSE)))</f>
        <v>276</v>
      </c>
      <c r="D17" s="261">
        <f>IF(C17="*","*",IF(VLOOKUP($C$7&amp;"Adjusted seen over_65"&amp;$D$10,REPORT_raw_dataseen!$A$1:$R$817,MATCH($A17,REPORT_raw_dataseen!$D$1:$R$1,1)+3,FALSE)=0,"-",VLOOKUP($C$7&amp;"Adjusted seen over_65"&amp;$D$10,REPORT_raw_dataseen!$A$1:$R$817,MATCH($A17,REPORT_raw_dataseen!$D$1:$R$1,1)+3,FALSE)))</f>
        <v>209</v>
      </c>
      <c r="E17" s="261">
        <f>IF(C17="*","*",IF(VLOOKUP($C$7&amp;"Adjusted seen over_65"&amp;$E$10,REPORT_raw_dataseen!$A$1:$R$817,MATCH($A17,REPORT_raw_dataseen!$D$1:$R$1,1)+3, FALSE)=0,"-",VLOOKUP($C$7&amp;"Adjusted seen over_65"&amp;$E$10,REPORT_raw_dataseen!$A$1:$R$817,MATCH($A17,REPORT_raw_dataseen!$D$1:$R$1,1)+3, FALSE)))</f>
        <v>20</v>
      </c>
      <c r="F17" s="261">
        <f>IF(C17="*","*",IF(VLOOKUP($C$7&amp;"Adjusted seen over_65"&amp;$F$8,REPORT_raw_dataseen!$A$1:$R$817,MATCH($A17,REPORT_raw_dataseen!$D$1:$R$1,1)+3, FALSE)=0,"-",VLOOKUP($C$7&amp;"Adjusted seen over_65"&amp;$F$8,REPORT_raw_dataseen!$A$1:$R$817,MATCH($A17,REPORT_raw_dataseen!$D$1:$R$1,1)+3, FALSE)))</f>
        <v>32</v>
      </c>
      <c r="G17" s="261">
        <f>IF(C17="*","*",IF(VLOOKUP($C$7&amp;"Adjusted seen over_65"&amp;$G$8,REPORT_raw_dataseen!$A$1:$R$817,MATCH($A17,REPORT_raw_dataseen!$D$1:$R$1,1)+3, FALSE)=0,"-",VLOOKUP($C$7&amp;"Adjusted seen over_65"&amp;$G$8,REPORT_raw_dataseen!$A$1:$R$817,MATCH($A17,REPORT_raw_dataseen!$D$1:$R$1,1)+3, FALSE)))</f>
        <v>15</v>
      </c>
      <c r="H17" s="264">
        <f>'3a (2)'!H17</f>
        <v>75.72</v>
      </c>
      <c r="I17" s="264">
        <f>'3a (2)'!I17</f>
        <v>7.25</v>
      </c>
      <c r="J17" s="264">
        <f>'3a (2)'!J17</f>
        <v>11.59</v>
      </c>
      <c r="K17" s="258">
        <f>'3a (2)'!K17</f>
        <v>5.43</v>
      </c>
    </row>
    <row r="18" spans="1:11">
      <c r="A18" s="360">
        <f t="shared" si="0"/>
        <v>44136</v>
      </c>
      <c r="B18" s="256" t="str">
        <f>IF(VLOOKUP($C$7,'Type of adjust'!$A$1:$P$18,MATCH($A18,'Type of adjust'!$A$1:$P$1,1),FALSE)="", "..", VLOOKUP($C$7,'Type of adjust'!$A$1:$P$18,MATCH($A18,'Type of adjust'!$A$1:$P$1,1),FALSE))</f>
        <v>..</v>
      </c>
      <c r="C18" s="261">
        <f>IF(VLOOKUP($C$7&amp;"Adjusted seen over_65"&amp;$C$9,REPORT_raw_dataseen!$A$1:$R$817,MATCH($A18,REPORT_raw_dataseen!$D$1:$R$1,1)+3, FALSE)=0,"-", IF(VLOOKUP($C$7&amp;"Adjusted seen over_65"&amp;$C$9,REPORT_raw_dataseen!$A$1:$R$817,MATCH($A18,REPORT_raw_dataseen!$D$1:$R$1,1)+3, FALSE)&lt;9,"*",VLOOKUP($C$7&amp;"Adjusted seen over_65"&amp;$C$9,REPORT_raw_dataseen!$A$1:$R$817,MATCH($A18,REPORT_raw_dataseen!$D$1:$R$1,1)+3, FALSE)))</f>
        <v>448</v>
      </c>
      <c r="D18" s="261">
        <f>IF(C18="*","*",IF(VLOOKUP($C$7&amp;"Adjusted seen over_65"&amp;$D$10,REPORT_raw_dataseen!$A$1:$R$817,MATCH($A18,REPORT_raw_dataseen!$D$1:$R$1,1)+3,FALSE)=0,"-",VLOOKUP($C$7&amp;"Adjusted seen over_65"&amp;$D$10,REPORT_raw_dataseen!$A$1:$R$817,MATCH($A18,REPORT_raw_dataseen!$D$1:$R$1,1)+3,FALSE)))</f>
        <v>331</v>
      </c>
      <c r="E18" s="261">
        <f>IF(C18="*","*",IF(VLOOKUP($C$7&amp;"Adjusted seen over_65"&amp;$E$10,REPORT_raw_dataseen!$A$1:$R$817,MATCH($A18,REPORT_raw_dataseen!$D$1:$R$1,1)+3, FALSE)=0,"-",VLOOKUP($C$7&amp;"Adjusted seen over_65"&amp;$E$10,REPORT_raw_dataseen!$A$1:$R$817,MATCH($A18,REPORT_raw_dataseen!$D$1:$R$1,1)+3, FALSE)))</f>
        <v>36</v>
      </c>
      <c r="F18" s="261">
        <f>IF(C18="*","*",IF(VLOOKUP($C$7&amp;"Adjusted seen over_65"&amp;$F$8,REPORT_raw_dataseen!$A$1:$R$817,MATCH($A18,REPORT_raw_dataseen!$D$1:$R$1,1)+3, FALSE)=0,"-",VLOOKUP($C$7&amp;"Adjusted seen over_65"&amp;$F$8,REPORT_raw_dataseen!$A$1:$R$817,MATCH($A18,REPORT_raw_dataseen!$D$1:$R$1,1)+3, FALSE)))</f>
        <v>47</v>
      </c>
      <c r="G18" s="261">
        <f>IF(C18="*","*",IF(VLOOKUP($C$7&amp;"Adjusted seen over_65"&amp;$G$8,REPORT_raw_dataseen!$A$1:$R$817,MATCH($A18,REPORT_raw_dataseen!$D$1:$R$1,1)+3, FALSE)=0,"-",VLOOKUP($C$7&amp;"Adjusted seen over_65"&amp;$G$8,REPORT_raw_dataseen!$A$1:$R$817,MATCH($A18,REPORT_raw_dataseen!$D$1:$R$1,1)+3, FALSE)))</f>
        <v>34</v>
      </c>
      <c r="H18" s="264">
        <f>'3a (2)'!H18</f>
        <v>73.88</v>
      </c>
      <c r="I18" s="264">
        <f>'3a (2)'!I18</f>
        <v>8.0399999999999991</v>
      </c>
      <c r="J18" s="264">
        <f>'3a (2)'!J18</f>
        <v>10.49</v>
      </c>
      <c r="K18" s="258">
        <f>'3a (2)'!K18</f>
        <v>7.59</v>
      </c>
    </row>
    <row r="19" spans="1:11">
      <c r="A19" s="360">
        <f t="shared" si="0"/>
        <v>44105</v>
      </c>
      <c r="B19" s="256" t="str">
        <f>IF(VLOOKUP($C$7,'Type of adjust'!$A$1:$P$18,MATCH($A19,'Type of adjust'!$A$1:$P$1,1),FALSE)="", "..", VLOOKUP($C$7,'Type of adjust'!$A$1:$P$18,MATCH($A19,'Type of adjust'!$A$1:$P$1,1),FALSE))</f>
        <v>..</v>
      </c>
      <c r="C19" s="261">
        <f>IF(VLOOKUP($C$7&amp;"Adjusted seen over_65"&amp;$C$9,REPORT_raw_dataseen!$A$1:$R$817,MATCH($A19,REPORT_raw_dataseen!$D$1:$R$1,1)+3, FALSE)=0,"-", IF(VLOOKUP($C$7&amp;"Adjusted seen over_65"&amp;$C$9,REPORT_raw_dataseen!$A$1:$R$817,MATCH($A19,REPORT_raw_dataseen!$D$1:$R$1,1)+3, FALSE)&lt;9,"*",VLOOKUP($C$7&amp;"Adjusted seen over_65"&amp;$C$9,REPORT_raw_dataseen!$A$1:$R$817,MATCH($A19,REPORT_raw_dataseen!$D$1:$R$1,1)+3, FALSE)))</f>
        <v>241</v>
      </c>
      <c r="D19" s="261">
        <f>IF(C19="*","*",IF(VLOOKUP($C$7&amp;"Adjusted seen over_65"&amp;$D$10,REPORT_raw_dataseen!$A$1:$R$817,MATCH($A19,REPORT_raw_dataseen!$D$1:$R$1,1)+3,FALSE)=0,"-",VLOOKUP($C$7&amp;"Adjusted seen over_65"&amp;$D$10,REPORT_raw_dataseen!$A$1:$R$817,MATCH($A19,REPORT_raw_dataseen!$D$1:$R$1,1)+3,FALSE)))</f>
        <v>207</v>
      </c>
      <c r="E19" s="261">
        <f>IF(C19="*","*",IF(VLOOKUP($C$7&amp;"Adjusted seen over_65"&amp;$E$10,REPORT_raw_dataseen!$A$1:$R$817,MATCH($A19,REPORT_raw_dataseen!$D$1:$R$1,1)+3, FALSE)=0,"-",VLOOKUP($C$7&amp;"Adjusted seen over_65"&amp;$E$10,REPORT_raw_dataseen!$A$1:$R$817,MATCH($A19,REPORT_raw_dataseen!$D$1:$R$1,1)+3, FALSE)))</f>
        <v>19</v>
      </c>
      <c r="F19" s="261">
        <f>IF(C19="*","*",IF(VLOOKUP($C$7&amp;"Adjusted seen over_65"&amp;$F$8,REPORT_raw_dataseen!$A$1:$R$817,MATCH($A19,REPORT_raw_dataseen!$D$1:$R$1,1)+3, FALSE)=0,"-",VLOOKUP($C$7&amp;"Adjusted seen over_65"&amp;$F$8,REPORT_raw_dataseen!$A$1:$R$817,MATCH($A19,REPORT_raw_dataseen!$D$1:$R$1,1)+3, FALSE)))</f>
        <v>8</v>
      </c>
      <c r="G19" s="261">
        <f>IF(C19="*","*",IF(VLOOKUP($C$7&amp;"Adjusted seen over_65"&amp;$G$8,REPORT_raw_dataseen!$A$1:$R$817,MATCH($A19,REPORT_raw_dataseen!$D$1:$R$1,1)+3, FALSE)=0,"-",VLOOKUP($C$7&amp;"Adjusted seen over_65"&amp;$G$8,REPORT_raw_dataseen!$A$1:$R$817,MATCH($A19,REPORT_raw_dataseen!$D$1:$R$1,1)+3, FALSE)))</f>
        <v>7</v>
      </c>
      <c r="H19" s="264">
        <f>'3a (2)'!H19</f>
        <v>85.89</v>
      </c>
      <c r="I19" s="264">
        <f>'3a (2)'!I19</f>
        <v>7.88</v>
      </c>
      <c r="J19" s="264">
        <f>'3a (2)'!J19</f>
        <v>3.32</v>
      </c>
      <c r="K19" s="258">
        <f>'3a (2)'!K19</f>
        <v>2.9</v>
      </c>
    </row>
    <row r="20" spans="1:11">
      <c r="A20" s="360">
        <f t="shared" si="0"/>
        <v>44075</v>
      </c>
      <c r="B20" s="256" t="str">
        <f>IF(VLOOKUP($C$7,'Type of adjust'!$A$1:$P$18,MATCH($A20,'Type of adjust'!$A$1:$P$1,1),FALSE)="", "..", VLOOKUP($C$7,'Type of adjust'!$A$1:$P$18,MATCH($A20,'Type of adjust'!$A$1:$P$1,1),FALSE))</f>
        <v>..</v>
      </c>
      <c r="C20" s="261">
        <f>IF(VLOOKUP($C$7&amp;"Adjusted seen over_65"&amp;$C$9,REPORT_raw_dataseen!$A$1:$R$817,MATCH($A20,REPORT_raw_dataseen!$D$1:$R$1,1)+3, FALSE)=0,"-", IF(VLOOKUP($C$7&amp;"Adjusted seen over_65"&amp;$C$9,REPORT_raw_dataseen!$A$1:$R$817,MATCH($A20,REPORT_raw_dataseen!$D$1:$R$1,1)+3, FALSE)&lt;5,"*",VLOOKUP($C$7&amp;"Adjusted seen over_65"&amp;$C$9,REPORT_raw_dataseen!$A$1:$R$817,MATCH($A20,REPORT_raw_dataseen!$D$1:$R$1,1)+3, FALSE)))</f>
        <v>251</v>
      </c>
      <c r="D20" s="261">
        <f>IF(C20="*","*",IF(VLOOKUP($C$7&amp;"Adjusted seen over_65"&amp;$D$10,REPORT_raw_dataseen!$A$1:$R$817,MATCH($A20,REPORT_raw_dataseen!$D$1:$R$1,1)+3,FALSE)=0,"-",VLOOKUP($C$7&amp;"Adjusted seen over_65"&amp;$D$10,REPORT_raw_dataseen!$A$1:$R$817,MATCH($A20,REPORT_raw_dataseen!$D$1:$R$1,1)+3,FALSE)))</f>
        <v>203</v>
      </c>
      <c r="E20" s="261">
        <f>IF(C20="*","*",IF(VLOOKUP($C$7&amp;"Adjusted seen over_65"&amp;$E$10,REPORT_raw_dataseen!$A$1:$R$817,MATCH($A20,REPORT_raw_dataseen!$D$1:$R$1,1)+3, FALSE)=0,"-",VLOOKUP($C$7&amp;"Adjusted seen over_65"&amp;$E$10,REPORT_raw_dataseen!$A$1:$R$817,MATCH($A20,REPORT_raw_dataseen!$D$1:$R$1,1)+3, FALSE)))</f>
        <v>36</v>
      </c>
      <c r="F20" s="261">
        <f>IF(C20="*","*",IF(VLOOKUP($C$7&amp;"Adjusted seen over_65"&amp;$F$8,REPORT_raw_dataseen!$A$1:$R$817,MATCH($A20,REPORT_raw_dataseen!$D$1:$R$1,1)+3, FALSE)=0,"-",VLOOKUP($C$7&amp;"Adjusted seen over_65"&amp;$F$8,REPORT_raw_dataseen!$A$1:$R$817,MATCH($A20,REPORT_raw_dataseen!$D$1:$R$1,1)+3, FALSE)))</f>
        <v>9</v>
      </c>
      <c r="G20" s="261">
        <f>IF(C20="*","*",IF(VLOOKUP($C$7&amp;"Adjusted seen over_65"&amp;$G$8,REPORT_raw_dataseen!$A$1:$R$817,MATCH($A20,REPORT_raw_dataseen!$D$1:$R$1,1)+3, FALSE)=0,"-",VLOOKUP($C$7&amp;"Adjusted seen over_65"&amp;$G$8,REPORT_raw_dataseen!$A$1:$R$817,MATCH($A20,REPORT_raw_dataseen!$D$1:$R$1,1)+3, FALSE)))</f>
        <v>3</v>
      </c>
      <c r="H20" s="264">
        <f>'3a (2)'!H20</f>
        <v>80.88</v>
      </c>
      <c r="I20" s="264">
        <f>'3a (2)'!I20</f>
        <v>14.34</v>
      </c>
      <c r="J20" s="264">
        <f>'3a (2)'!J20</f>
        <v>3.59</v>
      </c>
      <c r="K20" s="258">
        <f>'3a (2)'!K20</f>
        <v>1.2</v>
      </c>
    </row>
    <row r="21" spans="1:11">
      <c r="A21" s="360">
        <f t="shared" si="0"/>
        <v>44044</v>
      </c>
      <c r="B21" s="256" t="str">
        <f>IF(VLOOKUP($C$7,'Type of adjust'!$A$1:$P$18,MATCH($A21,'Type of adjust'!$A$1:$P$1,1),FALSE)="", "..", VLOOKUP($C$7,'Type of adjust'!$A$1:$P$18,MATCH($A21,'Type of adjust'!$A$1:$P$1,1),FALSE))</f>
        <v>..</v>
      </c>
      <c r="C21" s="261">
        <v>9</v>
      </c>
      <c r="D21" s="261">
        <f>IF(C21="*","*",IF(VLOOKUP($C$7&amp;"Adjusted seen over_65"&amp;$D$10,REPORT_raw_dataseen!$A$1:$R$817,MATCH($A21,REPORT_raw_dataseen!$D$1:$R$1,1)+3,FALSE)=0,"-",VLOOKUP($C$7&amp;"Adjusted seen over_65"&amp;$D$10,REPORT_raw_dataseen!$A$1:$R$817,MATCH($A21,REPORT_raw_dataseen!$D$1:$R$1,1)+3,FALSE)))</f>
        <v>163</v>
      </c>
      <c r="E21" s="261">
        <f>IF(C21="*","*",IF(VLOOKUP($C$7&amp;"Adjusted seen over_65"&amp;$E$10,REPORT_raw_dataseen!$A$1:$R$817,MATCH($A21,REPORT_raw_dataseen!$D$1:$R$1,1)+3, FALSE)=0,"-",VLOOKUP($C$7&amp;"Adjusted seen over_65"&amp;$E$10,REPORT_raw_dataseen!$A$1:$R$817,MATCH($A21,REPORT_raw_dataseen!$D$1:$R$1,1)+3, FALSE)))</f>
        <v>67</v>
      </c>
      <c r="F21" s="261">
        <f>IF(C21="*","*",IF(VLOOKUP($C$7&amp;"Adjusted seen over_65"&amp;$F$8,REPORT_raw_dataseen!$A$1:$R$817,MATCH($A21,REPORT_raw_dataseen!$D$1:$R$1,1)+3, FALSE)=0,"-",VLOOKUP($C$7&amp;"Adjusted seen over_65"&amp;$F$8,REPORT_raw_dataseen!$A$1:$R$817,MATCH($A21,REPORT_raw_dataseen!$D$1:$R$1,1)+3, FALSE)))</f>
        <v>11</v>
      </c>
      <c r="G21" s="261">
        <f>IF(C21="*","*",IF(VLOOKUP($C$7&amp;"Adjusted seen over_65"&amp;$G$8,REPORT_raw_dataseen!$A$1:$R$817,MATCH($A21,REPORT_raw_dataseen!$D$1:$R$1,1)+3, FALSE)=0,"-",VLOOKUP($C$7&amp;"Adjusted seen over_65"&amp;$G$8,REPORT_raw_dataseen!$A$1:$R$817,MATCH($A21,REPORT_raw_dataseen!$D$1:$R$1,1)+3, FALSE)))</f>
        <v>2</v>
      </c>
      <c r="H21" s="264">
        <f>'3a (2)'!H21</f>
        <v>67.08</v>
      </c>
      <c r="I21" s="264">
        <f>'3a (2)'!I21</f>
        <v>27.57</v>
      </c>
      <c r="J21" s="264">
        <f>'3a (2)'!J21</f>
        <v>4.53</v>
      </c>
      <c r="K21" s="258">
        <f>'3a (2)'!K21</f>
        <v>0.82</v>
      </c>
    </row>
    <row r="22" spans="1:11">
      <c r="A22" s="360">
        <f t="shared" si="0"/>
        <v>44013</v>
      </c>
      <c r="B22" s="256" t="str">
        <f>IF(VLOOKUP($C$7,'Type of adjust'!$A$1:$P$18,MATCH($A22,'Type of adjust'!$A$1:$P$1,1),FALSE)="", "..", VLOOKUP($C$7,'Type of adjust'!$A$1:$P$18,MATCH($A22,'Type of adjust'!$A$1:$P$1,1),FALSE))</f>
        <v>..</v>
      </c>
      <c r="C22" s="261">
        <f>IF(VLOOKUP($C$7&amp;"Adjusted seen over_65"&amp;$C$9,REPORT_raw_dataseen!$A$1:$R$817,MATCH($A22,REPORT_raw_dataseen!$D$1:$R$1,1)+3, FALSE)=0,"-", IF(VLOOKUP($C$7&amp;"Adjusted seen over_65"&amp;$C$9,REPORT_raw_dataseen!$A$1:$R$817,MATCH($A22,REPORT_raw_dataseen!$D$1:$R$1,1)+3, FALSE)&lt;5,"*",VLOOKUP($C$7&amp;"Adjusted seen over_65"&amp;$C$9,REPORT_raw_dataseen!$A$1:$R$817,MATCH($A22,REPORT_raw_dataseen!$D$1:$R$1,1)+3, FALSE)))</f>
        <v>329</v>
      </c>
      <c r="D22" s="261">
        <f>IF(C22="*","*",IF(VLOOKUP($C$7&amp;"Adjusted seen over_65"&amp;$D$10,REPORT_raw_dataseen!$A$1:$R$817,MATCH($A22,REPORT_raw_dataseen!$D$1:$R$1,1)+3,FALSE)=0,"-",VLOOKUP($C$7&amp;"Adjusted seen over_65"&amp;$D$10,REPORT_raw_dataseen!$A$1:$R$817,MATCH($A22,REPORT_raw_dataseen!$D$1:$R$1,1)+3,FALSE)))</f>
        <v>251</v>
      </c>
      <c r="E22" s="261">
        <f>IF(C22="*","*",IF(VLOOKUP($C$7&amp;"Adjusted seen over_65"&amp;$E$10,REPORT_raw_dataseen!$A$1:$R$817,MATCH($A22,REPORT_raw_dataseen!$D$1:$R$1,1)+3, FALSE)=0,"-",VLOOKUP($C$7&amp;"Adjusted seen over_65"&amp;$E$10,REPORT_raw_dataseen!$A$1:$R$817,MATCH($A22,REPORT_raw_dataseen!$D$1:$R$1,1)+3, FALSE)))</f>
        <v>63</v>
      </c>
      <c r="F22" s="261">
        <f>IF(C22="*","*",IF(VLOOKUP($C$7&amp;"Adjusted seen over_65"&amp;$F$8,REPORT_raw_dataseen!$A$1:$R$817,MATCH($A22,REPORT_raw_dataseen!$D$1:$R$1,1)+3, FALSE)=0,"-",VLOOKUP($C$7&amp;"Adjusted seen over_65"&amp;$F$8,REPORT_raw_dataseen!$A$1:$R$817,MATCH($A22,REPORT_raw_dataseen!$D$1:$R$1,1)+3, FALSE)))</f>
        <v>5</v>
      </c>
      <c r="G22" s="261">
        <f>IF(C22="*","*",IF(VLOOKUP($C$7&amp;"Adjusted seen over_65"&amp;$G$8,REPORT_raw_dataseen!$A$1:$R$817,MATCH($A22,REPORT_raw_dataseen!$D$1:$R$1,1)+3, FALSE)=0,"-",VLOOKUP($C$7&amp;"Adjusted seen over_65"&amp;$G$8,REPORT_raw_dataseen!$A$1:$R$817,MATCH($A22,REPORT_raw_dataseen!$D$1:$R$1,1)+3, FALSE)))</f>
        <v>10</v>
      </c>
      <c r="H22" s="264">
        <f>'3a (2)'!H22</f>
        <v>76.290000000000006</v>
      </c>
      <c r="I22" s="264">
        <f>'3a (2)'!I22</f>
        <v>19.149999999999999</v>
      </c>
      <c r="J22" s="264">
        <f>'3a (2)'!J22</f>
        <v>1.52</v>
      </c>
      <c r="K22" s="258">
        <f>'3a (2)'!K22</f>
        <v>3.04</v>
      </c>
    </row>
    <row r="23" spans="1:11">
      <c r="A23" s="360">
        <f t="shared" si="0"/>
        <v>43983</v>
      </c>
      <c r="B23" s="256" t="str">
        <f>IF(VLOOKUP($C$7,'Type of adjust'!$A$1:$P$18,MATCH($A23,'Type of adjust'!$A$1:$P$1,1),FALSE)="", "..", VLOOKUP($C$7,'Type of adjust'!$A$1:$P$18,MATCH($A23,'Type of adjust'!$A$1:$P$1,1),FALSE))</f>
        <v>..</v>
      </c>
      <c r="C23" s="261">
        <f>IF(VLOOKUP($C$7&amp;"Adjusted seen over_65"&amp;$C$9,REPORT_raw_dataseen!$A$1:$R$817,MATCH($A23,REPORT_raw_dataseen!$D$1:$R$1,1)+3, FALSE)=0,"-", IF(VLOOKUP($C$7&amp;"Adjusted seen over_65"&amp;$C$9,REPORT_raw_dataseen!$A$1:$R$817,MATCH($A23,REPORT_raw_dataseen!$D$1:$R$1,1)+3, FALSE)&lt;5,"*",VLOOKUP($C$7&amp;"Adjusted seen over_65"&amp;$C$9,REPORT_raw_dataseen!$A$1:$R$817,MATCH($A23,REPORT_raw_dataseen!$D$1:$R$1,1)+3, FALSE)))</f>
        <v>257</v>
      </c>
      <c r="D23" s="261">
        <f>IF(C23="*","*",IF(VLOOKUP($C$7&amp;"Adjusted seen over_65"&amp;$D$10,REPORT_raw_dataseen!$A$1:$R$817,MATCH($A23,REPORT_raw_dataseen!$D$1:$R$1,1)+3,FALSE)=0,"-",VLOOKUP($C$7&amp;"Adjusted seen over_65"&amp;$D$10,REPORT_raw_dataseen!$A$1:$R$817,MATCH($A23,REPORT_raw_dataseen!$D$1:$R$1,1)+3,FALSE)))</f>
        <v>209</v>
      </c>
      <c r="E23" s="261">
        <f>IF(C23="*","*",IF(VLOOKUP($C$7&amp;"Adjusted seen over_65"&amp;$E$10,REPORT_raw_dataseen!$A$1:$R$817,MATCH($A23,REPORT_raw_dataseen!$D$1:$R$1,1)+3, FALSE)=0,"-",VLOOKUP($C$7&amp;"Adjusted seen over_65"&amp;$E$10,REPORT_raw_dataseen!$A$1:$R$817,MATCH($A23,REPORT_raw_dataseen!$D$1:$R$1,1)+3, FALSE)))</f>
        <v>34</v>
      </c>
      <c r="F23" s="261">
        <f>IF(C23="*","*",IF(VLOOKUP($C$7&amp;"Adjusted seen over_65"&amp;$F$8,REPORT_raw_dataseen!$A$1:$R$817,MATCH($A23,REPORT_raw_dataseen!$D$1:$R$1,1)+3, FALSE)=0,"-",VLOOKUP($C$7&amp;"Adjusted seen over_65"&amp;$F$8,REPORT_raw_dataseen!$A$1:$R$817,MATCH($A23,REPORT_raw_dataseen!$D$1:$R$1,1)+3, FALSE)))</f>
        <v>5</v>
      </c>
      <c r="G23" s="261">
        <f>IF(C23="*","*",IF(VLOOKUP($C$7&amp;"Adjusted seen over_65"&amp;$G$8,REPORT_raw_dataseen!$A$1:$R$817,MATCH($A23,REPORT_raw_dataseen!$D$1:$R$1,1)+3, FALSE)=0,"-",VLOOKUP($C$7&amp;"Adjusted seen over_65"&amp;$G$8,REPORT_raw_dataseen!$A$1:$R$817,MATCH($A23,REPORT_raw_dataseen!$D$1:$R$1,1)+3, FALSE)))</f>
        <v>9</v>
      </c>
      <c r="H23" s="264">
        <f>'3a (2)'!H23</f>
        <v>81.319999999999993</v>
      </c>
      <c r="I23" s="264">
        <f>'3a (2)'!I23</f>
        <v>13.23</v>
      </c>
      <c r="J23" s="264">
        <f>'3a (2)'!J23</f>
        <v>1.95</v>
      </c>
      <c r="K23" s="258">
        <f>'3a (2)'!K23</f>
        <v>3.5</v>
      </c>
    </row>
    <row r="24" spans="1:11">
      <c r="A24" s="360">
        <f t="shared" si="0"/>
        <v>43952</v>
      </c>
      <c r="B24" s="256" t="str">
        <f>IF(VLOOKUP($C$7,'Type of adjust'!$A$1:$P$18,MATCH($A24,'Type of adjust'!$A$1:$P$1,1),FALSE)="", "..", VLOOKUP($C$7,'Type of adjust'!$A$1:$P$18,MATCH($A24,'Type of adjust'!$A$1:$P$1,1),FALSE))</f>
        <v>..</v>
      </c>
      <c r="C24" s="261">
        <f>IF(VLOOKUP($C$7&amp;"Adjusted seen over_65"&amp;$C$9,REPORT_raw_dataseen!$A$1:$R$817,MATCH($A24,REPORT_raw_dataseen!$D$1:$R$1,1)+3, FALSE)=0,"-", IF(VLOOKUP($C$7&amp;"Adjusted seen over_65"&amp;$C$9,REPORT_raw_dataseen!$A$1:$R$817,MATCH($A24,REPORT_raw_dataseen!$D$1:$R$1,1)+3, FALSE)&lt;5,"*",VLOOKUP($C$7&amp;"Adjusted seen over_65"&amp;$C$9,REPORT_raw_dataseen!$A$1:$R$817,MATCH($A24,REPORT_raw_dataseen!$D$1:$R$1,1)+3, FALSE)))</f>
        <v>131</v>
      </c>
      <c r="D24" s="261">
        <f>IF(C24="*","*",IF(VLOOKUP($C$7&amp;"Adjusted seen over_65"&amp;$D$10,REPORT_raw_dataseen!$A$1:$R$817,MATCH($A24,REPORT_raw_dataseen!$D$1:$R$1,1)+3,FALSE)=0,"-",VLOOKUP($C$7&amp;"Adjusted seen over_65"&amp;$D$10,REPORT_raw_dataseen!$A$1:$R$817,MATCH($A24,REPORT_raw_dataseen!$D$1:$R$1,1)+3,FALSE)))</f>
        <v>111</v>
      </c>
      <c r="E24" s="261">
        <f>IF(C24="*","*",IF(VLOOKUP($C$7&amp;"Adjusted seen over_65"&amp;$E$10,REPORT_raw_dataseen!$A$1:$R$817,MATCH($A24,REPORT_raw_dataseen!$D$1:$R$1,1)+3, FALSE)=0,"-",VLOOKUP($C$7&amp;"Adjusted seen over_65"&amp;$E$10,REPORT_raw_dataseen!$A$1:$R$817,MATCH($A24,REPORT_raw_dataseen!$D$1:$R$1,1)+3, FALSE)))</f>
        <v>7</v>
      </c>
      <c r="F24" s="261">
        <f>IF(C24="*","*",IF(VLOOKUP($C$7&amp;"Adjusted seen over_65"&amp;$F$8,REPORT_raw_dataseen!$A$1:$R$817,MATCH($A24,REPORT_raw_dataseen!$D$1:$R$1,1)+3, FALSE)=0,"-",VLOOKUP($C$7&amp;"Adjusted seen over_65"&amp;$F$8,REPORT_raw_dataseen!$A$1:$R$817,MATCH($A24,REPORT_raw_dataseen!$D$1:$R$1,1)+3, FALSE)))</f>
        <v>9</v>
      </c>
      <c r="G24" s="261">
        <f>IF(C24="*","*",IF(VLOOKUP($C$7&amp;"Adjusted seen over_65"&amp;$G$8,REPORT_raw_dataseen!$A$1:$R$817,MATCH($A24,REPORT_raw_dataseen!$D$1:$R$1,1)+3, FALSE)=0,"-",VLOOKUP($C$7&amp;"Adjusted seen over_65"&amp;$G$8,REPORT_raw_dataseen!$A$1:$R$817,MATCH($A24,REPORT_raw_dataseen!$D$1:$R$1,1)+3, FALSE)))</f>
        <v>4</v>
      </c>
      <c r="H24" s="264">
        <f>'3a (2)'!H24</f>
        <v>84.73</v>
      </c>
      <c r="I24" s="264">
        <f>'3a (2)'!I24</f>
        <v>5.34</v>
      </c>
      <c r="J24" s="264">
        <f>'3a (2)'!J24</f>
        <v>6.87</v>
      </c>
      <c r="K24" s="258">
        <f>'3a (2)'!K24</f>
        <v>3.05</v>
      </c>
    </row>
    <row r="25" spans="1:11">
      <c r="A25" s="360">
        <f t="shared" si="0"/>
        <v>43922</v>
      </c>
      <c r="B25" s="256" t="str">
        <f>IF(VLOOKUP($C$7,'Type of adjust'!$A$1:$P$18,MATCH($A25,'Type of adjust'!$A$1:$P$1,1),FALSE)="", "..", VLOOKUP($C$7,'Type of adjust'!$A$1:$P$18,MATCH($A25,'Type of adjust'!$A$1:$P$1,1),FALSE))</f>
        <v>..</v>
      </c>
      <c r="C25" s="261">
        <f>IF(VLOOKUP($C$7&amp;"Adjusted seen over_65"&amp;$C$9,REPORT_raw_dataseen!$A$1:$R$817,MATCH($A25,REPORT_raw_dataseen!$D$1:$R$1,1)+3, FALSE)=0,"-", IF(VLOOKUP($C$7&amp;"Adjusted seen over_65"&amp;$C$9,REPORT_raw_dataseen!$A$1:$R$817,MATCH($A25,REPORT_raw_dataseen!$D$1:$R$1,1)+3, FALSE)&lt;5,"*",VLOOKUP($C$7&amp;"Adjusted seen over_65"&amp;$C$9,REPORT_raw_dataseen!$A$1:$R$817,MATCH($A25,REPORT_raw_dataseen!$D$1:$R$1,1)+3, FALSE)))</f>
        <v>149</v>
      </c>
      <c r="D25" s="261">
        <f>IF(C25="*","*",IF(VLOOKUP($C$7&amp;"Adjusted seen over_65"&amp;$D$10,REPORT_raw_dataseen!$A$1:$R$817,MATCH($A25,REPORT_raw_dataseen!$D$1:$R$1,1)+3,FALSE)=0,"-",VLOOKUP($C$7&amp;"Adjusted seen over_65"&amp;$D$10,REPORT_raw_dataseen!$A$1:$R$817,MATCH($A25,REPORT_raw_dataseen!$D$1:$R$1,1)+3,FALSE)))</f>
        <v>133</v>
      </c>
      <c r="E25" s="261">
        <f>IF(C25="*","*",IF(VLOOKUP($C$7&amp;"Adjusted seen over_65"&amp;$E$10,REPORT_raw_dataseen!$A$1:$R$817,MATCH($A25,REPORT_raw_dataseen!$D$1:$R$1,1)+3, FALSE)=0,"-",VLOOKUP($C$7&amp;"Adjusted seen over_65"&amp;$E$10,REPORT_raw_dataseen!$A$1:$R$817,MATCH($A25,REPORT_raw_dataseen!$D$1:$R$1,1)+3, FALSE)))</f>
        <v>10</v>
      </c>
      <c r="F25" s="261" t="str">
        <f>IF(C25="*","*",IF(VLOOKUP($C$7&amp;"Adjusted seen over_65"&amp;$F$8,REPORT_raw_dataseen!$A$1:$R$817,MATCH($A25,REPORT_raw_dataseen!$D$1:$R$1,1)+3, FALSE)=0,"-",VLOOKUP($C$7&amp;"Adjusted seen over_65"&amp;$F$8,REPORT_raw_dataseen!$A$1:$R$817,MATCH($A25,REPORT_raw_dataseen!$D$1:$R$1,1)+3, FALSE)))</f>
        <v>-</v>
      </c>
      <c r="G25" s="261">
        <f>IF(C25="*","*",IF(VLOOKUP($C$7&amp;"Adjusted seen over_65"&amp;$G$8,REPORT_raw_dataseen!$A$1:$R$817,MATCH($A25,REPORT_raw_dataseen!$D$1:$R$1,1)+3, FALSE)=0,"-",VLOOKUP($C$7&amp;"Adjusted seen over_65"&amp;$G$8,REPORT_raw_dataseen!$A$1:$R$817,MATCH($A25,REPORT_raw_dataseen!$D$1:$R$1,1)+3, FALSE)))</f>
        <v>6</v>
      </c>
      <c r="H25" s="264">
        <f>'3a (2)'!H25</f>
        <v>89.26</v>
      </c>
      <c r="I25" s="264">
        <f>'3a (2)'!I25</f>
        <v>6.71</v>
      </c>
      <c r="J25" s="264" t="str">
        <f>'3a (2)'!J25</f>
        <v>-</v>
      </c>
      <c r="K25" s="258">
        <f>'3a (2)'!K25</f>
        <v>4.03</v>
      </c>
    </row>
    <row r="26" spans="1:11">
      <c r="A26" s="274"/>
      <c r="B26" s="266"/>
      <c r="C26" s="266"/>
      <c r="D26" s="266"/>
      <c r="E26" s="266"/>
      <c r="F26" s="266"/>
      <c r="G26" s="271"/>
      <c r="H26" s="271"/>
      <c r="I26" s="271"/>
      <c r="J26" s="271"/>
      <c r="K26" s="282"/>
    </row>
    <row r="27" spans="1:11">
      <c r="A27" s="274" t="str">
        <f>"quarter ending "&amp;TEXT(A11,"mmm yyyy")</f>
        <v>quarter ending Jun 2021</v>
      </c>
      <c r="B27" s="267" t="str">
        <f>B11</f>
        <v>..</v>
      </c>
      <c r="C27" s="269">
        <f>IF(OR(C11="*", C12="*", C13="*"),"*", IF(COUNTIF(C11:C13,"..")=3,"..",IF(SUM(C11:C13)=0,"-",SUM(C11:C13))))</f>
        <v>1176</v>
      </c>
      <c r="D27" s="269">
        <f>IF(OR(D11="*", D12="*", D13="*"),"*", IF(COUNTIF(D11:D13,"..")=3,"..",IF(SUM(D11:D13)=0,"-",SUM(D11:D13))))</f>
        <v>1015</v>
      </c>
      <c r="E27" s="269">
        <f>IF(OR(E11="*", E12="*", E13="*"),"*", IF(COUNTIF(E11:E13,"..")=3,"..",IF(SUM(E11:E13)=0,"-",SUM(E11:E13))))</f>
        <v>104</v>
      </c>
      <c r="F27" s="269">
        <f>IF(OR(F11="*", F12="*", F13="*"),"*", IF(COUNTIF(F11:F13,"..")=3,"..",IF(SUM(F11:F13)=0,"-",SUM(F11:F13))))</f>
        <v>26</v>
      </c>
      <c r="G27" s="269">
        <f>IF(OR(G11="*", G12="*", G13="*"),"*", IF(COUNTIF(G11:G13,"..")=3,"..",IF(SUM(G11:G13)=0,"-",SUM(G11:G13))))</f>
        <v>31</v>
      </c>
      <c r="H27" s="264">
        <f>'3a (2)'!H27</f>
        <v>86.31</v>
      </c>
      <c r="I27" s="264">
        <f>'3a (2)'!I27</f>
        <v>8.84</v>
      </c>
      <c r="J27" s="264">
        <f>'3a (2)'!J27</f>
        <v>2.21</v>
      </c>
      <c r="K27" s="258">
        <f>'3a (2)'!K27</f>
        <v>2.64</v>
      </c>
    </row>
    <row r="28" spans="1:11">
      <c r="A28" s="274" t="str">
        <f>"quarter ending "&amp;TEXT(A14,"mmm yyyy")</f>
        <v>quarter ending Mar 2021</v>
      </c>
      <c r="B28" s="267" t="str">
        <f>B14</f>
        <v>..</v>
      </c>
      <c r="C28" s="269">
        <f>IF(OR(C14="*", C15="*", C16="*"),"*", IF(COUNTIF(C14:C16,"..")=3,"..",IF(SUM(C14:C16)=0,"-",SUM(C14:C16))))</f>
        <v>914</v>
      </c>
      <c r="D28" s="269">
        <f>IF(OR(D14="*", D15="*", D16="*"),"*", IF(COUNTIF(D14:D16,"..")=3,"..",IF(SUM(D14:D16)=0,"-",SUM(D14:D16))))</f>
        <v>779</v>
      </c>
      <c r="E28" s="269">
        <f>IF(OR(E14="*", E15="*", E16="*"),"*", IF(COUNTIF(E14:E16,"..")=3,"..",IF(SUM(E14:E16)=0,"-",SUM(E14:E16))))</f>
        <v>70</v>
      </c>
      <c r="F28" s="269">
        <f>IF(OR(F14="*", F15="*", F16="*"),"*", IF(COUNTIF(F14:F16,"..")=3,"..",IF(SUM(F14:F16)=0,"-",SUM(F14:F16))))</f>
        <v>37</v>
      </c>
      <c r="G28" s="269">
        <f>IF(OR(G14="*", G15="*", G16="*"),"*", IF(COUNTIF(G14:G16,"..")=3,"..",IF(SUM(G14:G16)=0,"-",SUM(G14:G16))))</f>
        <v>28</v>
      </c>
      <c r="H28" s="264">
        <f>'3a (2)'!H28</f>
        <v>85.23</v>
      </c>
      <c r="I28" s="264">
        <f>'3a (2)'!I28</f>
        <v>7.66</v>
      </c>
      <c r="J28" s="264">
        <f>'3a (2)'!J28</f>
        <v>4.05</v>
      </c>
      <c r="K28" s="258">
        <f>'3a (2)'!K28</f>
        <v>3.06</v>
      </c>
    </row>
    <row r="29" spans="1:11">
      <c r="A29" s="274" t="str">
        <f>"quarter ending "&amp;TEXT(A17,"mmm yyyy")</f>
        <v>quarter ending Dec 2020</v>
      </c>
      <c r="B29" s="267" t="str">
        <f>B17</f>
        <v>..</v>
      </c>
      <c r="C29" s="269">
        <f>IF(OR(C17="*", C18="*", C19="*"),"*", IF(COUNTIF(C17:C19,"..")=3,"..",IF(SUM(C17:C19)=0,"-",SUM(C17:C19))))</f>
        <v>965</v>
      </c>
      <c r="D29" s="269">
        <f>IF(OR(D17="*", D18="*", D19="*"),"*", IF(COUNTIF(D17:D19,"..")=3,"..",IF(SUM(D17:D19)=0,"-",SUM(D17:D19))))</f>
        <v>747</v>
      </c>
      <c r="E29" s="269">
        <f>IF(OR(E17="*", E18="*", E19="*"),"*", IF(COUNTIF(E17:E19,"..")=3,"..",IF(SUM(E17:E19)=0,"-",SUM(E17:E19))))</f>
        <v>75</v>
      </c>
      <c r="F29" s="269">
        <f>IF(OR(F17="*", F18="*", F19="*"),"*", IF(COUNTIF(F17:F19,"..")=3,"..",IF(SUM(F17:F19)=0,"-",SUM(F17:F19))))</f>
        <v>87</v>
      </c>
      <c r="G29" s="269">
        <f>IF(OR(G17="*", G18="*", G19="*"),"*", IF(COUNTIF(G17:G19,"..")=3,"..",IF(SUM(G17:G19)=0,"-",SUM(G17:G19))))</f>
        <v>56</v>
      </c>
      <c r="H29" s="264">
        <f>'3a (2)'!H29</f>
        <v>77.41</v>
      </c>
      <c r="I29" s="264">
        <f>'3a (2)'!I29</f>
        <v>7.77</v>
      </c>
      <c r="J29" s="264">
        <f>'3a (2)'!J29</f>
        <v>9.02</v>
      </c>
      <c r="K29" s="258">
        <f>'3a (2)'!K29</f>
        <v>5.8</v>
      </c>
    </row>
    <row r="30" spans="1:11">
      <c r="A30" s="274" t="str">
        <f>"quarter ending "&amp;TEXT(A20,"mmm yyyy")</f>
        <v>quarter ending Sep 2020</v>
      </c>
      <c r="B30" s="267" t="str">
        <f>B20</f>
        <v>..</v>
      </c>
      <c r="C30" s="269">
        <f>IF(OR(C20="*", C21="*", C22="*"),"*", IF(COUNTIF(C20:C22,"..")=3,"..",IF(SUM(C20:C22)=0,"-",SUM(C20:C22))))</f>
        <v>589</v>
      </c>
      <c r="D30" s="269">
        <f>IF(OR(D20="*", D21="*", D22="*"),"*", IF(COUNTIF(D20:D22,"..")=3,"..",IF(SUM(D20:D22)=0,"-",SUM(D20:D22))))</f>
        <v>617</v>
      </c>
      <c r="E30" s="269">
        <f>IF(OR(E20="*", E21="*", E22="*"),"*", IF(COUNTIF(E20:E22,"..")=3,"..",IF(SUM(E20:E22)=0,"-",SUM(E20:E22))))</f>
        <v>166</v>
      </c>
      <c r="F30" s="269">
        <f>IF(OR(F20="*", F21="*", F22="*"),"*", IF(COUNTIF(F20:F22,"..")=3,"..",IF(SUM(F20:F22)=0,"-",SUM(F20:F22))))</f>
        <v>25</v>
      </c>
      <c r="G30" s="269">
        <f>IF(OR(G20="*", G21="*", G22="*"),"*", IF(COUNTIF(G20:G22,"..")=3,"..",IF(SUM(G20:G22)=0,"-",SUM(G20:G22))))</f>
        <v>15</v>
      </c>
      <c r="H30" s="264">
        <f>'3a (2)'!H30</f>
        <v>74.97</v>
      </c>
      <c r="I30" s="264">
        <f>'3a (2)'!I30</f>
        <v>20.170000000000002</v>
      </c>
      <c r="J30" s="264">
        <f>'3a (2)'!J30</f>
        <v>3.04</v>
      </c>
      <c r="K30" s="258">
        <f>'3a (2)'!K30</f>
        <v>1.82</v>
      </c>
    </row>
    <row r="31" spans="1:11">
      <c r="A31" s="363" t="str">
        <f>"quarter ending "&amp;TEXT(A23,"mmm yyyy")</f>
        <v>quarter ending Jun 2020</v>
      </c>
      <c r="B31" s="268" t="str">
        <f>B23</f>
        <v>..</v>
      </c>
      <c r="C31" s="270">
        <f>IF(OR(C23="*", C24="*", C25="*"),"*", IF(COUNTIF(C23:C25,"..")=3,"..",IF(SUM(C23:C25)=0,"-",SUM(C23:C25))))</f>
        <v>537</v>
      </c>
      <c r="D31" s="270">
        <f>IF(OR(D23="*", D24="*", D25="*"),"*", IF(COUNTIF(D23:D25,"..")=3,"..",IF(SUM(D23:D25)=0,"-",SUM(D23:D25))))</f>
        <v>453</v>
      </c>
      <c r="E31" s="270">
        <f>IF(OR(E23="*", E24="*", E25="*"),"*", IF(COUNTIF(E23:E25,"..")=3,"..",IF(SUM(E23:E25)=0,"-",SUM(E23:E25))))</f>
        <v>51</v>
      </c>
      <c r="F31" s="270">
        <f>IF(OR(F23="*", F24="*", F25="*"),"*", IF(COUNTIF(F23:F25,"..")=3,"..",IF(SUM(F23:F25)=0,"-",SUM(F23:F25))))</f>
        <v>14</v>
      </c>
      <c r="G31" s="270">
        <f>IF(OR(G23="*", G24="*", G25="*"),"*", IF(COUNTIF(G23:G25,"..")=3,"..",IF(SUM(G23:G25)=0,"-",SUM(G23:G25))))</f>
        <v>19</v>
      </c>
      <c r="H31" s="265">
        <f>'3a (2)'!H31</f>
        <v>84.36</v>
      </c>
      <c r="I31" s="265">
        <f>'3a (2)'!I31</f>
        <v>9.5</v>
      </c>
      <c r="J31" s="265">
        <f>'3a (2)'!J31</f>
        <v>2.61</v>
      </c>
      <c r="K31" s="259">
        <f>'3a (2)'!K31</f>
        <v>3.54</v>
      </c>
    </row>
    <row r="32" spans="1:11">
      <c r="A32" s="438"/>
      <c r="B32" s="438"/>
      <c r="C32" s="438"/>
      <c r="D32" s="438"/>
      <c r="E32" s="438"/>
      <c r="F32" s="438"/>
      <c r="G32" s="438"/>
      <c r="H32" s="438"/>
      <c r="I32" s="438"/>
      <c r="J32" s="438"/>
      <c r="K32" s="438"/>
    </row>
    <row r="33" spans="1:11">
      <c r="B33" s="16"/>
      <c r="C33" s="16"/>
      <c r="D33" s="16"/>
      <c r="E33" s="16"/>
      <c r="F33" s="16"/>
      <c r="G33" s="17"/>
      <c r="H33" s="17"/>
      <c r="I33" s="17"/>
      <c r="J33" s="17"/>
    </row>
    <row r="34" spans="1:11" ht="20.25">
      <c r="A34" s="76" t="s">
        <v>337</v>
      </c>
      <c r="B34" s="16"/>
      <c r="C34" s="16"/>
      <c r="D34" s="16"/>
      <c r="E34" s="16"/>
      <c r="F34" s="16"/>
      <c r="G34" s="17"/>
      <c r="H34" s="17"/>
      <c r="I34" s="17"/>
      <c r="J34" s="17"/>
    </row>
    <row r="35" spans="1:11">
      <c r="A35" s="77" t="s">
        <v>338</v>
      </c>
      <c r="B35" s="77" t="s">
        <v>339</v>
      </c>
      <c r="C35" s="78"/>
      <c r="D35" s="450" t="s">
        <v>340</v>
      </c>
      <c r="E35" s="450"/>
      <c r="F35" s="450"/>
      <c r="G35" s="450"/>
      <c r="H35" s="450"/>
      <c r="I35" s="450"/>
      <c r="J35" s="450"/>
      <c r="K35" s="450"/>
    </row>
    <row r="36" spans="1:11">
      <c r="A36" s="79" t="s">
        <v>55</v>
      </c>
      <c r="B36" s="80" t="s">
        <v>341</v>
      </c>
      <c r="C36" s="81"/>
      <c r="D36" s="451" t="s">
        <v>342</v>
      </c>
      <c r="E36" s="451"/>
      <c r="F36" s="451"/>
      <c r="G36" s="451"/>
      <c r="H36" s="451"/>
      <c r="I36" s="451"/>
      <c r="J36" s="451"/>
      <c r="K36" s="451"/>
    </row>
    <row r="37" spans="1:11" ht="51">
      <c r="A37" s="82" t="s">
        <v>343</v>
      </c>
      <c r="B37" s="83" t="s">
        <v>344</v>
      </c>
      <c r="C37" s="84"/>
      <c r="D37" s="452" t="s">
        <v>345</v>
      </c>
      <c r="E37" s="452"/>
      <c r="F37" s="452"/>
      <c r="G37" s="452"/>
      <c r="H37" s="452"/>
      <c r="I37" s="452"/>
      <c r="J37" s="452"/>
      <c r="K37" s="452"/>
    </row>
    <row r="38" spans="1:11">
      <c r="A38" s="85" t="s">
        <v>27</v>
      </c>
      <c r="B38" s="86"/>
      <c r="C38" s="87"/>
      <c r="D38" s="439" t="s">
        <v>346</v>
      </c>
      <c r="E38" s="439"/>
      <c r="F38" s="439"/>
      <c r="G38" s="439"/>
      <c r="H38" s="439"/>
      <c r="I38" s="439"/>
      <c r="J38" s="439"/>
      <c r="K38" s="439"/>
    </row>
    <row r="39" spans="1:11">
      <c r="A39" s="88"/>
      <c r="B39" s="89"/>
      <c r="C39" s="89"/>
      <c r="D39" s="19"/>
      <c r="E39" s="89"/>
      <c r="F39" s="89"/>
      <c r="G39" s="90"/>
      <c r="H39" s="90"/>
      <c r="I39" s="15"/>
      <c r="J39" s="15"/>
    </row>
    <row r="40" spans="1:11">
      <c r="A40" s="88"/>
      <c r="B40" s="89"/>
      <c r="C40" s="89"/>
      <c r="D40" s="19"/>
      <c r="E40" s="89"/>
      <c r="F40" s="89"/>
      <c r="G40" s="90"/>
      <c r="H40" s="90"/>
      <c r="I40" s="15"/>
      <c r="J40" s="15"/>
    </row>
    <row r="41" spans="1:11">
      <c r="A41" s="88"/>
      <c r="B41" s="89"/>
      <c r="C41" s="89"/>
      <c r="D41" s="19"/>
      <c r="E41" s="89"/>
      <c r="F41" s="89"/>
      <c r="G41" s="90"/>
      <c r="H41" s="90"/>
      <c r="I41" s="15"/>
      <c r="J41" s="15"/>
    </row>
    <row r="42" spans="1:11">
      <c r="A42" s="91" t="s">
        <v>190</v>
      </c>
      <c r="B42" s="89"/>
      <c r="C42" s="89"/>
      <c r="D42" s="89"/>
      <c r="E42" s="89"/>
      <c r="F42" s="89"/>
      <c r="G42" s="90"/>
      <c r="H42" s="90"/>
      <c r="I42" s="15"/>
      <c r="J42" s="15"/>
    </row>
    <row r="43" spans="1:11">
      <c r="A43" s="91" t="s">
        <v>191</v>
      </c>
      <c r="B43" s="89"/>
      <c r="C43" s="89"/>
      <c r="D43" s="89"/>
      <c r="E43" s="89"/>
      <c r="F43" s="89"/>
      <c r="G43" s="90"/>
      <c r="H43" s="90"/>
      <c r="I43" s="15"/>
      <c r="J43" s="15"/>
    </row>
    <row r="44" spans="1:11">
      <c r="B44" s="16"/>
      <c r="C44" s="16"/>
      <c r="D44" s="16"/>
      <c r="E44" s="16"/>
      <c r="F44" s="16"/>
      <c r="G44" s="18"/>
      <c r="H44" s="18"/>
      <c r="I44" s="18"/>
      <c r="J44" s="18"/>
    </row>
    <row r="45" spans="1:11">
      <c r="A45" s="43" t="s">
        <v>410</v>
      </c>
      <c r="B45" s="12"/>
      <c r="C45" s="12"/>
      <c r="D45" s="12"/>
      <c r="E45" s="12"/>
      <c r="F45" s="12"/>
      <c r="G45" s="13"/>
      <c r="H45" s="13"/>
      <c r="I45" s="13"/>
      <c r="J45" s="13"/>
    </row>
    <row r="46" spans="1:11">
      <c r="B46" s="7"/>
      <c r="C46" s="7"/>
      <c r="D46" s="7"/>
      <c r="E46" s="7"/>
      <c r="F46" s="7"/>
      <c r="G46" s="14"/>
      <c r="H46" s="14"/>
      <c r="I46" s="14"/>
      <c r="J46" s="14"/>
    </row>
    <row r="47" spans="1:11">
      <c r="A47" s="8"/>
      <c r="B47" s="7"/>
      <c r="C47" s="7"/>
      <c r="D47" s="7"/>
      <c r="E47" s="7"/>
      <c r="F47" s="7"/>
      <c r="G47" s="15"/>
      <c r="H47" s="15"/>
      <c r="I47" s="15"/>
      <c r="J47" s="15"/>
    </row>
    <row r="48" spans="1:11">
      <c r="B48" s="16"/>
      <c r="C48" s="16"/>
      <c r="D48" s="16"/>
      <c r="E48" s="16"/>
      <c r="F48" s="16"/>
      <c r="G48" s="18"/>
      <c r="H48" s="18"/>
      <c r="I48" s="18"/>
      <c r="J48" s="18"/>
    </row>
    <row r="49" spans="1:10">
      <c r="B49" s="12"/>
      <c r="C49" s="12"/>
      <c r="D49" s="12"/>
      <c r="E49" s="12"/>
      <c r="F49" s="12"/>
      <c r="G49" s="13"/>
      <c r="H49" s="13"/>
      <c r="I49" s="13"/>
      <c r="J49" s="13"/>
    </row>
    <row r="50" spans="1:10">
      <c r="B50" s="12"/>
      <c r="C50" s="12"/>
      <c r="D50" s="7"/>
      <c r="E50" s="7"/>
      <c r="F50" s="7"/>
      <c r="G50" s="14"/>
      <c r="H50" s="14"/>
      <c r="I50" s="14"/>
      <c r="J50" s="14"/>
    </row>
    <row r="51" spans="1:10">
      <c r="B51" s="12"/>
      <c r="C51" s="12"/>
      <c r="D51" s="7"/>
      <c r="E51" s="7"/>
      <c r="F51" s="7"/>
      <c r="G51" s="15"/>
      <c r="H51" s="15"/>
      <c r="I51" s="15"/>
      <c r="J51" s="15"/>
    </row>
    <row r="52" spans="1:10">
      <c r="B52" s="16"/>
      <c r="C52" s="16"/>
      <c r="D52" s="7"/>
      <c r="E52" s="7"/>
      <c r="F52" s="7"/>
      <c r="G52" s="15"/>
      <c r="H52" s="15"/>
      <c r="I52" s="15"/>
      <c r="J52" s="15"/>
    </row>
    <row r="53" spans="1:10">
      <c r="A53" s="29" t="str">
        <f>"Percentage of patients waiting less than 18 weeks for adjusted waits - "&amp;C7</f>
        <v>Percentage of patients waiting less than 18 weeks for adjusted waits - Scotland</v>
      </c>
      <c r="B53" s="16"/>
      <c r="C53" s="16"/>
      <c r="D53" s="16"/>
      <c r="E53" s="16"/>
      <c r="F53" s="16"/>
      <c r="G53" s="15"/>
      <c r="H53" s="15"/>
      <c r="I53" s="15"/>
      <c r="J53" s="15"/>
    </row>
    <row r="54" spans="1:10">
      <c r="A54" s="28"/>
      <c r="B54" s="16"/>
      <c r="C54" s="16"/>
      <c r="D54" s="16"/>
      <c r="E54" s="16"/>
      <c r="F54" s="16"/>
      <c r="G54" s="18"/>
      <c r="H54" s="18"/>
      <c r="I54" s="18"/>
      <c r="J54" s="18"/>
    </row>
    <row r="55" spans="1:10">
      <c r="B55" s="12"/>
      <c r="C55" s="12"/>
      <c r="D55" s="12"/>
      <c r="E55" s="12"/>
      <c r="F55" s="12"/>
      <c r="G55" s="13"/>
      <c r="H55" s="13"/>
      <c r="I55" s="13"/>
      <c r="J55" s="13"/>
    </row>
    <row r="56" spans="1:10">
      <c r="B56" s="7"/>
      <c r="C56" s="7"/>
      <c r="D56" s="7"/>
      <c r="E56" s="7"/>
      <c r="F56" s="7"/>
      <c r="G56" s="14"/>
      <c r="H56" s="14"/>
      <c r="I56" s="14"/>
      <c r="J56" s="14"/>
    </row>
    <row r="57" spans="1:10">
      <c r="A57" s="29" t="str">
        <f>"Patients seen - adjusted waits - "&amp;C7</f>
        <v>Patients seen - adjusted waits - Scotland</v>
      </c>
      <c r="B57" s="16"/>
      <c r="C57" s="16"/>
      <c r="D57" s="16"/>
      <c r="E57" s="16"/>
      <c r="F57" s="16"/>
      <c r="G57" s="15"/>
      <c r="H57" s="15"/>
      <c r="I57" s="15"/>
      <c r="J57" s="15"/>
    </row>
    <row r="58" spans="1:10">
      <c r="A58" s="29" t="str">
        <f>"Percentage of patients seen 0-18 weeks for adjusted waits - "&amp;C7</f>
        <v>Percentage of patients seen 0-18 weeks for adjusted waits - Scotland</v>
      </c>
      <c r="B58" s="16"/>
      <c r="C58" s="16"/>
      <c r="D58" s="16"/>
      <c r="E58" s="16"/>
      <c r="F58" s="16"/>
      <c r="G58" s="15"/>
      <c r="H58" s="15"/>
      <c r="I58" s="15"/>
      <c r="J58" s="15"/>
    </row>
    <row r="59" spans="1:10">
      <c r="A59" s="29" t="str">
        <f>"Percentage of patients seen - adjusted waits - "&amp;C7</f>
        <v>Percentage of patients seen - adjusted waits - Scotland</v>
      </c>
      <c r="B59" s="16"/>
      <c r="C59" s="16"/>
      <c r="D59" s="16"/>
      <c r="E59" s="16"/>
      <c r="F59" s="16"/>
      <c r="G59" s="17"/>
      <c r="H59" s="17"/>
      <c r="I59" s="17"/>
      <c r="J59" s="17"/>
    </row>
    <row r="60" spans="1:10">
      <c r="B60" s="12"/>
      <c r="C60" s="12"/>
      <c r="D60" s="12"/>
      <c r="E60" s="12"/>
      <c r="F60" s="12"/>
      <c r="G60" s="13"/>
      <c r="H60" s="13"/>
      <c r="I60" s="13"/>
      <c r="J60" s="13"/>
    </row>
    <row r="61" spans="1:10" s="20" customFormat="1">
      <c r="B61" s="21"/>
      <c r="C61" s="21"/>
      <c r="D61" s="21"/>
      <c r="E61" s="21"/>
      <c r="F61" s="21"/>
      <c r="G61" s="22"/>
      <c r="H61" s="22"/>
      <c r="I61" s="22"/>
      <c r="J61" s="22"/>
    </row>
    <row r="62" spans="1:10">
      <c r="B62" s="8"/>
      <c r="C62" s="8"/>
      <c r="D62" s="8"/>
      <c r="E62" s="8"/>
      <c r="F62" s="8"/>
      <c r="G62" s="23"/>
      <c r="H62" s="24"/>
      <c r="I62" s="24"/>
      <c r="J62" s="24"/>
    </row>
    <row r="63" spans="1:10">
      <c r="B63" s="8"/>
      <c r="C63" s="8"/>
      <c r="D63" s="8"/>
      <c r="E63" s="8"/>
      <c r="F63" s="8"/>
      <c r="G63" s="25"/>
      <c r="H63" s="24"/>
      <c r="I63" s="24"/>
      <c r="J63" s="24"/>
    </row>
    <row r="64" spans="1:10">
      <c r="B64" s="8"/>
      <c r="C64" s="8"/>
      <c r="D64" s="8"/>
      <c r="E64" s="8"/>
      <c r="F64" s="8"/>
      <c r="G64" s="23"/>
      <c r="H64" s="24"/>
      <c r="I64" s="24"/>
      <c r="J64" s="24"/>
    </row>
    <row r="65" spans="1:10">
      <c r="A65" s="16"/>
      <c r="B65" s="16"/>
      <c r="C65" s="16"/>
      <c r="D65" s="16"/>
      <c r="E65" s="16"/>
      <c r="F65" s="16"/>
      <c r="G65" s="16"/>
      <c r="H65" s="26"/>
      <c r="I65" s="26"/>
      <c r="J65" s="26"/>
    </row>
    <row r="66" spans="1:10">
      <c r="B66" s="16"/>
      <c r="C66" s="16"/>
      <c r="D66" s="16"/>
      <c r="E66" s="16"/>
      <c r="F66" s="16"/>
      <c r="G66" s="18"/>
      <c r="H66" s="18"/>
      <c r="I66" s="18"/>
      <c r="J66" s="18"/>
    </row>
    <row r="67" spans="1:10">
      <c r="B67" s="12"/>
      <c r="C67" s="12"/>
      <c r="D67" s="12"/>
      <c r="E67" s="12"/>
      <c r="F67" s="12"/>
      <c r="G67" s="13"/>
      <c r="H67" s="13"/>
      <c r="I67" s="13"/>
      <c r="J67" s="13"/>
    </row>
    <row r="68" spans="1:10">
      <c r="B68" s="7"/>
      <c r="C68" s="7"/>
      <c r="D68" s="7"/>
      <c r="E68" s="7"/>
      <c r="F68" s="7"/>
      <c r="G68" s="14"/>
      <c r="H68" s="14"/>
      <c r="I68" s="14"/>
      <c r="J68" s="14"/>
    </row>
    <row r="69" spans="1:10">
      <c r="B69" s="7"/>
      <c r="C69" s="7"/>
      <c r="D69" s="7"/>
      <c r="E69" s="7"/>
      <c r="F69" s="7"/>
      <c r="G69" s="15"/>
      <c r="H69" s="15"/>
      <c r="I69" s="15"/>
      <c r="J69" s="15"/>
    </row>
    <row r="70" spans="1:10">
      <c r="B70" s="7"/>
      <c r="C70" s="7"/>
      <c r="D70" s="7"/>
      <c r="E70" s="7"/>
      <c r="F70" s="7"/>
      <c r="G70" s="15"/>
      <c r="H70" s="15"/>
      <c r="I70" s="15"/>
      <c r="J70" s="15"/>
    </row>
    <row r="71" spans="1:10">
      <c r="B71" s="16"/>
      <c r="C71" s="16"/>
      <c r="D71" s="16"/>
      <c r="E71" s="16"/>
      <c r="F71" s="16"/>
      <c r="G71" s="18"/>
      <c r="H71" s="18"/>
      <c r="I71" s="18"/>
      <c r="J71" s="18"/>
    </row>
    <row r="72" spans="1:10">
      <c r="B72" s="27"/>
      <c r="C72" s="27"/>
      <c r="D72" s="27"/>
      <c r="E72" s="27"/>
      <c r="F72" s="27"/>
      <c r="G72" s="13"/>
      <c r="H72" s="13"/>
      <c r="I72" s="13"/>
      <c r="J72" s="13"/>
    </row>
    <row r="73" spans="1:10">
      <c r="B73" s="28"/>
      <c r="C73" s="28"/>
      <c r="D73" s="28"/>
      <c r="E73" s="28"/>
      <c r="F73" s="28"/>
      <c r="G73" s="14"/>
      <c r="H73" s="14"/>
      <c r="I73" s="14"/>
      <c r="J73" s="14"/>
    </row>
    <row r="74" spans="1:10">
      <c r="G74" s="15"/>
      <c r="H74" s="15"/>
      <c r="I74" s="15"/>
      <c r="J74" s="15"/>
    </row>
    <row r="75" spans="1:10">
      <c r="G75" s="15"/>
      <c r="H75" s="15"/>
      <c r="I75" s="15"/>
      <c r="J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sheetProtection algorithmName="SHA-512" hashValue="Z7zhSw7xKHMUggWy0FrpM/XZbGYiNAT9CSStDxqd4HLkfSgBfre079j2xVwoBlEJBfg47k7WeeM5vTAfXA/IGA==" saltValue="O1jIcTXrdYnOpjsjRTh91w==" spinCount="100000" sheet="1" objects="1" scenarios="1"/>
  <mergeCells count="13">
    <mergeCell ref="A3:D3"/>
    <mergeCell ref="D38:K38"/>
    <mergeCell ref="A6:D6"/>
    <mergeCell ref="C7:D7"/>
    <mergeCell ref="A9:A10"/>
    <mergeCell ref="B9:B10"/>
    <mergeCell ref="C9:C10"/>
    <mergeCell ref="D9:G9"/>
    <mergeCell ref="H9:K9"/>
    <mergeCell ref="A32:K32"/>
    <mergeCell ref="D35:K35"/>
    <mergeCell ref="D36:K36"/>
    <mergeCell ref="D37:K37"/>
  </mergeCells>
  <dataValidations count="2">
    <dataValidation type="list" allowBlank="1" showInputMessage="1" showErrorMessage="1" sqref="WVH983026:WVI983026 C65522:D65522 IV65522:IW65522 SR65522:SS65522 ACN65522:ACO65522 AMJ65522:AMK65522 AWF65522:AWG65522 BGB65522:BGC65522 BPX65522:BPY65522 BZT65522:BZU65522 CJP65522:CJQ65522 CTL65522:CTM65522 DDH65522:DDI65522 DND65522:DNE65522 DWZ65522:DXA65522 EGV65522:EGW65522 EQR65522:EQS65522 FAN65522:FAO65522 FKJ65522:FKK65522 FUF65522:FUG65522 GEB65522:GEC65522 GNX65522:GNY65522 GXT65522:GXU65522 HHP65522:HHQ65522 HRL65522:HRM65522 IBH65522:IBI65522 ILD65522:ILE65522 IUZ65522:IVA65522 JEV65522:JEW65522 JOR65522:JOS65522 JYN65522:JYO65522 KIJ65522:KIK65522 KSF65522:KSG65522 LCB65522:LCC65522 LLX65522:LLY65522 LVT65522:LVU65522 MFP65522:MFQ65522 MPL65522:MPM65522 MZH65522:MZI65522 NJD65522:NJE65522 NSZ65522:NTA65522 OCV65522:OCW65522 OMR65522:OMS65522 OWN65522:OWO65522 PGJ65522:PGK65522 PQF65522:PQG65522 QAB65522:QAC65522 QJX65522:QJY65522 QTT65522:QTU65522 RDP65522:RDQ65522 RNL65522:RNM65522 RXH65522:RXI65522 SHD65522:SHE65522 SQZ65522:SRA65522 TAV65522:TAW65522 TKR65522:TKS65522 TUN65522:TUO65522 UEJ65522:UEK65522 UOF65522:UOG65522 UYB65522:UYC65522 VHX65522:VHY65522 VRT65522:VRU65522 WBP65522:WBQ65522 WLL65522:WLM65522 WVH65522:WVI65522 C131058:D131058 IV131058:IW131058 SR131058:SS131058 ACN131058:ACO131058 AMJ131058:AMK131058 AWF131058:AWG131058 BGB131058:BGC131058 BPX131058:BPY131058 BZT131058:BZU131058 CJP131058:CJQ131058 CTL131058:CTM131058 DDH131058:DDI131058 DND131058:DNE131058 DWZ131058:DXA131058 EGV131058:EGW131058 EQR131058:EQS131058 FAN131058:FAO131058 FKJ131058:FKK131058 FUF131058:FUG131058 GEB131058:GEC131058 GNX131058:GNY131058 GXT131058:GXU131058 HHP131058:HHQ131058 HRL131058:HRM131058 IBH131058:IBI131058 ILD131058:ILE131058 IUZ131058:IVA131058 JEV131058:JEW131058 JOR131058:JOS131058 JYN131058:JYO131058 KIJ131058:KIK131058 KSF131058:KSG131058 LCB131058:LCC131058 LLX131058:LLY131058 LVT131058:LVU131058 MFP131058:MFQ131058 MPL131058:MPM131058 MZH131058:MZI131058 NJD131058:NJE131058 NSZ131058:NTA131058 OCV131058:OCW131058 OMR131058:OMS131058 OWN131058:OWO131058 PGJ131058:PGK131058 PQF131058:PQG131058 QAB131058:QAC131058 QJX131058:QJY131058 QTT131058:QTU131058 RDP131058:RDQ131058 RNL131058:RNM131058 RXH131058:RXI131058 SHD131058:SHE131058 SQZ131058:SRA131058 TAV131058:TAW131058 TKR131058:TKS131058 TUN131058:TUO131058 UEJ131058:UEK131058 UOF131058:UOG131058 UYB131058:UYC131058 VHX131058:VHY131058 VRT131058:VRU131058 WBP131058:WBQ131058 WLL131058:WLM131058 WVH131058:WVI131058 C196594:D196594 IV196594:IW196594 SR196594:SS196594 ACN196594:ACO196594 AMJ196594:AMK196594 AWF196594:AWG196594 BGB196594:BGC196594 BPX196594:BPY196594 BZT196594:BZU196594 CJP196594:CJQ196594 CTL196594:CTM196594 DDH196594:DDI196594 DND196594:DNE196594 DWZ196594:DXA196594 EGV196594:EGW196594 EQR196594:EQS196594 FAN196594:FAO196594 FKJ196594:FKK196594 FUF196594:FUG196594 GEB196594:GEC196594 GNX196594:GNY196594 GXT196594:GXU196594 HHP196594:HHQ196594 HRL196594:HRM196594 IBH196594:IBI196594 ILD196594:ILE196594 IUZ196594:IVA196594 JEV196594:JEW196594 JOR196594:JOS196594 JYN196594:JYO196594 KIJ196594:KIK196594 KSF196594:KSG196594 LCB196594:LCC196594 LLX196594:LLY196594 LVT196594:LVU196594 MFP196594:MFQ196594 MPL196594:MPM196594 MZH196594:MZI196594 NJD196594:NJE196594 NSZ196594:NTA196594 OCV196594:OCW196594 OMR196594:OMS196594 OWN196594:OWO196594 PGJ196594:PGK196594 PQF196594:PQG196594 QAB196594:QAC196594 QJX196594:QJY196594 QTT196594:QTU196594 RDP196594:RDQ196594 RNL196594:RNM196594 RXH196594:RXI196594 SHD196594:SHE196594 SQZ196594:SRA196594 TAV196594:TAW196594 TKR196594:TKS196594 TUN196594:TUO196594 UEJ196594:UEK196594 UOF196594:UOG196594 UYB196594:UYC196594 VHX196594:VHY196594 VRT196594:VRU196594 WBP196594:WBQ196594 WLL196594:WLM196594 WVH196594:WVI196594 C262130:D262130 IV262130:IW262130 SR262130:SS262130 ACN262130:ACO262130 AMJ262130:AMK262130 AWF262130:AWG262130 BGB262130:BGC262130 BPX262130:BPY262130 BZT262130:BZU262130 CJP262130:CJQ262130 CTL262130:CTM262130 DDH262130:DDI262130 DND262130:DNE262130 DWZ262130:DXA262130 EGV262130:EGW262130 EQR262130:EQS262130 FAN262130:FAO262130 FKJ262130:FKK262130 FUF262130:FUG262130 GEB262130:GEC262130 GNX262130:GNY262130 GXT262130:GXU262130 HHP262130:HHQ262130 HRL262130:HRM262130 IBH262130:IBI262130 ILD262130:ILE262130 IUZ262130:IVA262130 JEV262130:JEW262130 JOR262130:JOS262130 JYN262130:JYO262130 KIJ262130:KIK262130 KSF262130:KSG262130 LCB262130:LCC262130 LLX262130:LLY262130 LVT262130:LVU262130 MFP262130:MFQ262130 MPL262130:MPM262130 MZH262130:MZI262130 NJD262130:NJE262130 NSZ262130:NTA262130 OCV262130:OCW262130 OMR262130:OMS262130 OWN262130:OWO262130 PGJ262130:PGK262130 PQF262130:PQG262130 QAB262130:QAC262130 QJX262130:QJY262130 QTT262130:QTU262130 RDP262130:RDQ262130 RNL262130:RNM262130 RXH262130:RXI262130 SHD262130:SHE262130 SQZ262130:SRA262130 TAV262130:TAW262130 TKR262130:TKS262130 TUN262130:TUO262130 UEJ262130:UEK262130 UOF262130:UOG262130 UYB262130:UYC262130 VHX262130:VHY262130 VRT262130:VRU262130 WBP262130:WBQ262130 WLL262130:WLM262130 WVH262130:WVI262130 C327666:D327666 IV327666:IW327666 SR327666:SS327666 ACN327666:ACO327666 AMJ327666:AMK327666 AWF327666:AWG327666 BGB327666:BGC327666 BPX327666:BPY327666 BZT327666:BZU327666 CJP327666:CJQ327666 CTL327666:CTM327666 DDH327666:DDI327666 DND327666:DNE327666 DWZ327666:DXA327666 EGV327666:EGW327666 EQR327666:EQS327666 FAN327666:FAO327666 FKJ327666:FKK327666 FUF327666:FUG327666 GEB327666:GEC327666 GNX327666:GNY327666 GXT327666:GXU327666 HHP327666:HHQ327666 HRL327666:HRM327666 IBH327666:IBI327666 ILD327666:ILE327666 IUZ327666:IVA327666 JEV327666:JEW327666 JOR327666:JOS327666 JYN327666:JYO327666 KIJ327666:KIK327666 KSF327666:KSG327666 LCB327666:LCC327666 LLX327666:LLY327666 LVT327666:LVU327666 MFP327666:MFQ327666 MPL327666:MPM327666 MZH327666:MZI327666 NJD327666:NJE327666 NSZ327666:NTA327666 OCV327666:OCW327666 OMR327666:OMS327666 OWN327666:OWO327666 PGJ327666:PGK327666 PQF327666:PQG327666 QAB327666:QAC327666 QJX327666:QJY327666 QTT327666:QTU327666 RDP327666:RDQ327666 RNL327666:RNM327666 RXH327666:RXI327666 SHD327666:SHE327666 SQZ327666:SRA327666 TAV327666:TAW327666 TKR327666:TKS327666 TUN327666:TUO327666 UEJ327666:UEK327666 UOF327666:UOG327666 UYB327666:UYC327666 VHX327666:VHY327666 VRT327666:VRU327666 WBP327666:WBQ327666 WLL327666:WLM327666 WVH327666:WVI327666 C393202:D393202 IV393202:IW393202 SR393202:SS393202 ACN393202:ACO393202 AMJ393202:AMK393202 AWF393202:AWG393202 BGB393202:BGC393202 BPX393202:BPY393202 BZT393202:BZU393202 CJP393202:CJQ393202 CTL393202:CTM393202 DDH393202:DDI393202 DND393202:DNE393202 DWZ393202:DXA393202 EGV393202:EGW393202 EQR393202:EQS393202 FAN393202:FAO393202 FKJ393202:FKK393202 FUF393202:FUG393202 GEB393202:GEC393202 GNX393202:GNY393202 GXT393202:GXU393202 HHP393202:HHQ393202 HRL393202:HRM393202 IBH393202:IBI393202 ILD393202:ILE393202 IUZ393202:IVA393202 JEV393202:JEW393202 JOR393202:JOS393202 JYN393202:JYO393202 KIJ393202:KIK393202 KSF393202:KSG393202 LCB393202:LCC393202 LLX393202:LLY393202 LVT393202:LVU393202 MFP393202:MFQ393202 MPL393202:MPM393202 MZH393202:MZI393202 NJD393202:NJE393202 NSZ393202:NTA393202 OCV393202:OCW393202 OMR393202:OMS393202 OWN393202:OWO393202 PGJ393202:PGK393202 PQF393202:PQG393202 QAB393202:QAC393202 QJX393202:QJY393202 QTT393202:QTU393202 RDP393202:RDQ393202 RNL393202:RNM393202 RXH393202:RXI393202 SHD393202:SHE393202 SQZ393202:SRA393202 TAV393202:TAW393202 TKR393202:TKS393202 TUN393202:TUO393202 UEJ393202:UEK393202 UOF393202:UOG393202 UYB393202:UYC393202 VHX393202:VHY393202 VRT393202:VRU393202 WBP393202:WBQ393202 WLL393202:WLM393202 WVH393202:WVI393202 C458738:D458738 IV458738:IW458738 SR458738:SS458738 ACN458738:ACO458738 AMJ458738:AMK458738 AWF458738:AWG458738 BGB458738:BGC458738 BPX458738:BPY458738 BZT458738:BZU458738 CJP458738:CJQ458738 CTL458738:CTM458738 DDH458738:DDI458738 DND458738:DNE458738 DWZ458738:DXA458738 EGV458738:EGW458738 EQR458738:EQS458738 FAN458738:FAO458738 FKJ458738:FKK458738 FUF458738:FUG458738 GEB458738:GEC458738 GNX458738:GNY458738 GXT458738:GXU458738 HHP458738:HHQ458738 HRL458738:HRM458738 IBH458738:IBI458738 ILD458738:ILE458738 IUZ458738:IVA458738 JEV458738:JEW458738 JOR458738:JOS458738 JYN458738:JYO458738 KIJ458738:KIK458738 KSF458738:KSG458738 LCB458738:LCC458738 LLX458738:LLY458738 LVT458738:LVU458738 MFP458738:MFQ458738 MPL458738:MPM458738 MZH458738:MZI458738 NJD458738:NJE458738 NSZ458738:NTA458738 OCV458738:OCW458738 OMR458738:OMS458738 OWN458738:OWO458738 PGJ458738:PGK458738 PQF458738:PQG458738 QAB458738:QAC458738 QJX458738:QJY458738 QTT458738:QTU458738 RDP458738:RDQ458738 RNL458738:RNM458738 RXH458738:RXI458738 SHD458738:SHE458738 SQZ458738:SRA458738 TAV458738:TAW458738 TKR458738:TKS458738 TUN458738:TUO458738 UEJ458738:UEK458738 UOF458738:UOG458738 UYB458738:UYC458738 VHX458738:VHY458738 VRT458738:VRU458738 WBP458738:WBQ458738 WLL458738:WLM458738 WVH458738:WVI458738 C524274:D524274 IV524274:IW524274 SR524274:SS524274 ACN524274:ACO524274 AMJ524274:AMK524274 AWF524274:AWG524274 BGB524274:BGC524274 BPX524274:BPY524274 BZT524274:BZU524274 CJP524274:CJQ524274 CTL524274:CTM524274 DDH524274:DDI524274 DND524274:DNE524274 DWZ524274:DXA524274 EGV524274:EGW524274 EQR524274:EQS524274 FAN524274:FAO524274 FKJ524274:FKK524274 FUF524274:FUG524274 GEB524274:GEC524274 GNX524274:GNY524274 GXT524274:GXU524274 HHP524274:HHQ524274 HRL524274:HRM524274 IBH524274:IBI524274 ILD524274:ILE524274 IUZ524274:IVA524274 JEV524274:JEW524274 JOR524274:JOS524274 JYN524274:JYO524274 KIJ524274:KIK524274 KSF524274:KSG524274 LCB524274:LCC524274 LLX524274:LLY524274 LVT524274:LVU524274 MFP524274:MFQ524274 MPL524274:MPM524274 MZH524274:MZI524274 NJD524274:NJE524274 NSZ524274:NTA524274 OCV524274:OCW524274 OMR524274:OMS524274 OWN524274:OWO524274 PGJ524274:PGK524274 PQF524274:PQG524274 QAB524274:QAC524274 QJX524274:QJY524274 QTT524274:QTU524274 RDP524274:RDQ524274 RNL524274:RNM524274 RXH524274:RXI524274 SHD524274:SHE524274 SQZ524274:SRA524274 TAV524274:TAW524274 TKR524274:TKS524274 TUN524274:TUO524274 UEJ524274:UEK524274 UOF524274:UOG524274 UYB524274:UYC524274 VHX524274:VHY524274 VRT524274:VRU524274 WBP524274:WBQ524274 WLL524274:WLM524274 WVH524274:WVI524274 C589810:D589810 IV589810:IW589810 SR589810:SS589810 ACN589810:ACO589810 AMJ589810:AMK589810 AWF589810:AWG589810 BGB589810:BGC589810 BPX589810:BPY589810 BZT589810:BZU589810 CJP589810:CJQ589810 CTL589810:CTM589810 DDH589810:DDI589810 DND589810:DNE589810 DWZ589810:DXA589810 EGV589810:EGW589810 EQR589810:EQS589810 FAN589810:FAO589810 FKJ589810:FKK589810 FUF589810:FUG589810 GEB589810:GEC589810 GNX589810:GNY589810 GXT589810:GXU589810 HHP589810:HHQ589810 HRL589810:HRM589810 IBH589810:IBI589810 ILD589810:ILE589810 IUZ589810:IVA589810 JEV589810:JEW589810 JOR589810:JOS589810 JYN589810:JYO589810 KIJ589810:KIK589810 KSF589810:KSG589810 LCB589810:LCC589810 LLX589810:LLY589810 LVT589810:LVU589810 MFP589810:MFQ589810 MPL589810:MPM589810 MZH589810:MZI589810 NJD589810:NJE589810 NSZ589810:NTA589810 OCV589810:OCW589810 OMR589810:OMS589810 OWN589810:OWO589810 PGJ589810:PGK589810 PQF589810:PQG589810 QAB589810:QAC589810 QJX589810:QJY589810 QTT589810:QTU589810 RDP589810:RDQ589810 RNL589810:RNM589810 RXH589810:RXI589810 SHD589810:SHE589810 SQZ589810:SRA589810 TAV589810:TAW589810 TKR589810:TKS589810 TUN589810:TUO589810 UEJ589810:UEK589810 UOF589810:UOG589810 UYB589810:UYC589810 VHX589810:VHY589810 VRT589810:VRU589810 WBP589810:WBQ589810 WLL589810:WLM589810 WVH589810:WVI589810 C655346:D655346 IV655346:IW655346 SR655346:SS655346 ACN655346:ACO655346 AMJ655346:AMK655346 AWF655346:AWG655346 BGB655346:BGC655346 BPX655346:BPY655346 BZT655346:BZU655346 CJP655346:CJQ655346 CTL655346:CTM655346 DDH655346:DDI655346 DND655346:DNE655346 DWZ655346:DXA655346 EGV655346:EGW655346 EQR655346:EQS655346 FAN655346:FAO655346 FKJ655346:FKK655346 FUF655346:FUG655346 GEB655346:GEC655346 GNX655346:GNY655346 GXT655346:GXU655346 HHP655346:HHQ655346 HRL655346:HRM655346 IBH655346:IBI655346 ILD655346:ILE655346 IUZ655346:IVA655346 JEV655346:JEW655346 JOR655346:JOS655346 JYN655346:JYO655346 KIJ655346:KIK655346 KSF655346:KSG655346 LCB655346:LCC655346 LLX655346:LLY655346 LVT655346:LVU655346 MFP655346:MFQ655346 MPL655346:MPM655346 MZH655346:MZI655346 NJD655346:NJE655346 NSZ655346:NTA655346 OCV655346:OCW655346 OMR655346:OMS655346 OWN655346:OWO655346 PGJ655346:PGK655346 PQF655346:PQG655346 QAB655346:QAC655346 QJX655346:QJY655346 QTT655346:QTU655346 RDP655346:RDQ655346 RNL655346:RNM655346 RXH655346:RXI655346 SHD655346:SHE655346 SQZ655346:SRA655346 TAV655346:TAW655346 TKR655346:TKS655346 TUN655346:TUO655346 UEJ655346:UEK655346 UOF655346:UOG655346 UYB655346:UYC655346 VHX655346:VHY655346 VRT655346:VRU655346 WBP655346:WBQ655346 WLL655346:WLM655346 WVH655346:WVI655346 C720882:D720882 IV720882:IW720882 SR720882:SS720882 ACN720882:ACO720882 AMJ720882:AMK720882 AWF720882:AWG720882 BGB720882:BGC720882 BPX720882:BPY720882 BZT720882:BZU720882 CJP720882:CJQ720882 CTL720882:CTM720882 DDH720882:DDI720882 DND720882:DNE720882 DWZ720882:DXA720882 EGV720882:EGW720882 EQR720882:EQS720882 FAN720882:FAO720882 FKJ720882:FKK720882 FUF720882:FUG720882 GEB720882:GEC720882 GNX720882:GNY720882 GXT720882:GXU720882 HHP720882:HHQ720882 HRL720882:HRM720882 IBH720882:IBI720882 ILD720882:ILE720882 IUZ720882:IVA720882 JEV720882:JEW720882 JOR720882:JOS720882 JYN720882:JYO720882 KIJ720882:KIK720882 KSF720882:KSG720882 LCB720882:LCC720882 LLX720882:LLY720882 LVT720882:LVU720882 MFP720882:MFQ720882 MPL720882:MPM720882 MZH720882:MZI720882 NJD720882:NJE720882 NSZ720882:NTA720882 OCV720882:OCW720882 OMR720882:OMS720882 OWN720882:OWO720882 PGJ720882:PGK720882 PQF720882:PQG720882 QAB720882:QAC720882 QJX720882:QJY720882 QTT720882:QTU720882 RDP720882:RDQ720882 RNL720882:RNM720882 RXH720882:RXI720882 SHD720882:SHE720882 SQZ720882:SRA720882 TAV720882:TAW720882 TKR720882:TKS720882 TUN720882:TUO720882 UEJ720882:UEK720882 UOF720882:UOG720882 UYB720882:UYC720882 VHX720882:VHY720882 VRT720882:VRU720882 WBP720882:WBQ720882 WLL720882:WLM720882 WVH720882:WVI720882 C786418:D786418 IV786418:IW786418 SR786418:SS786418 ACN786418:ACO786418 AMJ786418:AMK786418 AWF786418:AWG786418 BGB786418:BGC786418 BPX786418:BPY786418 BZT786418:BZU786418 CJP786418:CJQ786418 CTL786418:CTM786418 DDH786418:DDI786418 DND786418:DNE786418 DWZ786418:DXA786418 EGV786418:EGW786418 EQR786418:EQS786418 FAN786418:FAO786418 FKJ786418:FKK786418 FUF786418:FUG786418 GEB786418:GEC786418 GNX786418:GNY786418 GXT786418:GXU786418 HHP786418:HHQ786418 HRL786418:HRM786418 IBH786418:IBI786418 ILD786418:ILE786418 IUZ786418:IVA786418 JEV786418:JEW786418 JOR786418:JOS786418 JYN786418:JYO786418 KIJ786418:KIK786418 KSF786418:KSG786418 LCB786418:LCC786418 LLX786418:LLY786418 LVT786418:LVU786418 MFP786418:MFQ786418 MPL786418:MPM786418 MZH786418:MZI786418 NJD786418:NJE786418 NSZ786418:NTA786418 OCV786418:OCW786418 OMR786418:OMS786418 OWN786418:OWO786418 PGJ786418:PGK786418 PQF786418:PQG786418 QAB786418:QAC786418 QJX786418:QJY786418 QTT786418:QTU786418 RDP786418:RDQ786418 RNL786418:RNM786418 RXH786418:RXI786418 SHD786418:SHE786418 SQZ786418:SRA786418 TAV786418:TAW786418 TKR786418:TKS786418 TUN786418:TUO786418 UEJ786418:UEK786418 UOF786418:UOG786418 UYB786418:UYC786418 VHX786418:VHY786418 VRT786418:VRU786418 WBP786418:WBQ786418 WLL786418:WLM786418 WVH786418:WVI786418 C851954:D851954 IV851954:IW851954 SR851954:SS851954 ACN851954:ACO851954 AMJ851954:AMK851954 AWF851954:AWG851954 BGB851954:BGC851954 BPX851954:BPY851954 BZT851954:BZU851954 CJP851954:CJQ851954 CTL851954:CTM851954 DDH851954:DDI851954 DND851954:DNE851954 DWZ851954:DXA851954 EGV851954:EGW851954 EQR851954:EQS851954 FAN851954:FAO851954 FKJ851954:FKK851954 FUF851954:FUG851954 GEB851954:GEC851954 GNX851954:GNY851954 GXT851954:GXU851954 HHP851954:HHQ851954 HRL851954:HRM851954 IBH851954:IBI851954 ILD851954:ILE851954 IUZ851954:IVA851954 JEV851954:JEW851954 JOR851954:JOS851954 JYN851954:JYO851954 KIJ851954:KIK851954 KSF851954:KSG851954 LCB851954:LCC851954 LLX851954:LLY851954 LVT851954:LVU851954 MFP851954:MFQ851954 MPL851954:MPM851954 MZH851954:MZI851954 NJD851954:NJE851954 NSZ851954:NTA851954 OCV851954:OCW851954 OMR851954:OMS851954 OWN851954:OWO851954 PGJ851954:PGK851954 PQF851954:PQG851954 QAB851954:QAC851954 QJX851954:QJY851954 QTT851954:QTU851954 RDP851954:RDQ851954 RNL851954:RNM851954 RXH851954:RXI851954 SHD851954:SHE851954 SQZ851954:SRA851954 TAV851954:TAW851954 TKR851954:TKS851954 TUN851954:TUO851954 UEJ851954:UEK851954 UOF851954:UOG851954 UYB851954:UYC851954 VHX851954:VHY851954 VRT851954:VRU851954 WBP851954:WBQ851954 WLL851954:WLM851954 WVH851954:WVI851954 C917490:D917490 IV917490:IW917490 SR917490:SS917490 ACN917490:ACO917490 AMJ917490:AMK917490 AWF917490:AWG917490 BGB917490:BGC917490 BPX917490:BPY917490 BZT917490:BZU917490 CJP917490:CJQ917490 CTL917490:CTM917490 DDH917490:DDI917490 DND917490:DNE917490 DWZ917490:DXA917490 EGV917490:EGW917490 EQR917490:EQS917490 FAN917490:FAO917490 FKJ917490:FKK917490 FUF917490:FUG917490 GEB917490:GEC917490 GNX917490:GNY917490 GXT917490:GXU917490 HHP917490:HHQ917490 HRL917490:HRM917490 IBH917490:IBI917490 ILD917490:ILE917490 IUZ917490:IVA917490 JEV917490:JEW917490 JOR917490:JOS917490 JYN917490:JYO917490 KIJ917490:KIK917490 KSF917490:KSG917490 LCB917490:LCC917490 LLX917490:LLY917490 LVT917490:LVU917490 MFP917490:MFQ917490 MPL917490:MPM917490 MZH917490:MZI917490 NJD917490:NJE917490 NSZ917490:NTA917490 OCV917490:OCW917490 OMR917490:OMS917490 OWN917490:OWO917490 PGJ917490:PGK917490 PQF917490:PQG917490 QAB917490:QAC917490 QJX917490:QJY917490 QTT917490:QTU917490 RDP917490:RDQ917490 RNL917490:RNM917490 RXH917490:RXI917490 SHD917490:SHE917490 SQZ917490:SRA917490 TAV917490:TAW917490 TKR917490:TKS917490 TUN917490:TUO917490 UEJ917490:UEK917490 UOF917490:UOG917490 UYB917490:UYC917490 VHX917490:VHY917490 VRT917490:VRU917490 WBP917490:WBQ917490 WLL917490:WLM917490 WVH917490:WVI917490 C983026:D983026 IV983026:IW983026 SR983026:SS983026 ACN983026:ACO983026 AMJ983026:AMK983026 AWF983026:AWG983026 BGB983026:BGC983026 BPX983026:BPY983026 BZT983026:BZU983026 CJP983026:CJQ983026 CTL983026:CTM983026 DDH983026:DDI983026 DND983026:DNE983026 DWZ983026:DXA983026 EGV983026:EGW983026 EQR983026:EQS983026 FAN983026:FAO983026 FKJ983026:FKK983026 FUF983026:FUG983026 GEB983026:GEC983026 GNX983026:GNY983026 GXT983026:GXU983026 HHP983026:HHQ983026 HRL983026:HRM983026 IBH983026:IBI983026 ILD983026:ILE983026 IUZ983026:IVA983026 JEV983026:JEW983026 JOR983026:JOS983026 JYN983026:JYO983026 KIJ983026:KIK983026 KSF983026:KSG983026 LCB983026:LCC983026 LLX983026:LLY983026 LVT983026:LVU983026 MFP983026:MFQ983026 MPL983026:MPM983026 MZH983026:MZI983026 NJD983026:NJE983026 NSZ983026:NTA983026 OCV983026:OCW983026 OMR983026:OMS983026 OWN983026:OWO983026 PGJ983026:PGK983026 PQF983026:PQG983026 QAB983026:QAC983026 QJX983026:QJY983026 QTT983026:QTU983026 RDP983026:RDQ983026 RNL983026:RNM983026 RXH983026:RXI983026 SHD983026:SHE983026 SQZ983026:SRA983026 TAV983026:TAW983026 TKR983026:TKS983026 TUN983026:TUO983026 UEJ983026:UEK983026 UOF983026:UOG983026 UYB983026:UYC983026 VHX983026:VHY983026 VRT983026:VRU983026 WBP983026:WBQ983026 WLL983026:WLM983026 IV7:IW7 SR7:SS7 ACN7:ACO7 AMJ7:AMK7 AWF7:AWG7 BGB7:BGC7 BPX7:BPY7 BZT7:BZU7 CJP7:CJQ7 CTL7:CTM7 DDH7:DDI7 DND7:DNE7 DWZ7:DXA7 EGV7:EGW7 EQR7:EQS7 FAN7:FAO7 FKJ7:FKK7 FUF7:FUG7 GEB7:GEC7 GNX7:GNY7 GXT7:GXU7 HHP7:HHQ7 HRL7:HRM7 IBH7:IBI7 ILD7:ILE7 IUZ7:IVA7 JEV7:JEW7 JOR7:JOS7 JYN7:JYO7 KIJ7:KIK7 KSF7:KSG7 LCB7:LCC7 LLX7:LLY7 LVT7:LVU7 MFP7:MFQ7 MPL7:MPM7 MZH7:MZI7 NJD7:NJE7 NSZ7:NTA7 OCV7:OCW7 OMR7:OMS7 OWN7:OWO7 PGJ7:PGK7 PQF7:PQG7 QAB7:QAC7 QJX7:QJY7 QTT7:QTU7 RDP7:RDQ7 RNL7:RNM7 RXH7:RXI7 SHD7:SHE7 SQZ7:SRA7 TAV7:TAW7 TKR7:TKS7 TUN7:TUO7 UEJ7:UEK7 UOF7:UOG7 UYB7:UYC7 VHX7:VHY7 VRT7:VRU7 WBP7:WBQ7 WLL7:WLM7 WVH7:WVI7">
      <formula1>NHSBOARDS11</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N117"/>
  <sheetViews>
    <sheetView workbookViewId="0"/>
  </sheetViews>
  <sheetFormatPr defaultRowHeight="15"/>
  <cols>
    <col min="1" max="1" width="18.28515625" style="6" customWidth="1"/>
    <col min="2" max="2" width="13.5703125" style="6" customWidth="1"/>
    <col min="3" max="3" width="15.140625" style="6" customWidth="1"/>
    <col min="4" max="5" width="12.85546875" style="6" customWidth="1"/>
    <col min="6" max="6" width="12.5703125" style="6" customWidth="1"/>
    <col min="7" max="7" width="10.85546875" style="6" customWidth="1"/>
    <col min="8" max="10" width="14.5703125" style="6" customWidth="1"/>
    <col min="11" max="11" width="12.85546875" style="6" customWidth="1"/>
    <col min="12" max="256" width="9.140625" style="6"/>
    <col min="257" max="257" width="18.28515625" style="6" customWidth="1"/>
    <col min="258" max="258" width="13.5703125" style="6" customWidth="1"/>
    <col min="259" max="259" width="15.140625" style="6" customWidth="1"/>
    <col min="260" max="261" width="12.85546875" style="6" customWidth="1"/>
    <col min="262" max="262" width="12.5703125" style="6" customWidth="1"/>
    <col min="263" max="263" width="10.85546875" style="6" customWidth="1"/>
    <col min="264" max="266" width="14.5703125" style="6" customWidth="1"/>
    <col min="267" max="267" width="12.85546875" style="6" customWidth="1"/>
    <col min="268" max="512" width="9.140625" style="6"/>
    <col min="513" max="513" width="18.28515625" style="6" customWidth="1"/>
    <col min="514" max="514" width="13.5703125" style="6" customWidth="1"/>
    <col min="515" max="515" width="15.140625" style="6" customWidth="1"/>
    <col min="516" max="517" width="12.85546875" style="6" customWidth="1"/>
    <col min="518" max="518" width="12.5703125" style="6" customWidth="1"/>
    <col min="519" max="519" width="10.85546875" style="6" customWidth="1"/>
    <col min="520" max="522" width="14.5703125" style="6" customWidth="1"/>
    <col min="523" max="523" width="12.85546875" style="6" customWidth="1"/>
    <col min="524" max="768" width="9.140625" style="6"/>
    <col min="769" max="769" width="18.28515625" style="6" customWidth="1"/>
    <col min="770" max="770" width="13.5703125" style="6" customWidth="1"/>
    <col min="771" max="771" width="15.140625" style="6" customWidth="1"/>
    <col min="772" max="773" width="12.85546875" style="6" customWidth="1"/>
    <col min="774" max="774" width="12.5703125" style="6" customWidth="1"/>
    <col min="775" max="775" width="10.85546875" style="6" customWidth="1"/>
    <col min="776" max="778" width="14.5703125" style="6" customWidth="1"/>
    <col min="779" max="779" width="12.85546875" style="6" customWidth="1"/>
    <col min="780" max="1024" width="9.140625" style="6"/>
    <col min="1025" max="1025" width="18.28515625" style="6" customWidth="1"/>
    <col min="1026" max="1026" width="13.5703125" style="6" customWidth="1"/>
    <col min="1027" max="1027" width="15.140625" style="6" customWidth="1"/>
    <col min="1028" max="1029" width="12.85546875" style="6" customWidth="1"/>
    <col min="1030" max="1030" width="12.5703125" style="6" customWidth="1"/>
    <col min="1031" max="1031" width="10.85546875" style="6" customWidth="1"/>
    <col min="1032" max="1034" width="14.5703125" style="6" customWidth="1"/>
    <col min="1035" max="1035" width="12.85546875" style="6" customWidth="1"/>
    <col min="1036" max="1280" width="9.140625" style="6"/>
    <col min="1281" max="1281" width="18.28515625" style="6" customWidth="1"/>
    <col min="1282" max="1282" width="13.5703125" style="6" customWidth="1"/>
    <col min="1283" max="1283" width="15.140625" style="6" customWidth="1"/>
    <col min="1284" max="1285" width="12.85546875" style="6" customWidth="1"/>
    <col min="1286" max="1286" width="12.5703125" style="6" customWidth="1"/>
    <col min="1287" max="1287" width="10.85546875" style="6" customWidth="1"/>
    <col min="1288" max="1290" width="14.5703125" style="6" customWidth="1"/>
    <col min="1291" max="1291" width="12.85546875" style="6" customWidth="1"/>
    <col min="1292" max="1536" width="9.140625" style="6"/>
    <col min="1537" max="1537" width="18.28515625" style="6" customWidth="1"/>
    <col min="1538" max="1538" width="13.5703125" style="6" customWidth="1"/>
    <col min="1539" max="1539" width="15.140625" style="6" customWidth="1"/>
    <col min="1540" max="1541" width="12.85546875" style="6" customWidth="1"/>
    <col min="1542" max="1542" width="12.5703125" style="6" customWidth="1"/>
    <col min="1543" max="1543" width="10.85546875" style="6" customWidth="1"/>
    <col min="1544" max="1546" width="14.5703125" style="6" customWidth="1"/>
    <col min="1547" max="1547" width="12.85546875" style="6" customWidth="1"/>
    <col min="1548" max="1792" width="9.140625" style="6"/>
    <col min="1793" max="1793" width="18.28515625" style="6" customWidth="1"/>
    <col min="1794" max="1794" width="13.5703125" style="6" customWidth="1"/>
    <col min="1795" max="1795" width="15.140625" style="6" customWidth="1"/>
    <col min="1796" max="1797" width="12.85546875" style="6" customWidth="1"/>
    <col min="1798" max="1798" width="12.5703125" style="6" customWidth="1"/>
    <col min="1799" max="1799" width="10.85546875" style="6" customWidth="1"/>
    <col min="1800" max="1802" width="14.5703125" style="6" customWidth="1"/>
    <col min="1803" max="1803" width="12.85546875" style="6" customWidth="1"/>
    <col min="1804" max="2048" width="9.140625" style="6"/>
    <col min="2049" max="2049" width="18.28515625" style="6" customWidth="1"/>
    <col min="2050" max="2050" width="13.5703125" style="6" customWidth="1"/>
    <col min="2051" max="2051" width="15.140625" style="6" customWidth="1"/>
    <col min="2052" max="2053" width="12.85546875" style="6" customWidth="1"/>
    <col min="2054" max="2054" width="12.5703125" style="6" customWidth="1"/>
    <col min="2055" max="2055" width="10.85546875" style="6" customWidth="1"/>
    <col min="2056" max="2058" width="14.5703125" style="6" customWidth="1"/>
    <col min="2059" max="2059" width="12.85546875" style="6" customWidth="1"/>
    <col min="2060" max="2304" width="9.140625" style="6"/>
    <col min="2305" max="2305" width="18.28515625" style="6" customWidth="1"/>
    <col min="2306" max="2306" width="13.5703125" style="6" customWidth="1"/>
    <col min="2307" max="2307" width="15.140625" style="6" customWidth="1"/>
    <col min="2308" max="2309" width="12.85546875" style="6" customWidth="1"/>
    <col min="2310" max="2310" width="12.5703125" style="6" customWidth="1"/>
    <col min="2311" max="2311" width="10.85546875" style="6" customWidth="1"/>
    <col min="2312" max="2314" width="14.5703125" style="6" customWidth="1"/>
    <col min="2315" max="2315" width="12.85546875" style="6" customWidth="1"/>
    <col min="2316" max="2560" width="9.140625" style="6"/>
    <col min="2561" max="2561" width="18.28515625" style="6" customWidth="1"/>
    <col min="2562" max="2562" width="13.5703125" style="6" customWidth="1"/>
    <col min="2563" max="2563" width="15.140625" style="6" customWidth="1"/>
    <col min="2564" max="2565" width="12.85546875" style="6" customWidth="1"/>
    <col min="2566" max="2566" width="12.5703125" style="6" customWidth="1"/>
    <col min="2567" max="2567" width="10.85546875" style="6" customWidth="1"/>
    <col min="2568" max="2570" width="14.5703125" style="6" customWidth="1"/>
    <col min="2571" max="2571" width="12.85546875" style="6" customWidth="1"/>
    <col min="2572" max="2816" width="9.140625" style="6"/>
    <col min="2817" max="2817" width="18.28515625" style="6" customWidth="1"/>
    <col min="2818" max="2818" width="13.5703125" style="6" customWidth="1"/>
    <col min="2819" max="2819" width="15.140625" style="6" customWidth="1"/>
    <col min="2820" max="2821" width="12.85546875" style="6" customWidth="1"/>
    <col min="2822" max="2822" width="12.5703125" style="6" customWidth="1"/>
    <col min="2823" max="2823" width="10.85546875" style="6" customWidth="1"/>
    <col min="2824" max="2826" width="14.5703125" style="6" customWidth="1"/>
    <col min="2827" max="2827" width="12.85546875" style="6" customWidth="1"/>
    <col min="2828" max="3072" width="9.140625" style="6"/>
    <col min="3073" max="3073" width="18.28515625" style="6" customWidth="1"/>
    <col min="3074" max="3074" width="13.5703125" style="6" customWidth="1"/>
    <col min="3075" max="3075" width="15.140625" style="6" customWidth="1"/>
    <col min="3076" max="3077" width="12.85546875" style="6" customWidth="1"/>
    <col min="3078" max="3078" width="12.5703125" style="6" customWidth="1"/>
    <col min="3079" max="3079" width="10.85546875" style="6" customWidth="1"/>
    <col min="3080" max="3082" width="14.5703125" style="6" customWidth="1"/>
    <col min="3083" max="3083" width="12.85546875" style="6" customWidth="1"/>
    <col min="3084" max="3328" width="9.140625" style="6"/>
    <col min="3329" max="3329" width="18.28515625" style="6" customWidth="1"/>
    <col min="3330" max="3330" width="13.5703125" style="6" customWidth="1"/>
    <col min="3331" max="3331" width="15.140625" style="6" customWidth="1"/>
    <col min="3332" max="3333" width="12.85546875" style="6" customWidth="1"/>
    <col min="3334" max="3334" width="12.5703125" style="6" customWidth="1"/>
    <col min="3335" max="3335" width="10.85546875" style="6" customWidth="1"/>
    <col min="3336" max="3338" width="14.5703125" style="6" customWidth="1"/>
    <col min="3339" max="3339" width="12.85546875" style="6" customWidth="1"/>
    <col min="3340" max="3584" width="9.140625" style="6"/>
    <col min="3585" max="3585" width="18.28515625" style="6" customWidth="1"/>
    <col min="3586" max="3586" width="13.5703125" style="6" customWidth="1"/>
    <col min="3587" max="3587" width="15.140625" style="6" customWidth="1"/>
    <col min="3588" max="3589" width="12.85546875" style="6" customWidth="1"/>
    <col min="3590" max="3590" width="12.5703125" style="6" customWidth="1"/>
    <col min="3591" max="3591" width="10.85546875" style="6" customWidth="1"/>
    <col min="3592" max="3594" width="14.5703125" style="6" customWidth="1"/>
    <col min="3595" max="3595" width="12.85546875" style="6" customWidth="1"/>
    <col min="3596" max="3840" width="9.140625" style="6"/>
    <col min="3841" max="3841" width="18.28515625" style="6" customWidth="1"/>
    <col min="3842" max="3842" width="13.5703125" style="6" customWidth="1"/>
    <col min="3843" max="3843" width="15.140625" style="6" customWidth="1"/>
    <col min="3844" max="3845" width="12.85546875" style="6" customWidth="1"/>
    <col min="3846" max="3846" width="12.5703125" style="6" customWidth="1"/>
    <col min="3847" max="3847" width="10.85546875" style="6" customWidth="1"/>
    <col min="3848" max="3850" width="14.5703125" style="6" customWidth="1"/>
    <col min="3851" max="3851" width="12.85546875" style="6" customWidth="1"/>
    <col min="3852" max="4096" width="9.140625" style="6"/>
    <col min="4097" max="4097" width="18.28515625" style="6" customWidth="1"/>
    <col min="4098" max="4098" width="13.5703125" style="6" customWidth="1"/>
    <col min="4099" max="4099" width="15.140625" style="6" customWidth="1"/>
    <col min="4100" max="4101" width="12.85546875" style="6" customWidth="1"/>
    <col min="4102" max="4102" width="12.5703125" style="6" customWidth="1"/>
    <col min="4103" max="4103" width="10.85546875" style="6" customWidth="1"/>
    <col min="4104" max="4106" width="14.5703125" style="6" customWidth="1"/>
    <col min="4107" max="4107" width="12.85546875" style="6" customWidth="1"/>
    <col min="4108" max="4352" width="9.140625" style="6"/>
    <col min="4353" max="4353" width="18.28515625" style="6" customWidth="1"/>
    <col min="4354" max="4354" width="13.5703125" style="6" customWidth="1"/>
    <col min="4355" max="4355" width="15.140625" style="6" customWidth="1"/>
    <col min="4356" max="4357" width="12.85546875" style="6" customWidth="1"/>
    <col min="4358" max="4358" width="12.5703125" style="6" customWidth="1"/>
    <col min="4359" max="4359" width="10.85546875" style="6" customWidth="1"/>
    <col min="4360" max="4362" width="14.5703125" style="6" customWidth="1"/>
    <col min="4363" max="4363" width="12.85546875" style="6" customWidth="1"/>
    <col min="4364" max="4608" width="9.140625" style="6"/>
    <col min="4609" max="4609" width="18.28515625" style="6" customWidth="1"/>
    <col min="4610" max="4610" width="13.5703125" style="6" customWidth="1"/>
    <col min="4611" max="4611" width="15.140625" style="6" customWidth="1"/>
    <col min="4612" max="4613" width="12.85546875" style="6" customWidth="1"/>
    <col min="4614" max="4614" width="12.5703125" style="6" customWidth="1"/>
    <col min="4615" max="4615" width="10.85546875" style="6" customWidth="1"/>
    <col min="4616" max="4618" width="14.5703125" style="6" customWidth="1"/>
    <col min="4619" max="4619" width="12.85546875" style="6" customWidth="1"/>
    <col min="4620" max="4864" width="9.140625" style="6"/>
    <col min="4865" max="4865" width="18.28515625" style="6" customWidth="1"/>
    <col min="4866" max="4866" width="13.5703125" style="6" customWidth="1"/>
    <col min="4867" max="4867" width="15.140625" style="6" customWidth="1"/>
    <col min="4868" max="4869" width="12.85546875" style="6" customWidth="1"/>
    <col min="4870" max="4870" width="12.5703125" style="6" customWidth="1"/>
    <col min="4871" max="4871" width="10.85546875" style="6" customWidth="1"/>
    <col min="4872" max="4874" width="14.5703125" style="6" customWidth="1"/>
    <col min="4875" max="4875" width="12.85546875" style="6" customWidth="1"/>
    <col min="4876" max="5120" width="9.140625" style="6"/>
    <col min="5121" max="5121" width="18.28515625" style="6" customWidth="1"/>
    <col min="5122" max="5122" width="13.5703125" style="6" customWidth="1"/>
    <col min="5123" max="5123" width="15.140625" style="6" customWidth="1"/>
    <col min="5124" max="5125" width="12.85546875" style="6" customWidth="1"/>
    <col min="5126" max="5126" width="12.5703125" style="6" customWidth="1"/>
    <col min="5127" max="5127" width="10.85546875" style="6" customWidth="1"/>
    <col min="5128" max="5130" width="14.5703125" style="6" customWidth="1"/>
    <col min="5131" max="5131" width="12.85546875" style="6" customWidth="1"/>
    <col min="5132" max="5376" width="9.140625" style="6"/>
    <col min="5377" max="5377" width="18.28515625" style="6" customWidth="1"/>
    <col min="5378" max="5378" width="13.5703125" style="6" customWidth="1"/>
    <col min="5379" max="5379" width="15.140625" style="6" customWidth="1"/>
    <col min="5380" max="5381" width="12.85546875" style="6" customWidth="1"/>
    <col min="5382" max="5382" width="12.5703125" style="6" customWidth="1"/>
    <col min="5383" max="5383" width="10.85546875" style="6" customWidth="1"/>
    <col min="5384" max="5386" width="14.5703125" style="6" customWidth="1"/>
    <col min="5387" max="5387" width="12.85546875" style="6" customWidth="1"/>
    <col min="5388" max="5632" width="9.140625" style="6"/>
    <col min="5633" max="5633" width="18.28515625" style="6" customWidth="1"/>
    <col min="5634" max="5634" width="13.5703125" style="6" customWidth="1"/>
    <col min="5635" max="5635" width="15.140625" style="6" customWidth="1"/>
    <col min="5636" max="5637" width="12.85546875" style="6" customWidth="1"/>
    <col min="5638" max="5638" width="12.5703125" style="6" customWidth="1"/>
    <col min="5639" max="5639" width="10.85546875" style="6" customWidth="1"/>
    <col min="5640" max="5642" width="14.5703125" style="6" customWidth="1"/>
    <col min="5643" max="5643" width="12.85546875" style="6" customWidth="1"/>
    <col min="5644" max="5888" width="9.140625" style="6"/>
    <col min="5889" max="5889" width="18.28515625" style="6" customWidth="1"/>
    <col min="5890" max="5890" width="13.5703125" style="6" customWidth="1"/>
    <col min="5891" max="5891" width="15.140625" style="6" customWidth="1"/>
    <col min="5892" max="5893" width="12.85546875" style="6" customWidth="1"/>
    <col min="5894" max="5894" width="12.5703125" style="6" customWidth="1"/>
    <col min="5895" max="5895" width="10.85546875" style="6" customWidth="1"/>
    <col min="5896" max="5898" width="14.5703125" style="6" customWidth="1"/>
    <col min="5899" max="5899" width="12.85546875" style="6" customWidth="1"/>
    <col min="5900" max="6144" width="9.140625" style="6"/>
    <col min="6145" max="6145" width="18.28515625" style="6" customWidth="1"/>
    <col min="6146" max="6146" width="13.5703125" style="6" customWidth="1"/>
    <col min="6147" max="6147" width="15.140625" style="6" customWidth="1"/>
    <col min="6148" max="6149" width="12.85546875" style="6" customWidth="1"/>
    <col min="6150" max="6150" width="12.5703125" style="6" customWidth="1"/>
    <col min="6151" max="6151" width="10.85546875" style="6" customWidth="1"/>
    <col min="6152" max="6154" width="14.5703125" style="6" customWidth="1"/>
    <col min="6155" max="6155" width="12.85546875" style="6" customWidth="1"/>
    <col min="6156" max="6400" width="9.140625" style="6"/>
    <col min="6401" max="6401" width="18.28515625" style="6" customWidth="1"/>
    <col min="6402" max="6402" width="13.5703125" style="6" customWidth="1"/>
    <col min="6403" max="6403" width="15.140625" style="6" customWidth="1"/>
    <col min="6404" max="6405" width="12.85546875" style="6" customWidth="1"/>
    <col min="6406" max="6406" width="12.5703125" style="6" customWidth="1"/>
    <col min="6407" max="6407" width="10.85546875" style="6" customWidth="1"/>
    <col min="6408" max="6410" width="14.5703125" style="6" customWidth="1"/>
    <col min="6411" max="6411" width="12.85546875" style="6" customWidth="1"/>
    <col min="6412" max="6656" width="9.140625" style="6"/>
    <col min="6657" max="6657" width="18.28515625" style="6" customWidth="1"/>
    <col min="6658" max="6658" width="13.5703125" style="6" customWidth="1"/>
    <col min="6659" max="6659" width="15.140625" style="6" customWidth="1"/>
    <col min="6660" max="6661" width="12.85546875" style="6" customWidth="1"/>
    <col min="6662" max="6662" width="12.5703125" style="6" customWidth="1"/>
    <col min="6663" max="6663" width="10.85546875" style="6" customWidth="1"/>
    <col min="6664" max="6666" width="14.5703125" style="6" customWidth="1"/>
    <col min="6667" max="6667" width="12.85546875" style="6" customWidth="1"/>
    <col min="6668" max="6912" width="9.140625" style="6"/>
    <col min="6913" max="6913" width="18.28515625" style="6" customWidth="1"/>
    <col min="6914" max="6914" width="13.5703125" style="6" customWidth="1"/>
    <col min="6915" max="6915" width="15.140625" style="6" customWidth="1"/>
    <col min="6916" max="6917" width="12.85546875" style="6" customWidth="1"/>
    <col min="6918" max="6918" width="12.5703125" style="6" customWidth="1"/>
    <col min="6919" max="6919" width="10.85546875" style="6" customWidth="1"/>
    <col min="6920" max="6922" width="14.5703125" style="6" customWidth="1"/>
    <col min="6923" max="6923" width="12.85546875" style="6" customWidth="1"/>
    <col min="6924" max="7168" width="9.140625" style="6"/>
    <col min="7169" max="7169" width="18.28515625" style="6" customWidth="1"/>
    <col min="7170" max="7170" width="13.5703125" style="6" customWidth="1"/>
    <col min="7171" max="7171" width="15.140625" style="6" customWidth="1"/>
    <col min="7172" max="7173" width="12.85546875" style="6" customWidth="1"/>
    <col min="7174" max="7174" width="12.5703125" style="6" customWidth="1"/>
    <col min="7175" max="7175" width="10.85546875" style="6" customWidth="1"/>
    <col min="7176" max="7178" width="14.5703125" style="6" customWidth="1"/>
    <col min="7179" max="7179" width="12.85546875" style="6" customWidth="1"/>
    <col min="7180" max="7424" width="9.140625" style="6"/>
    <col min="7425" max="7425" width="18.28515625" style="6" customWidth="1"/>
    <col min="7426" max="7426" width="13.5703125" style="6" customWidth="1"/>
    <col min="7427" max="7427" width="15.140625" style="6" customWidth="1"/>
    <col min="7428" max="7429" width="12.85546875" style="6" customWidth="1"/>
    <col min="7430" max="7430" width="12.5703125" style="6" customWidth="1"/>
    <col min="7431" max="7431" width="10.85546875" style="6" customWidth="1"/>
    <col min="7432" max="7434" width="14.5703125" style="6" customWidth="1"/>
    <col min="7435" max="7435" width="12.85546875" style="6" customWidth="1"/>
    <col min="7436" max="7680" width="9.140625" style="6"/>
    <col min="7681" max="7681" width="18.28515625" style="6" customWidth="1"/>
    <col min="7682" max="7682" width="13.5703125" style="6" customWidth="1"/>
    <col min="7683" max="7683" width="15.140625" style="6" customWidth="1"/>
    <col min="7684" max="7685" width="12.85546875" style="6" customWidth="1"/>
    <col min="7686" max="7686" width="12.5703125" style="6" customWidth="1"/>
    <col min="7687" max="7687" width="10.85546875" style="6" customWidth="1"/>
    <col min="7688" max="7690" width="14.5703125" style="6" customWidth="1"/>
    <col min="7691" max="7691" width="12.85546875" style="6" customWidth="1"/>
    <col min="7692" max="7936" width="9.140625" style="6"/>
    <col min="7937" max="7937" width="18.28515625" style="6" customWidth="1"/>
    <col min="7938" max="7938" width="13.5703125" style="6" customWidth="1"/>
    <col min="7939" max="7939" width="15.140625" style="6" customWidth="1"/>
    <col min="7940" max="7941" width="12.85546875" style="6" customWidth="1"/>
    <col min="7942" max="7942" width="12.5703125" style="6" customWidth="1"/>
    <col min="7943" max="7943" width="10.85546875" style="6" customWidth="1"/>
    <col min="7944" max="7946" width="14.5703125" style="6" customWidth="1"/>
    <col min="7947" max="7947" width="12.85546875" style="6" customWidth="1"/>
    <col min="7948" max="8192" width="9.140625" style="6"/>
    <col min="8193" max="8193" width="18.28515625" style="6" customWidth="1"/>
    <col min="8194" max="8194" width="13.5703125" style="6" customWidth="1"/>
    <col min="8195" max="8195" width="15.140625" style="6" customWidth="1"/>
    <col min="8196" max="8197" width="12.85546875" style="6" customWidth="1"/>
    <col min="8198" max="8198" width="12.5703125" style="6" customWidth="1"/>
    <col min="8199" max="8199" width="10.85546875" style="6" customWidth="1"/>
    <col min="8200" max="8202" width="14.5703125" style="6" customWidth="1"/>
    <col min="8203" max="8203" width="12.85546875" style="6" customWidth="1"/>
    <col min="8204" max="8448" width="9.140625" style="6"/>
    <col min="8449" max="8449" width="18.28515625" style="6" customWidth="1"/>
    <col min="8450" max="8450" width="13.5703125" style="6" customWidth="1"/>
    <col min="8451" max="8451" width="15.140625" style="6" customWidth="1"/>
    <col min="8452" max="8453" width="12.85546875" style="6" customWidth="1"/>
    <col min="8454" max="8454" width="12.5703125" style="6" customWidth="1"/>
    <col min="8455" max="8455" width="10.85546875" style="6" customWidth="1"/>
    <col min="8456" max="8458" width="14.5703125" style="6" customWidth="1"/>
    <col min="8459" max="8459" width="12.85546875" style="6" customWidth="1"/>
    <col min="8460" max="8704" width="9.140625" style="6"/>
    <col min="8705" max="8705" width="18.28515625" style="6" customWidth="1"/>
    <col min="8706" max="8706" width="13.5703125" style="6" customWidth="1"/>
    <col min="8707" max="8707" width="15.140625" style="6" customWidth="1"/>
    <col min="8708" max="8709" width="12.85546875" style="6" customWidth="1"/>
    <col min="8710" max="8710" width="12.5703125" style="6" customWidth="1"/>
    <col min="8711" max="8711" width="10.85546875" style="6" customWidth="1"/>
    <col min="8712" max="8714" width="14.5703125" style="6" customWidth="1"/>
    <col min="8715" max="8715" width="12.85546875" style="6" customWidth="1"/>
    <col min="8716" max="8960" width="9.140625" style="6"/>
    <col min="8961" max="8961" width="18.28515625" style="6" customWidth="1"/>
    <col min="8962" max="8962" width="13.5703125" style="6" customWidth="1"/>
    <col min="8963" max="8963" width="15.140625" style="6" customWidth="1"/>
    <col min="8964" max="8965" width="12.85546875" style="6" customWidth="1"/>
    <col min="8966" max="8966" width="12.5703125" style="6" customWidth="1"/>
    <col min="8967" max="8967" width="10.85546875" style="6" customWidth="1"/>
    <col min="8968" max="8970" width="14.5703125" style="6" customWidth="1"/>
    <col min="8971" max="8971" width="12.85546875" style="6" customWidth="1"/>
    <col min="8972" max="9216" width="9.140625" style="6"/>
    <col min="9217" max="9217" width="18.28515625" style="6" customWidth="1"/>
    <col min="9218" max="9218" width="13.5703125" style="6" customWidth="1"/>
    <col min="9219" max="9219" width="15.140625" style="6" customWidth="1"/>
    <col min="9220" max="9221" width="12.85546875" style="6" customWidth="1"/>
    <col min="9222" max="9222" width="12.5703125" style="6" customWidth="1"/>
    <col min="9223" max="9223" width="10.85546875" style="6" customWidth="1"/>
    <col min="9224" max="9226" width="14.5703125" style="6" customWidth="1"/>
    <col min="9227" max="9227" width="12.85546875" style="6" customWidth="1"/>
    <col min="9228" max="9472" width="9.140625" style="6"/>
    <col min="9473" max="9473" width="18.28515625" style="6" customWidth="1"/>
    <col min="9474" max="9474" width="13.5703125" style="6" customWidth="1"/>
    <col min="9475" max="9475" width="15.140625" style="6" customWidth="1"/>
    <col min="9476" max="9477" width="12.85546875" style="6" customWidth="1"/>
    <col min="9478" max="9478" width="12.5703125" style="6" customWidth="1"/>
    <col min="9479" max="9479" width="10.85546875" style="6" customWidth="1"/>
    <col min="9480" max="9482" width="14.5703125" style="6" customWidth="1"/>
    <col min="9483" max="9483" width="12.85546875" style="6" customWidth="1"/>
    <col min="9484" max="9728" width="9.140625" style="6"/>
    <col min="9729" max="9729" width="18.28515625" style="6" customWidth="1"/>
    <col min="9730" max="9730" width="13.5703125" style="6" customWidth="1"/>
    <col min="9731" max="9731" width="15.140625" style="6" customWidth="1"/>
    <col min="9732" max="9733" width="12.85546875" style="6" customWidth="1"/>
    <col min="9734" max="9734" width="12.5703125" style="6" customWidth="1"/>
    <col min="9735" max="9735" width="10.85546875" style="6" customWidth="1"/>
    <col min="9736" max="9738" width="14.5703125" style="6" customWidth="1"/>
    <col min="9739" max="9739" width="12.85546875" style="6" customWidth="1"/>
    <col min="9740" max="9984" width="9.140625" style="6"/>
    <col min="9985" max="9985" width="18.28515625" style="6" customWidth="1"/>
    <col min="9986" max="9986" width="13.5703125" style="6" customWidth="1"/>
    <col min="9987" max="9987" width="15.140625" style="6" customWidth="1"/>
    <col min="9988" max="9989" width="12.85546875" style="6" customWidth="1"/>
    <col min="9990" max="9990" width="12.5703125" style="6" customWidth="1"/>
    <col min="9991" max="9991" width="10.85546875" style="6" customWidth="1"/>
    <col min="9992" max="9994" width="14.5703125" style="6" customWidth="1"/>
    <col min="9995" max="9995" width="12.85546875" style="6" customWidth="1"/>
    <col min="9996" max="10240" width="9.140625" style="6"/>
    <col min="10241" max="10241" width="18.28515625" style="6" customWidth="1"/>
    <col min="10242" max="10242" width="13.5703125" style="6" customWidth="1"/>
    <col min="10243" max="10243" width="15.140625" style="6" customWidth="1"/>
    <col min="10244" max="10245" width="12.85546875" style="6" customWidth="1"/>
    <col min="10246" max="10246" width="12.5703125" style="6" customWidth="1"/>
    <col min="10247" max="10247" width="10.85546875" style="6" customWidth="1"/>
    <col min="10248" max="10250" width="14.5703125" style="6" customWidth="1"/>
    <col min="10251" max="10251" width="12.85546875" style="6" customWidth="1"/>
    <col min="10252" max="10496" width="9.140625" style="6"/>
    <col min="10497" max="10497" width="18.28515625" style="6" customWidth="1"/>
    <col min="10498" max="10498" width="13.5703125" style="6" customWidth="1"/>
    <col min="10499" max="10499" width="15.140625" style="6" customWidth="1"/>
    <col min="10500" max="10501" width="12.85546875" style="6" customWidth="1"/>
    <col min="10502" max="10502" width="12.5703125" style="6" customWidth="1"/>
    <col min="10503" max="10503" width="10.85546875" style="6" customWidth="1"/>
    <col min="10504" max="10506" width="14.5703125" style="6" customWidth="1"/>
    <col min="10507" max="10507" width="12.85546875" style="6" customWidth="1"/>
    <col min="10508" max="10752" width="9.140625" style="6"/>
    <col min="10753" max="10753" width="18.28515625" style="6" customWidth="1"/>
    <col min="10754" max="10754" width="13.5703125" style="6" customWidth="1"/>
    <col min="10755" max="10755" width="15.140625" style="6" customWidth="1"/>
    <col min="10756" max="10757" width="12.85546875" style="6" customWidth="1"/>
    <col min="10758" max="10758" width="12.5703125" style="6" customWidth="1"/>
    <col min="10759" max="10759" width="10.85546875" style="6" customWidth="1"/>
    <col min="10760" max="10762" width="14.5703125" style="6" customWidth="1"/>
    <col min="10763" max="10763" width="12.85546875" style="6" customWidth="1"/>
    <col min="10764" max="11008" width="9.140625" style="6"/>
    <col min="11009" max="11009" width="18.28515625" style="6" customWidth="1"/>
    <col min="11010" max="11010" width="13.5703125" style="6" customWidth="1"/>
    <col min="11011" max="11011" width="15.140625" style="6" customWidth="1"/>
    <col min="11012" max="11013" width="12.85546875" style="6" customWidth="1"/>
    <col min="11014" max="11014" width="12.5703125" style="6" customWidth="1"/>
    <col min="11015" max="11015" width="10.85546875" style="6" customWidth="1"/>
    <col min="11016" max="11018" width="14.5703125" style="6" customWidth="1"/>
    <col min="11019" max="11019" width="12.85546875" style="6" customWidth="1"/>
    <col min="11020" max="11264" width="9.140625" style="6"/>
    <col min="11265" max="11265" width="18.28515625" style="6" customWidth="1"/>
    <col min="11266" max="11266" width="13.5703125" style="6" customWidth="1"/>
    <col min="11267" max="11267" width="15.140625" style="6" customWidth="1"/>
    <col min="11268" max="11269" width="12.85546875" style="6" customWidth="1"/>
    <col min="11270" max="11270" width="12.5703125" style="6" customWidth="1"/>
    <col min="11271" max="11271" width="10.85546875" style="6" customWidth="1"/>
    <col min="11272" max="11274" width="14.5703125" style="6" customWidth="1"/>
    <col min="11275" max="11275" width="12.85546875" style="6" customWidth="1"/>
    <col min="11276" max="11520" width="9.140625" style="6"/>
    <col min="11521" max="11521" width="18.28515625" style="6" customWidth="1"/>
    <col min="11522" max="11522" width="13.5703125" style="6" customWidth="1"/>
    <col min="11523" max="11523" width="15.140625" style="6" customWidth="1"/>
    <col min="11524" max="11525" width="12.85546875" style="6" customWidth="1"/>
    <col min="11526" max="11526" width="12.5703125" style="6" customWidth="1"/>
    <col min="11527" max="11527" width="10.85546875" style="6" customWidth="1"/>
    <col min="11528" max="11530" width="14.5703125" style="6" customWidth="1"/>
    <col min="11531" max="11531" width="12.85546875" style="6" customWidth="1"/>
    <col min="11532" max="11776" width="9.140625" style="6"/>
    <col min="11777" max="11777" width="18.28515625" style="6" customWidth="1"/>
    <col min="11778" max="11778" width="13.5703125" style="6" customWidth="1"/>
    <col min="11779" max="11779" width="15.140625" style="6" customWidth="1"/>
    <col min="11780" max="11781" width="12.85546875" style="6" customWidth="1"/>
    <col min="11782" max="11782" width="12.5703125" style="6" customWidth="1"/>
    <col min="11783" max="11783" width="10.85546875" style="6" customWidth="1"/>
    <col min="11784" max="11786" width="14.5703125" style="6" customWidth="1"/>
    <col min="11787" max="11787" width="12.85546875" style="6" customWidth="1"/>
    <col min="11788" max="12032" width="9.140625" style="6"/>
    <col min="12033" max="12033" width="18.28515625" style="6" customWidth="1"/>
    <col min="12034" max="12034" width="13.5703125" style="6" customWidth="1"/>
    <col min="12035" max="12035" width="15.140625" style="6" customWidth="1"/>
    <col min="12036" max="12037" width="12.85546875" style="6" customWidth="1"/>
    <col min="12038" max="12038" width="12.5703125" style="6" customWidth="1"/>
    <col min="12039" max="12039" width="10.85546875" style="6" customWidth="1"/>
    <col min="12040" max="12042" width="14.5703125" style="6" customWidth="1"/>
    <col min="12043" max="12043" width="12.85546875" style="6" customWidth="1"/>
    <col min="12044" max="12288" width="9.140625" style="6"/>
    <col min="12289" max="12289" width="18.28515625" style="6" customWidth="1"/>
    <col min="12290" max="12290" width="13.5703125" style="6" customWidth="1"/>
    <col min="12291" max="12291" width="15.140625" style="6" customWidth="1"/>
    <col min="12292" max="12293" width="12.85546875" style="6" customWidth="1"/>
    <col min="12294" max="12294" width="12.5703125" style="6" customWidth="1"/>
    <col min="12295" max="12295" width="10.85546875" style="6" customWidth="1"/>
    <col min="12296" max="12298" width="14.5703125" style="6" customWidth="1"/>
    <col min="12299" max="12299" width="12.85546875" style="6" customWidth="1"/>
    <col min="12300" max="12544" width="9.140625" style="6"/>
    <col min="12545" max="12545" width="18.28515625" style="6" customWidth="1"/>
    <col min="12546" max="12546" width="13.5703125" style="6" customWidth="1"/>
    <col min="12547" max="12547" width="15.140625" style="6" customWidth="1"/>
    <col min="12548" max="12549" width="12.85546875" style="6" customWidth="1"/>
    <col min="12550" max="12550" width="12.5703125" style="6" customWidth="1"/>
    <col min="12551" max="12551" width="10.85546875" style="6" customWidth="1"/>
    <col min="12552" max="12554" width="14.5703125" style="6" customWidth="1"/>
    <col min="12555" max="12555" width="12.85546875" style="6" customWidth="1"/>
    <col min="12556" max="12800" width="9.140625" style="6"/>
    <col min="12801" max="12801" width="18.28515625" style="6" customWidth="1"/>
    <col min="12802" max="12802" width="13.5703125" style="6" customWidth="1"/>
    <col min="12803" max="12803" width="15.140625" style="6" customWidth="1"/>
    <col min="12804" max="12805" width="12.85546875" style="6" customWidth="1"/>
    <col min="12806" max="12806" width="12.5703125" style="6" customWidth="1"/>
    <col min="12807" max="12807" width="10.85546875" style="6" customWidth="1"/>
    <col min="12808" max="12810" width="14.5703125" style="6" customWidth="1"/>
    <col min="12811" max="12811" width="12.85546875" style="6" customWidth="1"/>
    <col min="12812" max="13056" width="9.140625" style="6"/>
    <col min="13057" max="13057" width="18.28515625" style="6" customWidth="1"/>
    <col min="13058" max="13058" width="13.5703125" style="6" customWidth="1"/>
    <col min="13059" max="13059" width="15.140625" style="6" customWidth="1"/>
    <col min="13060" max="13061" width="12.85546875" style="6" customWidth="1"/>
    <col min="13062" max="13062" width="12.5703125" style="6" customWidth="1"/>
    <col min="13063" max="13063" width="10.85546875" style="6" customWidth="1"/>
    <col min="13064" max="13066" width="14.5703125" style="6" customWidth="1"/>
    <col min="13067" max="13067" width="12.85546875" style="6" customWidth="1"/>
    <col min="13068" max="13312" width="9.140625" style="6"/>
    <col min="13313" max="13313" width="18.28515625" style="6" customWidth="1"/>
    <col min="13314" max="13314" width="13.5703125" style="6" customWidth="1"/>
    <col min="13315" max="13315" width="15.140625" style="6" customWidth="1"/>
    <col min="13316" max="13317" width="12.85546875" style="6" customWidth="1"/>
    <col min="13318" max="13318" width="12.5703125" style="6" customWidth="1"/>
    <col min="13319" max="13319" width="10.85546875" style="6" customWidth="1"/>
    <col min="13320" max="13322" width="14.5703125" style="6" customWidth="1"/>
    <col min="13323" max="13323" width="12.85546875" style="6" customWidth="1"/>
    <col min="13324" max="13568" width="9.140625" style="6"/>
    <col min="13569" max="13569" width="18.28515625" style="6" customWidth="1"/>
    <col min="13570" max="13570" width="13.5703125" style="6" customWidth="1"/>
    <col min="13571" max="13571" width="15.140625" style="6" customWidth="1"/>
    <col min="13572" max="13573" width="12.85546875" style="6" customWidth="1"/>
    <col min="13574" max="13574" width="12.5703125" style="6" customWidth="1"/>
    <col min="13575" max="13575" width="10.85546875" style="6" customWidth="1"/>
    <col min="13576" max="13578" width="14.5703125" style="6" customWidth="1"/>
    <col min="13579" max="13579" width="12.85546875" style="6" customWidth="1"/>
    <col min="13580" max="13824" width="9.140625" style="6"/>
    <col min="13825" max="13825" width="18.28515625" style="6" customWidth="1"/>
    <col min="13826" max="13826" width="13.5703125" style="6" customWidth="1"/>
    <col min="13827" max="13827" width="15.140625" style="6" customWidth="1"/>
    <col min="13828" max="13829" width="12.85546875" style="6" customWidth="1"/>
    <col min="13830" max="13830" width="12.5703125" style="6" customWidth="1"/>
    <col min="13831" max="13831" width="10.85546875" style="6" customWidth="1"/>
    <col min="13832" max="13834" width="14.5703125" style="6" customWidth="1"/>
    <col min="13835" max="13835" width="12.85546875" style="6" customWidth="1"/>
    <col min="13836" max="14080" width="9.140625" style="6"/>
    <col min="14081" max="14081" width="18.28515625" style="6" customWidth="1"/>
    <col min="14082" max="14082" width="13.5703125" style="6" customWidth="1"/>
    <col min="14083" max="14083" width="15.140625" style="6" customWidth="1"/>
    <col min="14084" max="14085" width="12.85546875" style="6" customWidth="1"/>
    <col min="14086" max="14086" width="12.5703125" style="6" customWidth="1"/>
    <col min="14087" max="14087" width="10.85546875" style="6" customWidth="1"/>
    <col min="14088" max="14090" width="14.5703125" style="6" customWidth="1"/>
    <col min="14091" max="14091" width="12.85546875" style="6" customWidth="1"/>
    <col min="14092" max="14336" width="9.140625" style="6"/>
    <col min="14337" max="14337" width="18.28515625" style="6" customWidth="1"/>
    <col min="14338" max="14338" width="13.5703125" style="6" customWidth="1"/>
    <col min="14339" max="14339" width="15.140625" style="6" customWidth="1"/>
    <col min="14340" max="14341" width="12.85546875" style="6" customWidth="1"/>
    <col min="14342" max="14342" width="12.5703125" style="6" customWidth="1"/>
    <col min="14343" max="14343" width="10.85546875" style="6" customWidth="1"/>
    <col min="14344" max="14346" width="14.5703125" style="6" customWidth="1"/>
    <col min="14347" max="14347" width="12.85546875" style="6" customWidth="1"/>
    <col min="14348" max="14592" width="9.140625" style="6"/>
    <col min="14593" max="14593" width="18.28515625" style="6" customWidth="1"/>
    <col min="14594" max="14594" width="13.5703125" style="6" customWidth="1"/>
    <col min="14595" max="14595" width="15.140625" style="6" customWidth="1"/>
    <col min="14596" max="14597" width="12.85546875" style="6" customWidth="1"/>
    <col min="14598" max="14598" width="12.5703125" style="6" customWidth="1"/>
    <col min="14599" max="14599" width="10.85546875" style="6" customWidth="1"/>
    <col min="14600" max="14602" width="14.5703125" style="6" customWidth="1"/>
    <col min="14603" max="14603" width="12.85546875" style="6" customWidth="1"/>
    <col min="14604" max="14848" width="9.140625" style="6"/>
    <col min="14849" max="14849" width="18.28515625" style="6" customWidth="1"/>
    <col min="14850" max="14850" width="13.5703125" style="6" customWidth="1"/>
    <col min="14851" max="14851" width="15.140625" style="6" customWidth="1"/>
    <col min="14852" max="14853" width="12.85546875" style="6" customWidth="1"/>
    <col min="14854" max="14854" width="12.5703125" style="6" customWidth="1"/>
    <col min="14855" max="14855" width="10.85546875" style="6" customWidth="1"/>
    <col min="14856" max="14858" width="14.5703125" style="6" customWidth="1"/>
    <col min="14859" max="14859" width="12.85546875" style="6" customWidth="1"/>
    <col min="14860" max="15104" width="9.140625" style="6"/>
    <col min="15105" max="15105" width="18.28515625" style="6" customWidth="1"/>
    <col min="15106" max="15106" width="13.5703125" style="6" customWidth="1"/>
    <col min="15107" max="15107" width="15.140625" style="6" customWidth="1"/>
    <col min="15108" max="15109" width="12.85546875" style="6" customWidth="1"/>
    <col min="15110" max="15110" width="12.5703125" style="6" customWidth="1"/>
    <col min="15111" max="15111" width="10.85546875" style="6" customWidth="1"/>
    <col min="15112" max="15114" width="14.5703125" style="6" customWidth="1"/>
    <col min="15115" max="15115" width="12.85546875" style="6" customWidth="1"/>
    <col min="15116" max="15360" width="9.140625" style="6"/>
    <col min="15361" max="15361" width="18.28515625" style="6" customWidth="1"/>
    <col min="15362" max="15362" width="13.5703125" style="6" customWidth="1"/>
    <col min="15363" max="15363" width="15.140625" style="6" customWidth="1"/>
    <col min="15364" max="15365" width="12.85546875" style="6" customWidth="1"/>
    <col min="15366" max="15366" width="12.5703125" style="6" customWidth="1"/>
    <col min="15367" max="15367" width="10.85546875" style="6" customWidth="1"/>
    <col min="15368" max="15370" width="14.5703125" style="6" customWidth="1"/>
    <col min="15371" max="15371" width="12.85546875" style="6" customWidth="1"/>
    <col min="15372" max="15616" width="9.140625" style="6"/>
    <col min="15617" max="15617" width="18.28515625" style="6" customWidth="1"/>
    <col min="15618" max="15618" width="13.5703125" style="6" customWidth="1"/>
    <col min="15619" max="15619" width="15.140625" style="6" customWidth="1"/>
    <col min="15620" max="15621" width="12.85546875" style="6" customWidth="1"/>
    <col min="15622" max="15622" width="12.5703125" style="6" customWidth="1"/>
    <col min="15623" max="15623" width="10.85546875" style="6" customWidth="1"/>
    <col min="15624" max="15626" width="14.5703125" style="6" customWidth="1"/>
    <col min="15627" max="15627" width="12.85546875" style="6" customWidth="1"/>
    <col min="15628" max="15872" width="9.140625" style="6"/>
    <col min="15873" max="15873" width="18.28515625" style="6" customWidth="1"/>
    <col min="15874" max="15874" width="13.5703125" style="6" customWidth="1"/>
    <col min="15875" max="15875" width="15.140625" style="6" customWidth="1"/>
    <col min="15876" max="15877" width="12.85546875" style="6" customWidth="1"/>
    <col min="15878" max="15878" width="12.5703125" style="6" customWidth="1"/>
    <col min="15879" max="15879" width="10.85546875" style="6" customWidth="1"/>
    <col min="15880" max="15882" width="14.5703125" style="6" customWidth="1"/>
    <col min="15883" max="15883" width="12.85546875" style="6" customWidth="1"/>
    <col min="15884" max="16128" width="9.140625" style="6"/>
    <col min="16129" max="16129" width="18.28515625" style="6" customWidth="1"/>
    <col min="16130" max="16130" width="13.5703125" style="6" customWidth="1"/>
    <col min="16131" max="16131" width="15.140625" style="6" customWidth="1"/>
    <col min="16132" max="16133" width="12.85546875" style="6" customWidth="1"/>
    <col min="16134" max="16134" width="12.5703125" style="6" customWidth="1"/>
    <col min="16135" max="16135" width="10.85546875" style="6" customWidth="1"/>
    <col min="16136" max="16138" width="14.5703125" style="6" customWidth="1"/>
    <col min="16139" max="16139" width="12.85546875" style="6" customWidth="1"/>
    <col min="16140" max="16384" width="9.140625" style="6"/>
  </cols>
  <sheetData>
    <row r="1" spans="1:14" ht="15.75">
      <c r="A1" s="208" t="str">
        <f xml:space="preserve"> "Psychological Therapies Waiting Times - Number of patients aged 65 and over  waiting at the end of the month by Health Board, "&amp;TEXT(A25,"mmm yyyy")&amp;" - "&amp;TEXT(A11,"mmm yyyy")</f>
        <v>Psychological Therapies Waiting Times - Number of patients aged 65 and over  waiting at the end of the month by Health Board, Apr 2020 - Jun 2021</v>
      </c>
      <c r="B1" s="210"/>
      <c r="C1" s="210"/>
      <c r="D1" s="210"/>
    </row>
    <row r="2" spans="1:14" ht="15.75">
      <c r="A2" s="209"/>
      <c r="B2" s="205"/>
      <c r="C2" s="205"/>
      <c r="D2" s="205"/>
    </row>
    <row r="3" spans="1:14">
      <c r="A3" s="456" t="s">
        <v>458</v>
      </c>
      <c r="B3" s="457"/>
      <c r="C3" s="457"/>
      <c r="D3" s="457"/>
      <c r="E3" s="65"/>
      <c r="F3" s="65"/>
      <c r="G3" s="65"/>
      <c r="H3" s="65"/>
      <c r="I3" s="65"/>
      <c r="J3" s="65"/>
      <c r="K3" s="48"/>
    </row>
    <row r="4" spans="1:14">
      <c r="A4" s="66" t="str">
        <f>"Number of patients waiting at the end of the month by Health Board, "&amp;TEXT(A25,"mmm yyyy")&amp;" - "&amp;TEXT(A11,"mmm yyyy")</f>
        <v>Number of patients waiting at the end of the month by Health Board, Apr 2020 - Jun 2021</v>
      </c>
      <c r="B4" s="65"/>
      <c r="C4" s="65"/>
      <c r="D4" s="65"/>
      <c r="E4" s="65"/>
      <c r="F4" s="65"/>
      <c r="G4" s="65"/>
      <c r="H4" s="65"/>
      <c r="I4" s="65"/>
      <c r="J4" s="65"/>
      <c r="K4" s="48"/>
    </row>
    <row r="5" spans="1:14">
      <c r="A5" s="199" t="s">
        <v>453</v>
      </c>
      <c r="B5" s="65"/>
      <c r="C5" s="65"/>
      <c r="D5" s="65"/>
      <c r="E5" s="65"/>
      <c r="F5" s="65"/>
      <c r="G5" s="65"/>
      <c r="H5" s="65"/>
      <c r="I5" s="65"/>
      <c r="J5" s="65"/>
      <c r="K5" s="48"/>
    </row>
    <row r="6" spans="1:14" ht="15.75" thickBot="1">
      <c r="A6" s="458"/>
      <c r="B6" s="458"/>
      <c r="C6" s="458"/>
      <c r="D6" s="458"/>
      <c r="E6" s="67"/>
      <c r="F6" s="67"/>
      <c r="G6" s="67"/>
      <c r="H6" s="67"/>
      <c r="I6" s="67"/>
      <c r="J6" s="67"/>
      <c r="K6" s="67"/>
    </row>
    <row r="7" spans="1:14" ht="15.75" thickBot="1">
      <c r="A7" s="6" t="s">
        <v>180</v>
      </c>
      <c r="B7" s="9"/>
      <c r="C7" s="440" t="s">
        <v>28</v>
      </c>
      <c r="D7" s="441"/>
      <c r="E7" s="67"/>
      <c r="F7" s="67"/>
      <c r="G7" s="67"/>
      <c r="H7" s="67"/>
      <c r="I7" s="67"/>
      <c r="J7" s="67"/>
      <c r="K7" s="67"/>
    </row>
    <row r="8" spans="1:14">
      <c r="A8" s="220" t="s">
        <v>1301</v>
      </c>
      <c r="B8" s="33" t="s">
        <v>183</v>
      </c>
      <c r="C8" s="9"/>
      <c r="D8" s="9"/>
      <c r="E8" s="34"/>
      <c r="F8" s="92" t="s">
        <v>172</v>
      </c>
      <c r="G8" s="68" t="s">
        <v>30</v>
      </c>
      <c r="H8" s="34"/>
      <c r="I8" s="34"/>
      <c r="J8" s="34"/>
      <c r="K8" s="28"/>
      <c r="L8" s="28"/>
    </row>
    <row r="9" spans="1:14" ht="21.75" customHeight="1">
      <c r="A9" s="442" t="s">
        <v>31</v>
      </c>
      <c r="B9" s="444" t="s">
        <v>347</v>
      </c>
      <c r="C9" s="445" t="s">
        <v>193</v>
      </c>
      <c r="D9" s="449" t="s">
        <v>33</v>
      </c>
      <c r="E9" s="446"/>
      <c r="F9" s="446"/>
      <c r="G9" s="443"/>
      <c r="H9" s="449" t="s">
        <v>187</v>
      </c>
      <c r="I9" s="446"/>
      <c r="J9" s="446"/>
      <c r="K9" s="446"/>
      <c r="L9" s="20"/>
    </row>
    <row r="10" spans="1:14" ht="16.5" customHeight="1">
      <c r="A10" s="442"/>
      <c r="B10" s="444"/>
      <c r="C10" s="445"/>
      <c r="D10" s="293" t="s">
        <v>34</v>
      </c>
      <c r="E10" s="151" t="s">
        <v>188</v>
      </c>
      <c r="F10" s="151" t="s">
        <v>317</v>
      </c>
      <c r="G10" s="275" t="s">
        <v>331</v>
      </c>
      <c r="H10" s="164" t="s">
        <v>34</v>
      </c>
      <c r="I10" s="151" t="s">
        <v>188</v>
      </c>
      <c r="J10" s="151" t="s">
        <v>317</v>
      </c>
      <c r="K10" s="151" t="s">
        <v>331</v>
      </c>
      <c r="L10" s="93"/>
      <c r="M10" s="40"/>
    </row>
    <row r="11" spans="1:14">
      <c r="A11" s="359">
        <f>REPORT_raw_dataseen!R1</f>
        <v>44348</v>
      </c>
      <c r="B11" s="255" t="str">
        <f>IF(VLOOKUP($C$7,'Type of adjust'!$A$1:$P$18,MATCH($A11,'Type of adjust'!$A$1:$P$1,1),FALSE)="", "..", VLOOKUP($C$7,'Type of adjust'!$A$1:$P$18,MATCH($A11,'Type of adjust'!$A$1:$P$1,1),FALSE))</f>
        <v>..</v>
      </c>
      <c r="C11" s="260">
        <f>IF(VLOOKUP($C$7&amp;"Adjusted waiting over_65"&amp;$C$9,REPORT_raw_datawaiting!$A$1:$R$817,MATCH($A11,REPORT_raw_datawaiting!$D$1:$R$1,1)+3, FALSE)=0,"-", IF(VLOOKUP($C$7&amp;"Adjusted waiting over_65"&amp;$C$9,REPORT_raw_datawaiting!$A$1:$R$817,MATCH($A11,REPORT_raw_datawaiting!$D$1:$R$1,1)+3, FALSE)&lt;5,"*",VLOOKUP($C$7&amp;"Adjusted waiting over_65"&amp;$C$9,REPORT_raw_datawaiting!$A$1:$R$817,MATCH($A11,REPORT_raw_datawaiting!$D$1:$R$1,1)+3, FALSE)))</f>
        <v>1136</v>
      </c>
      <c r="D11" s="260">
        <f>IF(C11="*","*",IF(VLOOKUP($C$7&amp;"Adjusted waiting over_65"&amp;$D$10,REPORT_raw_datawaiting!$A$1:$R$817,MATCH($A11,REPORT_raw_datawaiting!$D$1:$R$1,1)+3, FALSE)=0,"-",VLOOKUP($C$7&amp;"Adjusted waiting over_65"&amp;$D$10,REPORT_raw_datawaiting!$A$1:$R$817,MATCH($A11,REPORT_raw_datawaiting!$D$1:$R$1,1)+3, FALSE)))</f>
        <v>879</v>
      </c>
      <c r="E11" s="260">
        <f>IF(C11="*","*",IF(VLOOKUP($C$7&amp;"Adjusted waiting over_65"&amp;$E$10,REPORT_raw_datawaiting!$A$1:$R$817,MATCH($A11,REPORT_raw_datawaiting!$D$1:$R$1,1)+3, FALSE)=0,"-",VLOOKUP($C$7&amp;"Adjusted waiting over_65"&amp;$E$10,REPORT_raw_datawaiting!$A$1:$R$817,MATCH($A11,REPORT_raw_datawaiting!$D$1:$R$1,1)+3, FALSE)))</f>
        <v>116</v>
      </c>
      <c r="F11" s="260">
        <f>IF(C11="*","*",IF(VLOOKUP($C$7&amp;"Adjusted waiting over_65"&amp;$F$8,REPORT_raw_datawaiting!$A$1:$R$817,MATCH($A11,REPORT_raw_datawaiting!$D$1:$R$1,1)+3, FALSE)=0,"-",VLOOKUP($C$7&amp;"Adjusted waiting over_65"&amp;$F$8,REPORT_raw_datawaiting!$A$1:$R$817,MATCH($A11,REPORT_raw_datawaiting!$D$1:$R$1,1)+3, FALSE)))</f>
        <v>45</v>
      </c>
      <c r="G11" s="260">
        <f>IF(C11="*","*",IF(VLOOKUP($C$7&amp;"Adjusted waiting over_65"&amp;$G$8,REPORT_raw_datawaiting!$A$1:$R$817,MATCH($A11,REPORT_raw_datawaiting!$D$1:$R$1,1)+3, FALSE)=0,"-",VLOOKUP($C$7&amp;"Adjusted waiting over_65"&amp;$G$8,REPORT_raw_datawaiting!$A$1:$R$817,MATCH($A11,REPORT_raw_datawaiting!$D$1:$R$1,1)+3, FALSE)))</f>
        <v>96</v>
      </c>
      <c r="H11" s="263">
        <f>'3b (2)'!H11</f>
        <v>77.38</v>
      </c>
      <c r="I11" s="263">
        <f>'3b (2)'!I11</f>
        <v>10.210000000000001</v>
      </c>
      <c r="J11" s="263">
        <f>'3b (2)'!J11</f>
        <v>3.96</v>
      </c>
      <c r="K11" s="257">
        <f>'3b (2)'!K11</f>
        <v>8.4499999999999993</v>
      </c>
      <c r="L11" s="94"/>
      <c r="M11" s="94"/>
      <c r="N11" s="94"/>
    </row>
    <row r="12" spans="1:14">
      <c r="A12" s="360">
        <f>DATE(YEAR(A11),MONTH(A11)-1,DAY(A11))</f>
        <v>44317</v>
      </c>
      <c r="B12" s="256" t="str">
        <f>IF(VLOOKUP($C$7,'Type of adjust'!$A$1:$P$18,MATCH($A12,'Type of adjust'!$A$1:$P$1,1),FALSE)="", "..", VLOOKUP($C$7,'Type of adjust'!$A$1:$P$18,MATCH($A12,'Type of adjust'!$A$1:$P$1,1),FALSE))</f>
        <v>..</v>
      </c>
      <c r="C12" s="261">
        <f>IF(VLOOKUP($C$7&amp;"Adjusted waiting over_65"&amp;$C$9,REPORT_raw_datawaiting!$A$1:$R$817,MATCH($A12,REPORT_raw_datawaiting!$D$1:$R$1,1)+3, FALSE)=0,"-", IF(VLOOKUP($C$7&amp;"Adjusted waiting over_65"&amp;$C$9,REPORT_raw_datawaiting!$A$1:$R$817,MATCH($A12,REPORT_raw_datawaiting!$D$1:$R$1,1)+3, FALSE)&lt;13,"*",VLOOKUP($C$7&amp;"Adjusted waiting over_65"&amp;$C$9,REPORT_raw_datawaiting!$A$1:$R$817,MATCH($A12,REPORT_raw_datawaiting!$D$1:$R$1,1)+3, FALSE)))</f>
        <v>1023</v>
      </c>
      <c r="D12" s="261">
        <f>IF(C12="*","*",IF(VLOOKUP($C$7&amp;"Adjusted waiting over_65"&amp;$D$10,REPORT_raw_datawaiting!$A$1:$R$817,MATCH($A12,REPORT_raw_datawaiting!$D$1:$R$1,1)+3, FALSE)=0,"-",VLOOKUP($C$7&amp;"Adjusted waiting over_65"&amp;$D$10,REPORT_raw_datawaiting!$A$1:$R$817,MATCH($A12,REPORT_raw_datawaiting!$D$1:$R$1,1)+3, FALSE)))</f>
        <v>745</v>
      </c>
      <c r="E12" s="261">
        <f>IF(C12="*","*",IF(VLOOKUP($C$7&amp;"Adjusted waiting over_65"&amp;$E$10,REPORT_raw_datawaiting!$A$1:$R$817,MATCH($A12,REPORT_raw_datawaiting!$D$1:$R$1,1)+3, FALSE)=0,"-",VLOOKUP($C$7&amp;"Adjusted waiting over_65"&amp;$E$10,REPORT_raw_datawaiting!$A$1:$R$817,MATCH($A12,REPORT_raw_datawaiting!$D$1:$R$1,1)+3, FALSE)))</f>
        <v>133</v>
      </c>
      <c r="F12" s="261">
        <f>IF(C12="*","*",IF(VLOOKUP($C$7&amp;"Adjusted waiting over_65"&amp;$F$8,REPORT_raw_datawaiting!$A$1:$R$817,MATCH($A12,REPORT_raw_datawaiting!$D$1:$R$1,1)+3, FALSE)=0,"-",VLOOKUP($C$7&amp;"Adjusted waiting over_65"&amp;$F$8,REPORT_raw_datawaiting!$A$1:$R$817,MATCH($A12,REPORT_raw_datawaiting!$D$1:$R$1,1)+3, FALSE)))</f>
        <v>46</v>
      </c>
      <c r="G12" s="261">
        <f>IF(C12="*","*",IF(VLOOKUP($C$7&amp;"Adjusted waiting over_65"&amp;$G$8,REPORT_raw_datawaiting!$A$1:$R$817,MATCH($A12,REPORT_raw_datawaiting!$D$1:$R$1,1)+3, FALSE)=0,"-",VLOOKUP($C$7&amp;"Adjusted waiting over_65"&amp;$G$8,REPORT_raw_datawaiting!$A$1:$R$817,MATCH($A12,REPORT_raw_datawaiting!$D$1:$R$1,1)+3, FALSE)))</f>
        <v>99</v>
      </c>
      <c r="H12" s="264">
        <f>'3b (2)'!H12</f>
        <v>72.83</v>
      </c>
      <c r="I12" s="264">
        <f>'3b (2)'!I12</f>
        <v>13</v>
      </c>
      <c r="J12" s="264">
        <f>'3b (2)'!J12</f>
        <v>4.5</v>
      </c>
      <c r="K12" s="258">
        <f>'3b (2)'!K12</f>
        <v>9.68</v>
      </c>
      <c r="L12" s="94"/>
      <c r="M12" s="94"/>
      <c r="N12" s="94"/>
    </row>
    <row r="13" spans="1:14">
      <c r="A13" s="360">
        <f>DATE(YEAR(A12),MONTH(A12)-1,DAY(A12))</f>
        <v>44287</v>
      </c>
      <c r="B13" s="256" t="str">
        <f>IF(VLOOKUP($C$7,'Type of adjust'!$A$1:$P$18,MATCH($A13,'Type of adjust'!$A$1:$P$1,1),FALSE)="", "..", VLOOKUP($C$7,'Type of adjust'!$A$1:$P$18,MATCH($A13,'Type of adjust'!$A$1:$P$1,1),FALSE))</f>
        <v>..</v>
      </c>
      <c r="C13" s="261">
        <f>IF(VLOOKUP($C$7&amp;"Adjusted waiting over_65"&amp;$C$9,REPORT_raw_datawaiting!$A$1:$R$817,MATCH($A13,REPORT_raw_datawaiting!$D$1:$R$1,1)+3, FALSE)=0,"-", IF(VLOOKUP($C$7&amp;"Adjusted waiting over_65"&amp;$C$9,REPORT_raw_datawaiting!$A$1:$R$817,MATCH($A13,REPORT_raw_datawaiting!$D$1:$R$1,1)+3, FALSE)&lt;5,"*",VLOOKUP($C$7&amp;"Adjusted waiting over_65"&amp;$C$9,REPORT_raw_datawaiting!$A$1:$R$817,MATCH($A13,REPORT_raw_datawaiting!$D$1:$R$1,1)+3, FALSE)))</f>
        <v>966</v>
      </c>
      <c r="D13" s="261">
        <f>IF(C13="*","*",IF(VLOOKUP($C$7&amp;"Adjusted waiting over_65"&amp;$D$10,REPORT_raw_datawaiting!$A$1:$R$817,MATCH($A13,REPORT_raw_datawaiting!$D$1:$R$1,1)+3, FALSE)=0,"-",VLOOKUP($C$7&amp;"Adjusted waiting over_65"&amp;$D$10,REPORT_raw_datawaiting!$A$1:$R$817,MATCH($A13,REPORT_raw_datawaiting!$D$1:$R$1,1)+3, FALSE)))</f>
        <v>672</v>
      </c>
      <c r="E13" s="261">
        <f>IF(C13="*","*",IF(VLOOKUP($C$7&amp;"Adjusted waiting over_65"&amp;$E$10,REPORT_raw_datawaiting!$A$1:$R$817,MATCH($A13,REPORT_raw_datawaiting!$D$1:$R$1,1)+3, FALSE)=0,"-",VLOOKUP($C$7&amp;"Adjusted waiting over_65"&amp;$E$10,REPORT_raw_datawaiting!$A$1:$R$817,MATCH($A13,REPORT_raw_datawaiting!$D$1:$R$1,1)+3, FALSE)))</f>
        <v>144</v>
      </c>
      <c r="F13" s="261">
        <f>IF(C13="*","*",IF(VLOOKUP($C$7&amp;"Adjusted waiting over_65"&amp;$F$8,REPORT_raw_datawaiting!$A$1:$R$817,MATCH($A13,REPORT_raw_datawaiting!$D$1:$R$1,1)+3, FALSE)=0,"-",VLOOKUP($C$7&amp;"Adjusted waiting over_65"&amp;$F$8,REPORT_raw_datawaiting!$A$1:$R$817,MATCH($A13,REPORT_raw_datawaiting!$D$1:$R$1,1)+3, FALSE)))</f>
        <v>40</v>
      </c>
      <c r="G13" s="261">
        <f>IF(C13="*","*",IF(VLOOKUP($C$7&amp;"Adjusted waiting over_65"&amp;$G$8,REPORT_raw_datawaiting!$A$1:$R$817,MATCH($A13,REPORT_raw_datawaiting!$D$1:$R$1,1)+3, FALSE)=0,"-",VLOOKUP($C$7&amp;"Adjusted waiting over_65"&amp;$G$8,REPORT_raw_datawaiting!$A$1:$R$817,MATCH($A13,REPORT_raw_datawaiting!$D$1:$R$1,1)+3, FALSE)))</f>
        <v>110</v>
      </c>
      <c r="H13" s="264">
        <f>'3b (2)'!H13</f>
        <v>69.569999999999993</v>
      </c>
      <c r="I13" s="264">
        <f>'3b (2)'!I13</f>
        <v>14.91</v>
      </c>
      <c r="J13" s="264">
        <f>'3b (2)'!J13</f>
        <v>4.1399999999999997</v>
      </c>
      <c r="K13" s="258">
        <f>'3b (2)'!K13</f>
        <v>11.39</v>
      </c>
      <c r="L13" s="94"/>
      <c r="M13" s="94"/>
      <c r="N13" s="94"/>
    </row>
    <row r="14" spans="1:14">
      <c r="A14" s="360">
        <f>DATE(YEAR(A13),MONTH(A13)-1,DAY(A13))</f>
        <v>44256</v>
      </c>
      <c r="B14" s="256" t="str">
        <f>IF(VLOOKUP($C$7,'Type of adjust'!$A$1:$P$18,MATCH($A14,'Type of adjust'!$A$1:$P$1,1),FALSE)="", "..", VLOOKUP($C$7,'Type of adjust'!$A$1:$P$18,MATCH($A14,'Type of adjust'!$A$1:$P$1,1),FALSE))</f>
        <v>..</v>
      </c>
      <c r="C14" s="261">
        <f>IF(VLOOKUP($C$7&amp;"Adjusted waiting over_65"&amp;$C$9,REPORT_raw_datawaiting!$A$1:$R$817,MATCH($A14,REPORT_raw_datawaiting!$D$1:$R$1,1)+3, FALSE)=0,"-", IF(VLOOKUP($C$7&amp;"Adjusted waiting over_65"&amp;$C$9,REPORT_raw_datawaiting!$A$1:$R$817,MATCH($A14,REPORT_raw_datawaiting!$D$1:$R$1,1)+3, FALSE)&lt;10,"*",VLOOKUP($C$7&amp;"Adjusted waiting over_65"&amp;$C$9,REPORT_raw_datawaiting!$A$1:$R$817,MATCH($A14,REPORT_raw_datawaiting!$D$1:$R$1,1)+3, FALSE)))</f>
        <v>918</v>
      </c>
      <c r="D14" s="261">
        <f>IF(C14="*","*",IF(VLOOKUP($C$7&amp;"Adjusted waiting over_65"&amp;$D$10,REPORT_raw_datawaiting!$A$1:$R$817,MATCH($A14,REPORT_raw_datawaiting!$D$1:$R$1,1)+3, FALSE)=0,"-",VLOOKUP($C$7&amp;"Adjusted waiting over_65"&amp;$D$10,REPORT_raw_datawaiting!$A$1:$R$817,MATCH($A14,REPORT_raw_datawaiting!$D$1:$R$1,1)+3, FALSE)))</f>
        <v>649</v>
      </c>
      <c r="E14" s="261">
        <f>IF(C14="*","*",IF(VLOOKUP($C$7&amp;"Adjusted waiting over_65"&amp;$E$10,REPORT_raw_datawaiting!$A$1:$R$817,MATCH($A14,REPORT_raw_datawaiting!$D$1:$R$1,1)+3, FALSE)=0,"-",VLOOKUP($C$7&amp;"Adjusted waiting over_65"&amp;$E$10,REPORT_raw_datawaiting!$A$1:$R$817,MATCH($A14,REPORT_raw_datawaiting!$D$1:$R$1,1)+3, FALSE)))</f>
        <v>131</v>
      </c>
      <c r="F14" s="261">
        <f>IF(C14="*","*",IF(VLOOKUP($C$7&amp;"Adjusted waiting over_65"&amp;$F$8,REPORT_raw_datawaiting!$A$1:$R$817,MATCH($A14,REPORT_raw_datawaiting!$D$1:$R$1,1)+3, FALSE)=0,"-",VLOOKUP($C$7&amp;"Adjusted waiting over_65"&amp;$F$8,REPORT_raw_datawaiting!$A$1:$R$817,MATCH($A14,REPORT_raw_datawaiting!$D$1:$R$1,1)+3, FALSE)))</f>
        <v>35</v>
      </c>
      <c r="G14" s="261">
        <f>IF(C14="*","*",IF(VLOOKUP($C$7&amp;"Adjusted waiting over_65"&amp;$G$8,REPORT_raw_datawaiting!$A$1:$R$817,MATCH($A14,REPORT_raw_datawaiting!$D$1:$R$1,1)+3, FALSE)=0,"-",VLOOKUP($C$7&amp;"Adjusted waiting over_65"&amp;$G$8,REPORT_raw_datawaiting!$A$1:$R$817,MATCH($A14,REPORT_raw_datawaiting!$D$1:$R$1,1)+3, FALSE)))</f>
        <v>103</v>
      </c>
      <c r="H14" s="264">
        <f>'3b (2)'!H14</f>
        <v>70.7</v>
      </c>
      <c r="I14" s="264">
        <f>'3b (2)'!I14</f>
        <v>14.27</v>
      </c>
      <c r="J14" s="264">
        <f>'3b (2)'!J14</f>
        <v>3.81</v>
      </c>
      <c r="K14" s="258">
        <f>'3b (2)'!K14</f>
        <v>11.22</v>
      </c>
      <c r="L14" s="94"/>
      <c r="M14" s="94"/>
      <c r="N14" s="94"/>
    </row>
    <row r="15" spans="1:14">
      <c r="A15" s="360">
        <f>DATE(YEAR(A14),MONTH(A14)-1,DAY(A14))</f>
        <v>44228</v>
      </c>
      <c r="B15" s="256" t="str">
        <f>IF(VLOOKUP($C$7,'Type of adjust'!$A$1:$P$18,MATCH($A15,'Type of adjust'!$A$1:$P$1,1),FALSE)="", "..", VLOOKUP($C$7,'Type of adjust'!$A$1:$P$18,MATCH($A15,'Type of adjust'!$A$1:$P$1,1),FALSE))</f>
        <v>..</v>
      </c>
      <c r="C15" s="261">
        <f>IF(VLOOKUP($C$7&amp;"Adjusted waiting over_65"&amp;$C$9,REPORT_raw_datawaiting!$A$1:$R$817,MATCH($A15,REPORT_raw_datawaiting!$D$1:$R$1,1)+3, FALSE)=0,"-", IF(VLOOKUP($C$7&amp;"Adjusted waiting over_65"&amp;$C$9,REPORT_raw_datawaiting!$A$1:$R$817,MATCH($A15,REPORT_raw_datawaiting!$D$1:$R$1,1)+3, FALSE)&lt;5,"*",VLOOKUP($C$7&amp;"Adjusted waiting over_65"&amp;$C$9,REPORT_raw_datawaiting!$A$1:$R$817,MATCH($A15,REPORT_raw_datawaiting!$D$1:$R$1,1)+3, FALSE)))</f>
        <v>850</v>
      </c>
      <c r="D15" s="261">
        <f>IF(C15="*","*",IF(VLOOKUP($C$7&amp;"Adjusted waiting over_65"&amp;$D$10,REPORT_raw_datawaiting!$A$1:$R$817,MATCH($A15,REPORT_raw_datawaiting!$D$1:$R$1,1)+3, FALSE)=0,"-",VLOOKUP($C$7&amp;"Adjusted waiting over_65"&amp;$D$10,REPORT_raw_datawaiting!$A$1:$R$817,MATCH($A15,REPORT_raw_datawaiting!$D$1:$R$1,1)+3, FALSE)))</f>
        <v>582</v>
      </c>
      <c r="E15" s="261">
        <f>IF(C15="*","*",IF(VLOOKUP($C$7&amp;"Adjusted waiting over_65"&amp;$E$10,REPORT_raw_datawaiting!$A$1:$R$817,MATCH($A15,REPORT_raw_datawaiting!$D$1:$R$1,1)+3, FALSE)=0,"-",VLOOKUP($C$7&amp;"Adjusted waiting over_65"&amp;$E$10,REPORT_raw_datawaiting!$A$1:$R$817,MATCH($A15,REPORT_raw_datawaiting!$D$1:$R$1,1)+3, FALSE)))</f>
        <v>121</v>
      </c>
      <c r="F15" s="261">
        <f>IF(C15="*","*",IF(VLOOKUP($C$7&amp;"Adjusted waiting over_65"&amp;$F$8,REPORT_raw_datawaiting!$A$1:$R$817,MATCH($A15,REPORT_raw_datawaiting!$D$1:$R$1,1)+3, FALSE)=0,"-",VLOOKUP($C$7&amp;"Adjusted waiting over_65"&amp;$F$8,REPORT_raw_datawaiting!$A$1:$R$817,MATCH($A15,REPORT_raw_datawaiting!$D$1:$R$1,1)+3, FALSE)))</f>
        <v>39</v>
      </c>
      <c r="G15" s="261">
        <f>IF(C15="*","*",IF(VLOOKUP($C$7&amp;"Adjusted waiting over_65"&amp;$G$8,REPORT_raw_datawaiting!$A$1:$R$817,MATCH($A15,REPORT_raw_datawaiting!$D$1:$R$1,1)+3, FALSE)=0,"-",VLOOKUP($C$7&amp;"Adjusted waiting over_65"&amp;$G$8,REPORT_raw_datawaiting!$A$1:$R$817,MATCH($A15,REPORT_raw_datawaiting!$D$1:$R$1,1)+3, FALSE)))</f>
        <v>108</v>
      </c>
      <c r="H15" s="264">
        <f>'3b (2)'!H15</f>
        <v>68.47</v>
      </c>
      <c r="I15" s="264">
        <f>'3b (2)'!I15</f>
        <v>14.24</v>
      </c>
      <c r="J15" s="264">
        <f>'3b (2)'!J15</f>
        <v>4.59</v>
      </c>
      <c r="K15" s="258">
        <f>'3b (2)'!K15</f>
        <v>12.71</v>
      </c>
      <c r="L15" s="94"/>
      <c r="M15" s="94"/>
      <c r="N15" s="94"/>
    </row>
    <row r="16" spans="1:14">
      <c r="A16" s="360">
        <f>DATE(YEAR(A15),MONTH(A15)-1,DAY(A15))</f>
        <v>44197</v>
      </c>
      <c r="B16" s="256" t="str">
        <f>IF(VLOOKUP($C$7,'Type of adjust'!$A$1:$P$18,MATCH($A16,'Type of adjust'!$A$1:$P$1,1),FALSE)="", "..", VLOOKUP($C$7,'Type of adjust'!$A$1:$P$18,MATCH($A16,'Type of adjust'!$A$1:$P$1,1),FALSE))</f>
        <v>..</v>
      </c>
      <c r="C16" s="261">
        <f>IF(VLOOKUP($C$7&amp;"Adjusted waiting over_65"&amp;$C$9,REPORT_raw_datawaiting!$A$1:$R$817,MATCH($A16,REPORT_raw_datawaiting!$D$1:$R$1,1)+3, FALSE)=0,"-", IF(VLOOKUP($C$7&amp;"Adjusted waiting over_65"&amp;$C$9,REPORT_raw_datawaiting!$A$1:$R$817,MATCH($A16,REPORT_raw_datawaiting!$D$1:$R$1,1)+3, FALSE)&lt;5,"*",VLOOKUP($C$7&amp;"Adjusted waiting over_65"&amp;$C$9,REPORT_raw_datawaiting!$A$1:$R$817,MATCH($A16,REPORT_raw_datawaiting!$D$1:$R$1,1)+3, FALSE)))</f>
        <v>826</v>
      </c>
      <c r="D16" s="261">
        <f>IF(C16="*","*",IF(VLOOKUP($C$7&amp;"Adjusted waiting over_65"&amp;$D$10,REPORT_raw_datawaiting!$A$1:$R$817,MATCH($A16,REPORT_raw_datawaiting!$D$1:$R$1,1)+3, FALSE)=0,"-",VLOOKUP($C$7&amp;"Adjusted waiting over_65"&amp;$D$10,REPORT_raw_datawaiting!$A$1:$R$817,MATCH($A16,REPORT_raw_datawaiting!$D$1:$R$1,1)+3, FALSE)))</f>
        <v>543</v>
      </c>
      <c r="E16" s="261">
        <f>IF(C16="*","*",IF(VLOOKUP($C$7&amp;"Adjusted waiting over_65"&amp;$E$10,REPORT_raw_datawaiting!$A$1:$R$817,MATCH($A16,REPORT_raw_datawaiting!$D$1:$R$1,1)+3, FALSE)=0,"-",VLOOKUP($C$7&amp;"Adjusted waiting over_65"&amp;$E$10,REPORT_raw_datawaiting!$A$1:$R$817,MATCH($A16,REPORT_raw_datawaiting!$D$1:$R$1,1)+3, FALSE)))</f>
        <v>104</v>
      </c>
      <c r="F16" s="261">
        <f>IF(C16="*","*",IF(VLOOKUP($C$7&amp;"Adjusted waiting over_65"&amp;$F$8,REPORT_raw_datawaiting!$A$1:$R$817,MATCH($A16,REPORT_raw_datawaiting!$D$1:$R$1,1)+3, FALSE)=0,"-",VLOOKUP($C$7&amp;"Adjusted waiting over_65"&amp;$F$8,REPORT_raw_datawaiting!$A$1:$R$817,MATCH($A16,REPORT_raw_datawaiting!$D$1:$R$1,1)+3, FALSE)))</f>
        <v>77</v>
      </c>
      <c r="G16" s="261">
        <f>IF(C16="*","*",IF(VLOOKUP($C$7&amp;"Adjusted waiting over_65"&amp;$G$8,REPORT_raw_datawaiting!$A$1:$R$817,MATCH($A16,REPORT_raw_datawaiting!$D$1:$R$1,1)+3, FALSE)=0,"-",VLOOKUP($C$7&amp;"Adjusted waiting over_65"&amp;$G$8,REPORT_raw_datawaiting!$A$1:$R$817,MATCH($A16,REPORT_raw_datawaiting!$D$1:$R$1,1)+3, FALSE)))</f>
        <v>102</v>
      </c>
      <c r="H16" s="264">
        <f>'3b (2)'!H16</f>
        <v>65.739999999999995</v>
      </c>
      <c r="I16" s="264">
        <f>'3b (2)'!I16</f>
        <v>12.59</v>
      </c>
      <c r="J16" s="264">
        <f>'3b (2)'!J16</f>
        <v>9.32</v>
      </c>
      <c r="K16" s="258">
        <f>'3b (2)'!K16</f>
        <v>12.35</v>
      </c>
      <c r="L16" s="94"/>
      <c r="M16" s="94"/>
      <c r="N16" s="94"/>
    </row>
    <row r="17" spans="1:14">
      <c r="A17" s="360">
        <f t="shared" ref="A17:A25" si="0">DATE(YEAR(A16),MONTH(A16)-1,DAY(A16))</f>
        <v>44166</v>
      </c>
      <c r="B17" s="256" t="str">
        <f>IF(VLOOKUP($C$7,'Type of adjust'!$A$1:$P$18,MATCH($A17,'Type of adjust'!$A$1:$P$1,1),FALSE)="", "..", VLOOKUP($C$7,'Type of adjust'!$A$1:$P$18,MATCH($A17,'Type of adjust'!$A$1:$P$1,1),FALSE))</f>
        <v>..</v>
      </c>
      <c r="C17" s="261">
        <f>IF(VLOOKUP($C$7&amp;"Adjusted waiting over_65"&amp;$C$9,REPORT_raw_datawaiting!$A$1:$R$817,MATCH($A17,REPORT_raw_datawaiting!$D$1:$R$1,1)+3, FALSE)=0,"-", IF(VLOOKUP($C$7&amp;"Adjusted waiting over_65"&amp;$C$9,REPORT_raw_datawaiting!$A$1:$R$817,MATCH($A17,REPORT_raw_datawaiting!$D$1:$R$1,1)+3, FALSE)&lt;5,"*",VLOOKUP($C$7&amp;"Adjusted waiting over_65"&amp;$C$9,REPORT_raw_datawaiting!$A$1:$R$817,MATCH($A17,REPORT_raw_datawaiting!$D$1:$R$1,1)+3, FALSE)))</f>
        <v>903</v>
      </c>
      <c r="D17" s="261">
        <f>IF(C17="*","*",IF(VLOOKUP($C$7&amp;"Adjusted waiting over_65"&amp;$D$10,REPORT_raw_datawaiting!$A$1:$R$817,MATCH($A17,REPORT_raw_datawaiting!$D$1:$R$1,1)+3, FALSE)=0,"-",VLOOKUP($C$7&amp;"Adjusted waiting over_65"&amp;$D$10,REPORT_raw_datawaiting!$A$1:$R$817,MATCH($A17,REPORT_raw_datawaiting!$D$1:$R$1,1)+3, FALSE)))</f>
        <v>578</v>
      </c>
      <c r="E17" s="261">
        <f>IF(C17="*","*",IF(VLOOKUP($C$7&amp;"Adjusted waiting over_65"&amp;$E$10,REPORT_raw_datawaiting!$A$1:$R$817,MATCH($A17,REPORT_raw_datawaiting!$D$1:$R$1,1)+3, FALSE)=0,"-",VLOOKUP($C$7&amp;"Adjusted waiting over_65"&amp;$E$10,REPORT_raw_datawaiting!$A$1:$R$817,MATCH($A17,REPORT_raw_datawaiting!$D$1:$R$1,1)+3, FALSE)))</f>
        <v>102</v>
      </c>
      <c r="F17" s="261">
        <f>IF(C17="*","*",IF(VLOOKUP($C$7&amp;"Adjusted waiting over_65"&amp;$F$8,REPORT_raw_datawaiting!$A$1:$R$817,MATCH($A17,REPORT_raw_datawaiting!$D$1:$R$1,1)+3, FALSE)=0,"-",VLOOKUP($C$7&amp;"Adjusted waiting over_65"&amp;$F$8,REPORT_raw_datawaiting!$A$1:$R$817,MATCH($A17,REPORT_raw_datawaiting!$D$1:$R$1,1)+3, FALSE)))</f>
        <v>120</v>
      </c>
      <c r="G17" s="261">
        <f>IF(C17="*","*",IF(VLOOKUP($C$7&amp;"Adjusted waiting over_65"&amp;$G$8,REPORT_raw_datawaiting!$A$1:$R$817,MATCH($A17,REPORT_raw_datawaiting!$D$1:$R$1,1)+3, FALSE)=0,"-",VLOOKUP($C$7&amp;"Adjusted waiting over_65"&amp;$G$8,REPORT_raw_datawaiting!$A$1:$R$817,MATCH($A17,REPORT_raw_datawaiting!$D$1:$R$1,1)+3, FALSE)))</f>
        <v>103</v>
      </c>
      <c r="H17" s="264">
        <f>'3b (2)'!H17</f>
        <v>64.010000000000005</v>
      </c>
      <c r="I17" s="264">
        <f>'3b (2)'!I17</f>
        <v>11.3</v>
      </c>
      <c r="J17" s="264">
        <f>'3b (2)'!J17</f>
        <v>13.29</v>
      </c>
      <c r="K17" s="258">
        <f>'3b (2)'!K17</f>
        <v>11.41</v>
      </c>
      <c r="L17" s="94"/>
      <c r="M17" s="94"/>
      <c r="N17" s="94"/>
    </row>
    <row r="18" spans="1:14">
      <c r="A18" s="360">
        <f t="shared" si="0"/>
        <v>44136</v>
      </c>
      <c r="B18" s="256" t="str">
        <f>IF(VLOOKUP($C$7,'Type of adjust'!$A$1:$P$18,MATCH($A18,'Type of adjust'!$A$1:$P$1,1),FALSE)="", "..", VLOOKUP($C$7,'Type of adjust'!$A$1:$P$18,MATCH($A18,'Type of adjust'!$A$1:$P$1,1),FALSE))</f>
        <v>..</v>
      </c>
      <c r="C18" s="261">
        <f>IF(VLOOKUP($C$7&amp;"Adjusted waiting over_65"&amp;$C$9,REPORT_raw_datawaiting!$A$1:$R$817,MATCH($A18,REPORT_raw_datawaiting!$D$1:$R$1,1)+3, FALSE)=0,"-", IF(VLOOKUP($C$7&amp;"Adjusted waiting over_65"&amp;$C$9,REPORT_raw_datawaiting!$A$1:$R$817,MATCH($A18,REPORT_raw_datawaiting!$D$1:$R$1,1)+3, FALSE)&lt;13,"*",VLOOKUP($C$7&amp;"Adjusted waiting over_65"&amp;$C$9,REPORT_raw_datawaiting!$A$1:$R$817,MATCH($A18,REPORT_raw_datawaiting!$D$1:$R$1,1)+3, FALSE)))</f>
        <v>963</v>
      </c>
      <c r="D18" s="261">
        <f>IF(C18="*","*",IF(VLOOKUP($C$7&amp;"Adjusted waiting over_65"&amp;$D$10,REPORT_raw_datawaiting!$A$1:$R$817,MATCH($A18,REPORT_raw_datawaiting!$D$1:$R$1,1)+3, FALSE)=0,"-",VLOOKUP($C$7&amp;"Adjusted waiting over_65"&amp;$D$10,REPORT_raw_datawaiting!$A$1:$R$817,MATCH($A18,REPORT_raw_datawaiting!$D$1:$R$1,1)+3, FALSE)))</f>
        <v>587</v>
      </c>
      <c r="E18" s="261">
        <f>IF(C18="*","*",IF(VLOOKUP($C$7&amp;"Adjusted waiting over_65"&amp;$E$10,REPORT_raw_datawaiting!$A$1:$R$817,MATCH($A18,REPORT_raw_datawaiting!$D$1:$R$1,1)+3, FALSE)=0,"-",VLOOKUP($C$7&amp;"Adjusted waiting over_65"&amp;$E$10,REPORT_raw_datawaiting!$A$1:$R$817,MATCH($A18,REPORT_raw_datawaiting!$D$1:$R$1,1)+3, FALSE)))</f>
        <v>97</v>
      </c>
      <c r="F18" s="261">
        <f>IF(C18="*","*",IF(VLOOKUP($C$7&amp;"Adjusted waiting over_65"&amp;$F$8,REPORT_raw_datawaiting!$A$1:$R$817,MATCH($A18,REPORT_raw_datawaiting!$D$1:$R$1,1)+3, FALSE)=0,"-",VLOOKUP($C$7&amp;"Adjusted waiting over_65"&amp;$F$8,REPORT_raw_datawaiting!$A$1:$R$817,MATCH($A18,REPORT_raw_datawaiting!$D$1:$R$1,1)+3, FALSE)))</f>
        <v>173</v>
      </c>
      <c r="G18" s="261">
        <f>IF(C18="*","*",IF(VLOOKUP($C$7&amp;"Adjusted waiting over_65"&amp;$G$8,REPORT_raw_datawaiting!$A$1:$R$817,MATCH($A18,REPORT_raw_datawaiting!$D$1:$R$1,1)+3, FALSE)=0,"-",VLOOKUP($C$7&amp;"Adjusted waiting over_65"&amp;$G$8,REPORT_raw_datawaiting!$A$1:$R$817,MATCH($A18,REPORT_raw_datawaiting!$D$1:$R$1,1)+3, FALSE)))</f>
        <v>106</v>
      </c>
      <c r="H18" s="264">
        <f>'3b (2)'!H18</f>
        <v>60.96</v>
      </c>
      <c r="I18" s="264">
        <f>'3b (2)'!I18</f>
        <v>10.07</v>
      </c>
      <c r="J18" s="264">
        <f>'3b (2)'!J18</f>
        <v>17.96</v>
      </c>
      <c r="K18" s="258">
        <f>'3b (2)'!K18</f>
        <v>11.01</v>
      </c>
      <c r="L18" s="94"/>
      <c r="M18" s="94"/>
      <c r="N18" s="94"/>
    </row>
    <row r="19" spans="1:14">
      <c r="A19" s="360">
        <f t="shared" si="0"/>
        <v>44105</v>
      </c>
      <c r="B19" s="256" t="str">
        <f>IF(VLOOKUP($C$7,'Type of adjust'!$A$1:$P$18,MATCH($A19,'Type of adjust'!$A$1:$P$1,1),FALSE)="", "..", VLOOKUP($C$7,'Type of adjust'!$A$1:$P$18,MATCH($A19,'Type of adjust'!$A$1:$P$1,1),FALSE))</f>
        <v>..</v>
      </c>
      <c r="C19" s="261">
        <f>IF(VLOOKUP($C$7&amp;"Adjusted waiting over_65"&amp;$C$9,REPORT_raw_datawaiting!$A$1:$R$817,MATCH($A19,REPORT_raw_datawaiting!$D$1:$R$1,1)+3, FALSE)=0,"-", IF(VLOOKUP($C$7&amp;"Adjusted waiting over_65"&amp;$C$9,REPORT_raw_datawaiting!$A$1:$R$817,MATCH($A19,REPORT_raw_datawaiting!$D$1:$R$1,1)+3, FALSE)&lt;5,"*",VLOOKUP($C$7&amp;"Adjusted waiting over_65"&amp;$C$9,REPORT_raw_datawaiting!$A$1:$R$817,MATCH($A19,REPORT_raw_datawaiting!$D$1:$R$1,1)+3, FALSE)))</f>
        <v>1075</v>
      </c>
      <c r="D19" s="261">
        <f>IF(C19="*","*",IF(VLOOKUP($C$7&amp;"Adjusted waiting over_65"&amp;$D$10,REPORT_raw_datawaiting!$A$1:$R$817,MATCH($A19,REPORT_raw_datawaiting!$D$1:$R$1,1)+3, FALSE)=0,"-",VLOOKUP($C$7&amp;"Adjusted waiting over_65"&amp;$D$10,REPORT_raw_datawaiting!$A$1:$R$817,MATCH($A19,REPORT_raw_datawaiting!$D$1:$R$1,1)+3, FALSE)))</f>
        <v>601</v>
      </c>
      <c r="E19" s="261">
        <f>IF(C19="*","*",IF(VLOOKUP($C$7&amp;"Adjusted waiting over_65"&amp;$E$10,REPORT_raw_datawaiting!$A$1:$R$817,MATCH($A19,REPORT_raw_datawaiting!$D$1:$R$1,1)+3, FALSE)=0,"-",VLOOKUP($C$7&amp;"Adjusted waiting over_65"&amp;$E$10,REPORT_raw_datawaiting!$A$1:$R$817,MATCH($A19,REPORT_raw_datawaiting!$D$1:$R$1,1)+3, FALSE)))</f>
        <v>154</v>
      </c>
      <c r="F19" s="261">
        <f>IF(C19="*","*",IF(VLOOKUP($C$7&amp;"Adjusted waiting over_65"&amp;$F$8,REPORT_raw_datawaiting!$A$1:$R$817,MATCH($A19,REPORT_raw_datawaiting!$D$1:$R$1,1)+3, FALSE)=0,"-",VLOOKUP($C$7&amp;"Adjusted waiting over_65"&amp;$F$8,REPORT_raw_datawaiting!$A$1:$R$817,MATCH($A19,REPORT_raw_datawaiting!$D$1:$R$1,1)+3, FALSE)))</f>
        <v>199</v>
      </c>
      <c r="G19" s="261">
        <f>IF(C19="*","*",IF(VLOOKUP($C$7&amp;"Adjusted waiting over_65"&amp;$G$8,REPORT_raw_datawaiting!$A$1:$R$817,MATCH($A19,REPORT_raw_datawaiting!$D$1:$R$1,1)+3, FALSE)=0,"-",VLOOKUP($C$7&amp;"Adjusted waiting over_65"&amp;$G$8,REPORT_raw_datawaiting!$A$1:$R$817,MATCH($A19,REPORT_raw_datawaiting!$D$1:$R$1,1)+3, FALSE)))</f>
        <v>121</v>
      </c>
      <c r="H19" s="264">
        <f>'3b (2)'!H19</f>
        <v>55.91</v>
      </c>
      <c r="I19" s="264">
        <f>'3b (2)'!I19</f>
        <v>14.33</v>
      </c>
      <c r="J19" s="264">
        <f>'3b (2)'!J19</f>
        <v>18.510000000000002</v>
      </c>
      <c r="K19" s="258">
        <f>'3b (2)'!K19</f>
        <v>11.26</v>
      </c>
      <c r="L19" s="94"/>
      <c r="M19" s="94"/>
      <c r="N19" s="94"/>
    </row>
    <row r="20" spans="1:14">
      <c r="A20" s="360">
        <f t="shared" si="0"/>
        <v>44075</v>
      </c>
      <c r="B20" s="256" t="str">
        <f>IF(VLOOKUP($C$7,'Type of adjust'!$A$1:$P$18,MATCH($A20,'Type of adjust'!$A$1:$P$1,1),FALSE)="", "..", VLOOKUP($C$7,'Type of adjust'!$A$1:$P$18,MATCH($A20,'Type of adjust'!$A$1:$P$1,1),FALSE))</f>
        <v>..</v>
      </c>
      <c r="C20" s="261">
        <f>IF(VLOOKUP($C$7&amp;"Adjusted waiting over_65"&amp;$C$9,REPORT_raw_datawaiting!$A$1:$R$817,MATCH($A20,REPORT_raw_datawaiting!$D$1:$R$1,1)+3, FALSE)=0,"-", IF(VLOOKUP($C$7&amp;"Adjusted waiting over_65"&amp;$C$9,REPORT_raw_datawaiting!$A$1:$R$817,MATCH($A20,REPORT_raw_datawaiting!$D$1:$R$1,1)+3, FALSE)&lt;13,"*",VLOOKUP($C$7&amp;"Adjusted waiting over_65"&amp;$C$9,REPORT_raw_datawaiting!$A$1:$R$817,MATCH($A20,REPORT_raw_datawaiting!$D$1:$R$1,1)+3, FALSE)))</f>
        <v>1054</v>
      </c>
      <c r="D20" s="261">
        <f>IF(C20="*","*",IF(VLOOKUP($C$7&amp;"Adjusted waiting over_65"&amp;$D$10,REPORT_raw_datawaiting!$A$1:$R$817,MATCH($A20,REPORT_raw_datawaiting!$D$1:$R$1,1)+3, FALSE)=0,"-",VLOOKUP($C$7&amp;"Adjusted waiting over_65"&amp;$D$10,REPORT_raw_datawaiting!$A$1:$R$817,MATCH($A20,REPORT_raw_datawaiting!$D$1:$R$1,1)+3, FALSE)))</f>
        <v>541</v>
      </c>
      <c r="E20" s="261">
        <f>IF(C20="*","*",IF(VLOOKUP($C$7&amp;"Adjusted waiting over_65"&amp;$E$10,REPORT_raw_datawaiting!$A$1:$R$817,MATCH($A20,REPORT_raw_datawaiting!$D$1:$R$1,1)+3, FALSE)=0,"-",VLOOKUP($C$7&amp;"Adjusted waiting over_65"&amp;$E$10,REPORT_raw_datawaiting!$A$1:$R$817,MATCH($A20,REPORT_raw_datawaiting!$D$1:$R$1,1)+3, FALSE)))</f>
        <v>245</v>
      </c>
      <c r="F20" s="261">
        <f>IF(C20="*","*",IF(VLOOKUP($C$7&amp;"Adjusted waiting over_65"&amp;$F$8,REPORT_raw_datawaiting!$A$1:$R$817,MATCH($A20,REPORT_raw_datawaiting!$D$1:$R$1,1)+3, FALSE)=0,"-",VLOOKUP($C$7&amp;"Adjusted waiting over_65"&amp;$F$8,REPORT_raw_datawaiting!$A$1:$R$817,MATCH($A20,REPORT_raw_datawaiting!$D$1:$R$1,1)+3, FALSE)))</f>
        <v>158</v>
      </c>
      <c r="G20" s="261">
        <f>IF(C20="*","*",IF(VLOOKUP($C$7&amp;"Adjusted waiting over_65"&amp;$G$8,REPORT_raw_datawaiting!$A$1:$R$817,MATCH($A20,REPORT_raw_datawaiting!$D$1:$R$1,1)+3, FALSE)=0,"-",VLOOKUP($C$7&amp;"Adjusted waiting over_65"&amp;$G$8,REPORT_raw_datawaiting!$A$1:$R$817,MATCH($A20,REPORT_raw_datawaiting!$D$1:$R$1,1)+3, FALSE)))</f>
        <v>110</v>
      </c>
      <c r="H20" s="264">
        <f>'3b (2)'!H20</f>
        <v>51.33</v>
      </c>
      <c r="I20" s="264">
        <f>'3b (2)'!I20</f>
        <v>23.24</v>
      </c>
      <c r="J20" s="264">
        <f>'3b (2)'!J20</f>
        <v>14.99</v>
      </c>
      <c r="K20" s="258">
        <f>'3b (2)'!K20</f>
        <v>10.44</v>
      </c>
      <c r="L20" s="94"/>
      <c r="M20" s="94"/>
      <c r="N20" s="94"/>
    </row>
    <row r="21" spans="1:14">
      <c r="A21" s="360">
        <f t="shared" si="0"/>
        <v>44044</v>
      </c>
      <c r="B21" s="256" t="str">
        <f>IF(VLOOKUP($C$7,'Type of adjust'!$A$1:$P$18,MATCH($A21,'Type of adjust'!$A$1:$P$1,1),FALSE)="", "..", VLOOKUP($C$7,'Type of adjust'!$A$1:$P$18,MATCH($A21,'Type of adjust'!$A$1:$P$1,1),FALSE))</f>
        <v>..</v>
      </c>
      <c r="C21" s="261">
        <f>IF(VLOOKUP($C$7&amp;"Adjusted waiting over_65"&amp;$C$9,REPORT_raw_datawaiting!$A$1:$R$817,MATCH($A21,REPORT_raw_datawaiting!$D$1:$R$1,1)+3, FALSE)=0,"-", IF(VLOOKUP($C$7&amp;"Adjusted waiting over_65"&amp;$C$9,REPORT_raw_datawaiting!$A$1:$R$817,MATCH($A21,REPORT_raw_datawaiting!$D$1:$R$1,1)+3, FALSE)&lt;13,"*",VLOOKUP($C$7&amp;"Adjusted waiting over_65"&amp;$C$9,REPORT_raw_datawaiting!$A$1:$R$817,MATCH($A21,REPORT_raw_datawaiting!$D$1:$R$1,1)+3, FALSE)))</f>
        <v>1012</v>
      </c>
      <c r="D21" s="261">
        <f>IF(C21="*","*",IF(VLOOKUP($C$7&amp;"Adjusted waiting over_65"&amp;$D$10,REPORT_raw_datawaiting!$A$1:$R$817,MATCH($A21,REPORT_raw_datawaiting!$D$1:$R$1,1)+3, FALSE)=0,"-",VLOOKUP($C$7&amp;"Adjusted waiting over_65"&amp;$D$10,REPORT_raw_datawaiting!$A$1:$R$817,MATCH($A21,REPORT_raw_datawaiting!$D$1:$R$1,1)+3, FALSE)))</f>
        <v>457</v>
      </c>
      <c r="E21" s="261">
        <f>IF(C21="*","*",IF(VLOOKUP($C$7&amp;"Adjusted waiting over_65"&amp;$E$10,REPORT_raw_datawaiting!$A$1:$R$817,MATCH($A21,REPORT_raw_datawaiting!$D$1:$R$1,1)+3, FALSE)=0,"-",VLOOKUP($C$7&amp;"Adjusted waiting over_65"&amp;$E$10,REPORT_raw_datawaiting!$A$1:$R$817,MATCH($A21,REPORT_raw_datawaiting!$D$1:$R$1,1)+3, FALSE)))</f>
        <v>334</v>
      </c>
      <c r="F21" s="261">
        <f>IF(C21="*","*",IF(VLOOKUP($C$7&amp;"Adjusted waiting over_65"&amp;$F$8,REPORT_raw_datawaiting!$A$1:$R$817,MATCH($A21,REPORT_raw_datawaiting!$D$1:$R$1,1)+3, FALSE)=0,"-",VLOOKUP($C$7&amp;"Adjusted waiting over_65"&amp;$F$8,REPORT_raw_datawaiting!$A$1:$R$817,MATCH($A21,REPORT_raw_datawaiting!$D$1:$R$1,1)+3, FALSE)))</f>
        <v>122</v>
      </c>
      <c r="G21" s="261">
        <f>IF(C21="*","*",IF(VLOOKUP($C$7&amp;"Adjusted waiting over_65"&amp;$G$8,REPORT_raw_datawaiting!$A$1:$R$817,MATCH($A21,REPORT_raw_datawaiting!$D$1:$R$1,1)+3, FALSE)=0,"-",VLOOKUP($C$7&amp;"Adjusted waiting over_65"&amp;$G$8,REPORT_raw_datawaiting!$A$1:$R$817,MATCH($A21,REPORT_raw_datawaiting!$D$1:$R$1,1)+3, FALSE)))</f>
        <v>99</v>
      </c>
      <c r="H21" s="264">
        <f>'3b (2)'!H21</f>
        <v>45.16</v>
      </c>
      <c r="I21" s="264">
        <f>'3b (2)'!I21</f>
        <v>33</v>
      </c>
      <c r="J21" s="264">
        <f>'3b (2)'!J21</f>
        <v>12.06</v>
      </c>
      <c r="K21" s="258">
        <f>'3b (2)'!K21</f>
        <v>9.7799999999999994</v>
      </c>
      <c r="L21" s="94"/>
      <c r="M21" s="94"/>
      <c r="N21" s="94"/>
    </row>
    <row r="22" spans="1:14">
      <c r="A22" s="360">
        <f t="shared" si="0"/>
        <v>44013</v>
      </c>
      <c r="B22" s="256" t="str">
        <f>IF(VLOOKUP($C$7,'Type of adjust'!$A$1:$P$18,MATCH($A22,'Type of adjust'!$A$1:$P$1,1),FALSE)="", "..", VLOOKUP($C$7,'Type of adjust'!$A$1:$P$18,MATCH($A22,'Type of adjust'!$A$1:$P$1,1),FALSE))</f>
        <v>..</v>
      </c>
      <c r="C22" s="261">
        <f>IF(VLOOKUP($C$7&amp;"Adjusted waiting over_65"&amp;$C$9,REPORT_raw_datawaiting!$A$1:$R$817,MATCH($A22,REPORT_raw_datawaiting!$D$1:$R$1,1)+3, FALSE)=0,"-", IF(VLOOKUP($C$7&amp;"Adjusted waiting over_65"&amp;$C$9,REPORT_raw_datawaiting!$A$1:$R$817,MATCH($A22,REPORT_raw_datawaiting!$D$1:$R$1,1)+3, FALSE)&lt;5,"*",VLOOKUP($C$7&amp;"Adjusted waiting over_65"&amp;$C$9,REPORT_raw_datawaiting!$A$1:$R$817,MATCH($A22,REPORT_raw_datawaiting!$D$1:$R$1,1)+3, FALSE)))</f>
        <v>1051</v>
      </c>
      <c r="D22" s="261">
        <f>IF(C22="*","*",IF(VLOOKUP($C$7&amp;"Adjusted waiting over_65"&amp;$D$10,REPORT_raw_datawaiting!$A$1:$R$817,MATCH($A22,REPORT_raw_datawaiting!$D$1:$R$1,1)+3, FALSE)=0,"-",VLOOKUP($C$7&amp;"Adjusted waiting over_65"&amp;$D$10,REPORT_raw_datawaiting!$A$1:$R$817,MATCH($A22,REPORT_raw_datawaiting!$D$1:$R$1,1)+3, FALSE)))</f>
        <v>425</v>
      </c>
      <c r="E22" s="261">
        <f>IF(C22="*","*",IF(VLOOKUP($C$7&amp;"Adjusted waiting over_65"&amp;$E$10,REPORT_raw_datawaiting!$A$1:$R$817,MATCH($A22,REPORT_raw_datawaiting!$D$1:$R$1,1)+3, FALSE)=0,"-",VLOOKUP($C$7&amp;"Adjusted waiting over_65"&amp;$E$10,REPORT_raw_datawaiting!$A$1:$R$817,MATCH($A22,REPORT_raw_datawaiting!$D$1:$R$1,1)+3, FALSE)))</f>
        <v>437</v>
      </c>
      <c r="F22" s="261">
        <f>IF(C22="*","*",IF(VLOOKUP($C$7&amp;"Adjusted waiting over_65"&amp;$F$8,REPORT_raw_datawaiting!$A$1:$R$817,MATCH($A22,REPORT_raw_datawaiting!$D$1:$R$1,1)+3, FALSE)=0,"-",VLOOKUP($C$7&amp;"Adjusted waiting over_65"&amp;$F$8,REPORT_raw_datawaiting!$A$1:$R$817,MATCH($A22,REPORT_raw_datawaiting!$D$1:$R$1,1)+3, FALSE)))</f>
        <v>110</v>
      </c>
      <c r="G22" s="261">
        <f>IF(C22="*","*",IF(VLOOKUP($C$7&amp;"Adjusted waiting over_65"&amp;$G$8,REPORT_raw_datawaiting!$A$1:$R$817,MATCH($A22,REPORT_raw_datawaiting!$D$1:$R$1,1)+3, FALSE)=0,"-",VLOOKUP($C$7&amp;"Adjusted waiting over_65"&amp;$G$8,REPORT_raw_datawaiting!$A$1:$R$817,MATCH($A22,REPORT_raw_datawaiting!$D$1:$R$1,1)+3, FALSE)))</f>
        <v>79</v>
      </c>
      <c r="H22" s="264">
        <f>'3b (2)'!H22</f>
        <v>40.44</v>
      </c>
      <c r="I22" s="264">
        <f>'3b (2)'!I22</f>
        <v>41.58</v>
      </c>
      <c r="J22" s="264">
        <f>'3b (2)'!J22</f>
        <v>10.47</v>
      </c>
      <c r="K22" s="258">
        <f>'3b (2)'!K22</f>
        <v>7.52</v>
      </c>
      <c r="L22" s="94"/>
      <c r="M22" s="94"/>
      <c r="N22" s="94"/>
    </row>
    <row r="23" spans="1:14">
      <c r="A23" s="360">
        <f t="shared" si="0"/>
        <v>43983</v>
      </c>
      <c r="B23" s="256" t="str">
        <f>IF(VLOOKUP($C$7,'Type of adjust'!$A$1:$P$18,MATCH($A23,'Type of adjust'!$A$1:$P$1,1),FALSE)="", "..", VLOOKUP($C$7,'Type of adjust'!$A$1:$P$18,MATCH($A23,'Type of adjust'!$A$1:$P$1,1),FALSE))</f>
        <v>..</v>
      </c>
      <c r="C23" s="261">
        <f>IF(VLOOKUP($C$7&amp;"Adjusted waiting over_65"&amp;$C$9,REPORT_raw_datawaiting!$A$1:$R$817,MATCH($A23,REPORT_raw_datawaiting!$D$1:$R$1,1)+3, FALSE)=0,"-", IF(VLOOKUP($C$7&amp;"Adjusted waiting over_65"&amp;$C$9,REPORT_raw_datawaiting!$A$1:$R$817,MATCH($A23,REPORT_raw_datawaiting!$D$1:$R$1,1)+3, FALSE)&lt;5,"*",VLOOKUP($C$7&amp;"Adjusted waiting over_65"&amp;$C$9,REPORT_raw_datawaiting!$A$1:$R$817,MATCH($A23,REPORT_raw_datawaiting!$D$1:$R$1,1)+3, FALSE)))</f>
        <v>1072</v>
      </c>
      <c r="D23" s="261">
        <f>IF(C23="*","*",IF(VLOOKUP($C$7&amp;"Adjusted waiting over_65"&amp;$D$10,REPORT_raw_datawaiting!$A$1:$R$817,MATCH($A23,REPORT_raw_datawaiting!$D$1:$R$1,1)+3, FALSE)=0,"-",VLOOKUP($C$7&amp;"Adjusted waiting over_65"&amp;$D$10,REPORT_raw_datawaiting!$A$1:$R$817,MATCH($A23,REPORT_raw_datawaiting!$D$1:$R$1,1)+3, FALSE)))</f>
        <v>486</v>
      </c>
      <c r="E23" s="261">
        <f>IF(C23="*","*",IF(VLOOKUP($C$7&amp;"Adjusted waiting over_65"&amp;$E$10,REPORT_raw_datawaiting!$A$1:$R$817,MATCH($A23,REPORT_raw_datawaiting!$D$1:$R$1,1)+3, FALSE)=0,"-",VLOOKUP($C$7&amp;"Adjusted waiting over_65"&amp;$E$10,REPORT_raw_datawaiting!$A$1:$R$817,MATCH($A23,REPORT_raw_datawaiting!$D$1:$R$1,1)+3, FALSE)))</f>
        <v>419</v>
      </c>
      <c r="F23" s="261">
        <f>IF(C23="*","*",IF(VLOOKUP($C$7&amp;"Adjusted waiting over_65"&amp;$F$8,REPORT_raw_datawaiting!$A$1:$R$817,MATCH($A23,REPORT_raw_datawaiting!$D$1:$R$1,1)+3, FALSE)=0,"-",VLOOKUP($C$7&amp;"Adjusted waiting over_65"&amp;$F$8,REPORT_raw_datawaiting!$A$1:$R$817,MATCH($A23,REPORT_raw_datawaiting!$D$1:$R$1,1)+3, FALSE)))</f>
        <v>92</v>
      </c>
      <c r="G23" s="261">
        <f>IF(C23="*","*",IF(VLOOKUP($C$7&amp;"Adjusted waiting over_65"&amp;$G$8,REPORT_raw_datawaiting!$A$1:$R$817,MATCH($A23,REPORT_raw_datawaiting!$D$1:$R$1,1)+3, FALSE)=0,"-",VLOOKUP($C$7&amp;"Adjusted waiting over_65"&amp;$G$8,REPORT_raw_datawaiting!$A$1:$R$817,MATCH($A23,REPORT_raw_datawaiting!$D$1:$R$1,1)+3, FALSE)))</f>
        <v>75</v>
      </c>
      <c r="H23" s="264">
        <f>'3b (2)'!H23</f>
        <v>45.34</v>
      </c>
      <c r="I23" s="264">
        <f>'3b (2)'!I23</f>
        <v>39.090000000000003</v>
      </c>
      <c r="J23" s="264">
        <f>'3b (2)'!J23</f>
        <v>8.58</v>
      </c>
      <c r="K23" s="258">
        <f>'3b (2)'!K23</f>
        <v>7</v>
      </c>
      <c r="L23" s="94"/>
      <c r="M23" s="94"/>
      <c r="N23" s="94"/>
    </row>
    <row r="24" spans="1:14">
      <c r="A24" s="360">
        <f t="shared" si="0"/>
        <v>43952</v>
      </c>
      <c r="B24" s="256" t="str">
        <f>IF(VLOOKUP($C$7,'Type of adjust'!$A$1:$P$18,MATCH($A24,'Type of adjust'!$A$1:$P$1,1),FALSE)="", "..", VLOOKUP($C$7,'Type of adjust'!$A$1:$P$18,MATCH($A24,'Type of adjust'!$A$1:$P$1,1),FALSE))</f>
        <v>..</v>
      </c>
      <c r="C24" s="261">
        <f>IF(VLOOKUP($C$7&amp;"Adjusted waiting over_65"&amp;$C$9,REPORT_raw_datawaiting!$A$1:$R$817,MATCH($A24,REPORT_raw_datawaiting!$D$1:$R$1,1)+3, FALSE)=0,"-", IF(VLOOKUP($C$7&amp;"Adjusted waiting over_65"&amp;$C$9,REPORT_raw_datawaiting!$A$1:$R$817,MATCH($A24,REPORT_raw_datawaiting!$D$1:$R$1,1)+3, FALSE)&lt;5,"*",VLOOKUP($C$7&amp;"Adjusted waiting over_65"&amp;$C$9,REPORT_raw_datawaiting!$A$1:$R$817,MATCH($A24,REPORT_raw_datawaiting!$D$1:$R$1,1)+3, FALSE)))</f>
        <v>1084</v>
      </c>
      <c r="D24" s="261">
        <f>IF(C24="*","*",IF(VLOOKUP($C$7&amp;"Adjusted waiting over_65"&amp;$D$10,REPORT_raw_datawaiting!$A$1:$R$817,MATCH($A24,REPORT_raw_datawaiting!$D$1:$R$1,1)+3, FALSE)=0,"-",VLOOKUP($C$7&amp;"Adjusted waiting over_65"&amp;$D$10,REPORT_raw_datawaiting!$A$1:$R$817,MATCH($A24,REPORT_raw_datawaiting!$D$1:$R$1,1)+3, FALSE)))</f>
        <v>622</v>
      </c>
      <c r="E24" s="261">
        <f>IF(C24="*","*",IF(VLOOKUP($C$7&amp;"Adjusted waiting over_65"&amp;$E$10,REPORT_raw_datawaiting!$A$1:$R$817,MATCH($A24,REPORT_raw_datawaiting!$D$1:$R$1,1)+3, FALSE)=0,"-",VLOOKUP($C$7&amp;"Adjusted waiting over_65"&amp;$E$10,REPORT_raw_datawaiting!$A$1:$R$817,MATCH($A24,REPORT_raw_datawaiting!$D$1:$R$1,1)+3, FALSE)))</f>
        <v>296</v>
      </c>
      <c r="F24" s="261">
        <f>IF(C24="*","*",IF(VLOOKUP($C$7&amp;"Adjusted waiting over_65"&amp;$F$8,REPORT_raw_datawaiting!$A$1:$R$817,MATCH($A24,REPORT_raw_datawaiting!$D$1:$R$1,1)+3, FALSE)=0,"-",VLOOKUP($C$7&amp;"Adjusted waiting over_65"&amp;$F$8,REPORT_raw_datawaiting!$A$1:$R$817,MATCH($A24,REPORT_raw_datawaiting!$D$1:$R$1,1)+3, FALSE)))</f>
        <v>96</v>
      </c>
      <c r="G24" s="261">
        <f>IF(C24="*","*",IF(VLOOKUP($C$7&amp;"Adjusted waiting over_65"&amp;$G$8,REPORT_raw_datawaiting!$A$1:$R$817,MATCH($A24,REPORT_raw_datawaiting!$D$1:$R$1,1)+3, FALSE)=0,"-",VLOOKUP($C$7&amp;"Adjusted waiting over_65"&amp;$G$8,REPORT_raw_datawaiting!$A$1:$R$817,MATCH($A24,REPORT_raw_datawaiting!$D$1:$R$1,1)+3, FALSE)))</f>
        <v>70</v>
      </c>
      <c r="H24" s="264">
        <f>'3b (2)'!H24</f>
        <v>57.38</v>
      </c>
      <c r="I24" s="264">
        <f>'3b (2)'!I24</f>
        <v>27.31</v>
      </c>
      <c r="J24" s="264">
        <f>'3b (2)'!J24</f>
        <v>8.86</v>
      </c>
      <c r="K24" s="258">
        <f>'3b (2)'!K24</f>
        <v>6.46</v>
      </c>
      <c r="L24" s="94"/>
      <c r="M24" s="94"/>
      <c r="N24" s="94"/>
    </row>
    <row r="25" spans="1:14">
      <c r="A25" s="361">
        <f t="shared" si="0"/>
        <v>43922</v>
      </c>
      <c r="B25" s="254" t="str">
        <f>IF(VLOOKUP($C$7,'Type of adjust'!$A$1:$P$18,MATCH($A25,'Type of adjust'!$A$1:$P$1,1),FALSE)="", "..", VLOOKUP($C$7,'Type of adjust'!$A$1:$P$18,MATCH($A25,'Type of adjust'!$A$1:$P$1,1),FALSE))</f>
        <v>..</v>
      </c>
      <c r="C25" s="262">
        <f>IF(VLOOKUP($C$7&amp;"Adjusted waiting over_65"&amp;$C$9,REPORT_raw_datawaiting!$A$1:$R$817,MATCH($A25,REPORT_raw_datawaiting!$D$1:$R$1,1)+3, FALSE)=0,"-", IF(VLOOKUP($C$7&amp;"Adjusted waiting over_65"&amp;$C$9,REPORT_raw_datawaiting!$A$1:$R$817,MATCH($A25,REPORT_raw_datawaiting!$D$1:$R$1,1)+3, FALSE)&lt;5,"*",VLOOKUP($C$7&amp;"Adjusted waiting over_65"&amp;$C$9,REPORT_raw_datawaiting!$A$1:$R$817,MATCH($A25,REPORT_raw_datawaiting!$D$1:$R$1,1)+3, FALSE)))</f>
        <v>1140</v>
      </c>
      <c r="D25" s="262">
        <f>IF(C25="*","*",IF(VLOOKUP($C$7&amp;"Adjusted waiting over_65"&amp;$D$10,REPORT_raw_datawaiting!$A$1:$R$817,MATCH($A25,REPORT_raw_datawaiting!$D$1:$R$1,1)+3, FALSE)=0,"-",VLOOKUP($C$7&amp;"Adjusted waiting over_65"&amp;$D$10,REPORT_raw_datawaiting!$A$1:$R$817,MATCH($A25,REPORT_raw_datawaiting!$D$1:$R$1,1)+3, FALSE)))</f>
        <v>769</v>
      </c>
      <c r="E25" s="262">
        <f>IF(C25="*","*",IF(VLOOKUP($C$7&amp;"Adjusted waiting over_65"&amp;$E$10,REPORT_raw_datawaiting!$A$1:$R$817,MATCH($A25,REPORT_raw_datawaiting!$D$1:$R$1,1)+3, FALSE)=0,"-",VLOOKUP($C$7&amp;"Adjusted waiting over_65"&amp;$E$10,REPORT_raw_datawaiting!$A$1:$R$817,MATCH($A25,REPORT_raw_datawaiting!$D$1:$R$1,1)+3, FALSE)))</f>
        <v>205</v>
      </c>
      <c r="F25" s="262">
        <f>IF(C25="*","*",IF(VLOOKUP($C$7&amp;"Adjusted waiting over_65"&amp;$F$8,REPORT_raw_datawaiting!$A$1:$R$817,MATCH($A25,REPORT_raw_datawaiting!$D$1:$R$1,1)+3, FALSE)=0,"-",VLOOKUP($C$7&amp;"Adjusted waiting over_65"&amp;$F$8,REPORT_raw_datawaiting!$A$1:$R$817,MATCH($A25,REPORT_raw_datawaiting!$D$1:$R$1,1)+3, FALSE)))</f>
        <v>99</v>
      </c>
      <c r="G25" s="262">
        <f>IF(C25="*","*",IF(VLOOKUP($C$7&amp;"Adjusted waiting over_65"&amp;$G$8,REPORT_raw_datawaiting!$A$1:$R$817,MATCH($A25,REPORT_raw_datawaiting!$D$1:$R$1,1)+3, FALSE)=0,"-",VLOOKUP($C$7&amp;"Adjusted waiting over_65"&amp;$G$8,REPORT_raw_datawaiting!$A$1:$R$817,MATCH($A25,REPORT_raw_datawaiting!$D$1:$R$1,1)+3, FALSE)))</f>
        <v>67</v>
      </c>
      <c r="H25" s="265">
        <f>'3b (2)'!H25</f>
        <v>67.459999999999994</v>
      </c>
      <c r="I25" s="265">
        <f>'3b (2)'!I25</f>
        <v>17.98</v>
      </c>
      <c r="J25" s="265">
        <f>'3b (2)'!J25</f>
        <v>8.68</v>
      </c>
      <c r="K25" s="259">
        <f>'3b (2)'!K25</f>
        <v>5.88</v>
      </c>
      <c r="L25" s="94"/>
      <c r="M25" s="94"/>
      <c r="N25" s="94"/>
    </row>
    <row r="26" spans="1:14">
      <c r="B26" s="16"/>
      <c r="C26" s="16"/>
      <c r="D26" s="16"/>
      <c r="E26" s="16"/>
      <c r="F26" s="16"/>
      <c r="G26" s="17"/>
      <c r="H26" s="17"/>
      <c r="I26" s="17"/>
      <c r="J26" s="17"/>
    </row>
    <row r="27" spans="1:14">
      <c r="A27" s="8"/>
      <c r="B27" s="16"/>
      <c r="C27" s="16"/>
      <c r="D27" s="16"/>
      <c r="E27" s="16"/>
      <c r="F27" s="16"/>
      <c r="G27" s="17"/>
      <c r="H27" s="17"/>
      <c r="I27" s="17"/>
      <c r="J27" s="17"/>
    </row>
    <row r="28" spans="1:14" ht="20.25">
      <c r="A28" s="76" t="s">
        <v>337</v>
      </c>
      <c r="B28" s="16"/>
      <c r="C28" s="16"/>
      <c r="D28" s="16"/>
      <c r="E28" s="16"/>
      <c r="F28" s="16"/>
      <c r="G28" s="17"/>
      <c r="H28" s="17"/>
      <c r="I28" s="17"/>
      <c r="J28" s="17"/>
    </row>
    <row r="29" spans="1:14">
      <c r="A29" s="77" t="s">
        <v>338</v>
      </c>
      <c r="B29" s="77" t="s">
        <v>339</v>
      </c>
      <c r="C29" s="78"/>
      <c r="D29" s="450" t="s">
        <v>340</v>
      </c>
      <c r="E29" s="450"/>
      <c r="F29" s="450"/>
      <c r="G29" s="450"/>
      <c r="H29" s="450"/>
      <c r="I29" s="450"/>
      <c r="J29" s="450"/>
      <c r="K29" s="450"/>
    </row>
    <row r="30" spans="1:14">
      <c r="A30" s="79" t="s">
        <v>55</v>
      </c>
      <c r="B30" s="80" t="s">
        <v>341</v>
      </c>
      <c r="C30" s="81"/>
      <c r="D30" s="451" t="s">
        <v>342</v>
      </c>
      <c r="E30" s="451"/>
      <c r="F30" s="451"/>
      <c r="G30" s="451"/>
      <c r="H30" s="451"/>
      <c r="I30" s="451"/>
      <c r="J30" s="451"/>
      <c r="K30" s="451"/>
    </row>
    <row r="31" spans="1:14" ht="51">
      <c r="A31" s="82" t="s">
        <v>343</v>
      </c>
      <c r="B31" s="83" t="s">
        <v>344</v>
      </c>
      <c r="C31" s="84"/>
      <c r="D31" s="452" t="s">
        <v>345</v>
      </c>
      <c r="E31" s="452"/>
      <c r="F31" s="452"/>
      <c r="G31" s="452"/>
      <c r="H31" s="452"/>
      <c r="I31" s="452"/>
      <c r="J31" s="452"/>
      <c r="K31" s="452"/>
    </row>
    <row r="32" spans="1:14">
      <c r="A32" s="85" t="s">
        <v>27</v>
      </c>
      <c r="B32" s="86"/>
      <c r="C32" s="87"/>
      <c r="D32" s="439" t="s">
        <v>346</v>
      </c>
      <c r="E32" s="439"/>
      <c r="F32" s="439"/>
      <c r="G32" s="439"/>
      <c r="H32" s="439"/>
      <c r="I32" s="439"/>
      <c r="J32" s="439"/>
      <c r="K32" s="439"/>
    </row>
    <row r="33" spans="1:10">
      <c r="A33" s="88"/>
      <c r="B33" s="89"/>
      <c r="C33" s="89"/>
      <c r="D33" s="19"/>
      <c r="E33" s="89"/>
      <c r="F33" s="89"/>
      <c r="G33" s="90"/>
      <c r="H33" s="90"/>
      <c r="I33" s="15"/>
      <c r="J33" s="15"/>
    </row>
    <row r="34" spans="1:10">
      <c r="A34" s="88"/>
      <c r="B34" s="89"/>
      <c r="C34" s="89"/>
      <c r="D34" s="19"/>
      <c r="E34" s="89"/>
      <c r="F34" s="89"/>
      <c r="G34" s="90"/>
      <c r="H34" s="90"/>
      <c r="I34" s="15"/>
      <c r="J34" s="15"/>
    </row>
    <row r="35" spans="1:10">
      <c r="A35" s="88"/>
      <c r="B35" s="89"/>
      <c r="C35" s="89"/>
      <c r="D35" s="19"/>
      <c r="E35" s="89"/>
      <c r="F35" s="89"/>
      <c r="G35" s="90"/>
      <c r="H35" s="90"/>
      <c r="I35" s="15"/>
      <c r="J35" s="15"/>
    </row>
    <row r="36" spans="1:10">
      <c r="A36" s="91" t="s">
        <v>190</v>
      </c>
      <c r="B36" s="89"/>
      <c r="C36" s="89"/>
      <c r="D36" s="89"/>
      <c r="E36" s="89"/>
      <c r="F36" s="89"/>
      <c r="G36" s="90"/>
      <c r="H36" s="90"/>
      <c r="I36" s="15"/>
      <c r="J36" s="15"/>
    </row>
    <row r="37" spans="1:10">
      <c r="A37" s="91" t="s">
        <v>191</v>
      </c>
      <c r="B37" s="89"/>
      <c r="C37" s="89"/>
      <c r="D37" s="89"/>
      <c r="E37" s="89"/>
      <c r="F37" s="89"/>
      <c r="G37" s="90"/>
      <c r="H37" s="90"/>
      <c r="I37" s="15"/>
      <c r="J37" s="15"/>
    </row>
    <row r="38" spans="1:10">
      <c r="B38" s="16"/>
      <c r="C38" s="16"/>
      <c r="D38" s="16"/>
      <c r="E38" s="16"/>
      <c r="F38" s="16"/>
      <c r="G38" s="18"/>
      <c r="H38" s="18"/>
      <c r="I38" s="18"/>
      <c r="J38" s="18"/>
    </row>
    <row r="39" spans="1:10">
      <c r="A39" s="43" t="s">
        <v>410</v>
      </c>
      <c r="B39" s="12"/>
      <c r="C39" s="12"/>
      <c r="D39" s="12"/>
      <c r="E39" s="12"/>
      <c r="F39" s="12"/>
      <c r="G39" s="13"/>
      <c r="H39" s="13"/>
      <c r="I39" s="13"/>
      <c r="J39" s="13"/>
    </row>
    <row r="40" spans="1:10">
      <c r="B40" s="7"/>
      <c r="C40" s="7"/>
      <c r="D40" s="7"/>
      <c r="E40" s="7"/>
      <c r="F40" s="7"/>
      <c r="G40" s="14"/>
      <c r="H40" s="14"/>
      <c r="I40" s="14"/>
      <c r="J40" s="14"/>
    </row>
    <row r="41" spans="1:10">
      <c r="A41" s="8"/>
      <c r="B41" s="7"/>
      <c r="C41" s="7"/>
      <c r="D41" s="7"/>
      <c r="E41" s="7"/>
      <c r="F41" s="7"/>
      <c r="G41" s="15"/>
      <c r="H41" s="15"/>
      <c r="I41" s="15"/>
      <c r="J41" s="15"/>
    </row>
    <row r="42" spans="1:10">
      <c r="B42" s="16"/>
      <c r="C42" s="16"/>
      <c r="D42" s="16"/>
      <c r="E42" s="16"/>
      <c r="F42" s="16"/>
      <c r="G42" s="18"/>
      <c r="H42" s="18"/>
      <c r="I42" s="18"/>
      <c r="J42" s="18"/>
    </row>
    <row r="43" spans="1:10">
      <c r="B43" s="12"/>
      <c r="C43" s="12"/>
      <c r="D43" s="12"/>
      <c r="E43" s="12"/>
      <c r="F43" s="12"/>
      <c r="G43" s="13"/>
      <c r="H43" s="13"/>
      <c r="I43" s="13"/>
      <c r="J43" s="13"/>
    </row>
    <row r="44" spans="1:10">
      <c r="B44" s="12"/>
      <c r="C44" s="12"/>
      <c r="D44" s="7"/>
      <c r="E44" s="7"/>
      <c r="F44" s="7"/>
      <c r="G44" s="14"/>
      <c r="H44" s="14"/>
      <c r="I44" s="14"/>
      <c r="J44" s="14"/>
    </row>
    <row r="45" spans="1:10">
      <c r="B45" s="12"/>
      <c r="C45" s="12"/>
      <c r="D45" s="7"/>
      <c r="E45" s="7"/>
      <c r="F45" s="7"/>
      <c r="G45" s="15"/>
      <c r="H45" s="15"/>
      <c r="I45" s="15"/>
      <c r="J45" s="15"/>
    </row>
    <row r="46" spans="1:10">
      <c r="B46" s="16"/>
      <c r="C46" s="16"/>
      <c r="D46" s="7"/>
      <c r="E46" s="7"/>
      <c r="F46" s="7"/>
      <c r="G46" s="15"/>
      <c r="H46" s="15"/>
      <c r="I46" s="15"/>
      <c r="J46" s="15"/>
    </row>
    <row r="47" spans="1:10">
      <c r="A47" s="29" t="str">
        <f>"Percentage of patients waiting less than 18 weeks for adjusted waits - "&amp;C7</f>
        <v>Percentage of patients waiting less than 18 weeks for adjusted waits - Scotland</v>
      </c>
      <c r="B47" s="16"/>
      <c r="C47" s="16"/>
      <c r="D47" s="16"/>
      <c r="E47" s="16"/>
      <c r="F47" s="16"/>
      <c r="G47" s="15"/>
      <c r="H47" s="15"/>
      <c r="I47" s="15"/>
      <c r="J47" s="15"/>
    </row>
    <row r="48" spans="1:10">
      <c r="A48" s="28"/>
      <c r="B48" s="16"/>
      <c r="C48" s="16"/>
      <c r="D48" s="16"/>
      <c r="E48" s="16"/>
      <c r="F48" s="16"/>
      <c r="G48" s="18"/>
      <c r="H48" s="18"/>
      <c r="I48" s="18"/>
      <c r="J48" s="18"/>
    </row>
    <row r="49" spans="1:10">
      <c r="B49" s="12"/>
      <c r="C49" s="12"/>
      <c r="D49" s="12"/>
      <c r="E49" s="12"/>
      <c r="F49" s="12"/>
      <c r="G49" s="13"/>
      <c r="H49" s="13"/>
      <c r="I49" s="13"/>
      <c r="J49" s="13"/>
    </row>
    <row r="50" spans="1:10">
      <c r="B50" s="7"/>
      <c r="C50" s="7"/>
      <c r="D50" s="7"/>
      <c r="E50" s="7"/>
      <c r="F50" s="7"/>
      <c r="G50" s="14"/>
      <c r="H50" s="14"/>
      <c r="I50" s="14"/>
      <c r="J50" s="14"/>
    </row>
    <row r="51" spans="1:10">
      <c r="A51" s="29" t="str">
        <f>"Patients waiting - adjusted waits - "&amp;C7</f>
        <v>Patients waiting - adjusted waits - Scotland</v>
      </c>
      <c r="B51" s="16"/>
      <c r="C51" s="16"/>
      <c r="D51" s="16"/>
      <c r="E51" s="16"/>
      <c r="F51" s="16"/>
      <c r="G51" s="15"/>
      <c r="H51" s="15"/>
      <c r="I51" s="15"/>
      <c r="J51" s="15"/>
    </row>
    <row r="52" spans="1:10">
      <c r="A52" s="29" t="str">
        <f>"Percentage of patients waiting 0-18 weeks - adjusted waits - "&amp;C7</f>
        <v>Percentage of patients waiting 0-18 weeks - adjusted waits - Scotland</v>
      </c>
      <c r="B52" s="16"/>
      <c r="C52" s="16"/>
      <c r="D52" s="16"/>
      <c r="E52" s="16"/>
      <c r="F52" s="16"/>
      <c r="G52" s="15"/>
      <c r="H52" s="15"/>
      <c r="I52" s="15"/>
      <c r="J52" s="15"/>
    </row>
    <row r="53" spans="1:10">
      <c r="A53" s="29" t="str">
        <f>"Percentage of patients waiting - adjusted waits - "&amp;C7</f>
        <v>Percentage of patients waiting - adjusted waits - Scotland</v>
      </c>
      <c r="B53" s="16"/>
      <c r="C53" s="16"/>
      <c r="D53" s="16"/>
      <c r="E53" s="16"/>
      <c r="F53" s="16"/>
      <c r="G53" s="17"/>
      <c r="H53" s="17"/>
      <c r="I53" s="17"/>
      <c r="J53" s="17"/>
    </row>
    <row r="54" spans="1:10">
      <c r="B54" s="12"/>
      <c r="C54" s="12"/>
      <c r="D54" s="12"/>
      <c r="E54" s="12"/>
      <c r="F54" s="12"/>
      <c r="G54" s="13"/>
      <c r="H54" s="13"/>
      <c r="I54" s="13"/>
      <c r="J54" s="13"/>
    </row>
    <row r="55" spans="1:10" s="20" customFormat="1">
      <c r="B55" s="21"/>
      <c r="C55" s="21"/>
      <c r="D55" s="21"/>
      <c r="E55" s="21"/>
      <c r="F55" s="21"/>
      <c r="G55" s="22"/>
      <c r="H55" s="22"/>
      <c r="I55" s="22"/>
      <c r="J55" s="22"/>
    </row>
    <row r="56" spans="1:10">
      <c r="B56" s="8"/>
      <c r="C56" s="8"/>
      <c r="D56" s="8"/>
      <c r="E56" s="8"/>
      <c r="F56" s="8"/>
      <c r="G56" s="23"/>
      <c r="H56" s="24"/>
      <c r="I56" s="24"/>
      <c r="J56" s="24"/>
    </row>
    <row r="57" spans="1:10">
      <c r="B57" s="8"/>
      <c r="C57" s="8"/>
      <c r="D57" s="8"/>
      <c r="E57" s="8"/>
      <c r="F57" s="8"/>
      <c r="G57" s="25"/>
      <c r="H57" s="24"/>
      <c r="I57" s="24"/>
      <c r="J57" s="24"/>
    </row>
    <row r="58" spans="1:10">
      <c r="B58" s="8"/>
      <c r="C58" s="8"/>
      <c r="D58" s="8"/>
      <c r="E58" s="8"/>
      <c r="F58" s="8"/>
      <c r="G58" s="23"/>
      <c r="H58" s="24"/>
      <c r="I58" s="24"/>
      <c r="J58" s="24"/>
    </row>
    <row r="59" spans="1:10">
      <c r="A59" s="16"/>
      <c r="B59" s="16"/>
      <c r="C59" s="16"/>
      <c r="D59" s="16"/>
      <c r="E59" s="16"/>
      <c r="F59" s="16"/>
      <c r="G59" s="16"/>
      <c r="H59" s="26"/>
      <c r="I59" s="26"/>
      <c r="J59" s="26"/>
    </row>
    <row r="60" spans="1:10">
      <c r="B60" s="16"/>
      <c r="C60" s="16"/>
      <c r="D60" s="16"/>
      <c r="E60" s="16"/>
      <c r="F60" s="16"/>
      <c r="G60" s="18"/>
      <c r="H60" s="18"/>
      <c r="I60" s="18"/>
      <c r="J60" s="18"/>
    </row>
    <row r="61" spans="1:10">
      <c r="B61" s="12"/>
      <c r="C61" s="12"/>
      <c r="D61" s="12"/>
      <c r="E61" s="12"/>
      <c r="F61" s="12"/>
      <c r="G61" s="13"/>
      <c r="H61" s="13"/>
      <c r="I61" s="13"/>
      <c r="J61" s="13"/>
    </row>
    <row r="62" spans="1:10">
      <c r="B62" s="7"/>
      <c r="C62" s="7"/>
      <c r="D62" s="7"/>
      <c r="E62" s="7"/>
      <c r="F62" s="7"/>
      <c r="G62" s="14"/>
      <c r="H62" s="14"/>
      <c r="I62" s="14"/>
      <c r="J62" s="14"/>
    </row>
    <row r="63" spans="1:10">
      <c r="B63" s="7"/>
      <c r="C63" s="7"/>
      <c r="D63" s="7"/>
      <c r="E63" s="7"/>
      <c r="F63" s="7"/>
      <c r="G63" s="15"/>
      <c r="H63" s="15"/>
      <c r="I63" s="15"/>
      <c r="J63" s="15"/>
    </row>
    <row r="64" spans="1:10">
      <c r="B64" s="7"/>
      <c r="C64" s="7"/>
      <c r="D64" s="7"/>
      <c r="E64" s="7"/>
      <c r="F64" s="7"/>
      <c r="G64" s="15"/>
      <c r="H64" s="15"/>
      <c r="I64" s="15"/>
      <c r="J64" s="15"/>
    </row>
    <row r="65" spans="2:10">
      <c r="B65" s="16"/>
      <c r="C65" s="16"/>
      <c r="D65" s="16"/>
      <c r="E65" s="16"/>
      <c r="F65" s="16"/>
      <c r="G65" s="18"/>
      <c r="H65" s="18"/>
      <c r="I65" s="18"/>
      <c r="J65" s="18"/>
    </row>
    <row r="66" spans="2:10">
      <c r="B66" s="27"/>
      <c r="C66" s="27"/>
      <c r="D66" s="27"/>
      <c r="E66" s="27"/>
      <c r="F66" s="27"/>
      <c r="G66" s="13"/>
      <c r="H66" s="13"/>
      <c r="I66" s="13"/>
      <c r="J66" s="13"/>
    </row>
    <row r="67" spans="2:10">
      <c r="B67" s="28"/>
      <c r="C67" s="28"/>
      <c r="D67" s="28"/>
      <c r="E67" s="28"/>
      <c r="F67" s="28"/>
      <c r="G67" s="14"/>
      <c r="H67" s="14"/>
      <c r="I67" s="14"/>
      <c r="J67" s="14"/>
    </row>
    <row r="68" spans="2:10">
      <c r="G68" s="15"/>
      <c r="H68" s="15"/>
      <c r="I68" s="15"/>
      <c r="J68" s="15"/>
    </row>
    <row r="69" spans="2:10">
      <c r="G69" s="15"/>
      <c r="H69" s="15"/>
      <c r="I69" s="15"/>
      <c r="J69" s="15"/>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9"/>
      <c r="B91" s="29"/>
      <c r="C91" s="29"/>
      <c r="D91" s="29"/>
    </row>
    <row r="92" spans="1:4">
      <c r="A92" s="29"/>
      <c r="B92" s="29"/>
      <c r="C92" s="29"/>
      <c r="D92" s="29"/>
    </row>
    <row r="93" spans="1:4">
      <c r="A93" s="29"/>
      <c r="B93" s="29"/>
      <c r="C93" s="29"/>
      <c r="D93" s="29"/>
    </row>
    <row r="94" spans="1:4">
      <c r="A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sheetData>
  <sheetProtection algorithmName="SHA-512" hashValue="XSZdaPKnXZatcLFLiJ4kOTkTu63YK5pIRvYclsKDgg/Oah1Kvf/UFaZxI8rje4i6la+wEiMEE80s06PsIvL+ZA==" saltValue="OZFmDqFyE6FWxYyHjDw6+w==" spinCount="100000" sheet="1" objects="1" scenarios="1"/>
  <mergeCells count="12">
    <mergeCell ref="A3:D3"/>
    <mergeCell ref="D32:K32"/>
    <mergeCell ref="A6:D6"/>
    <mergeCell ref="C7:D7"/>
    <mergeCell ref="A9:A10"/>
    <mergeCell ref="B9:B10"/>
    <mergeCell ref="C9:C10"/>
    <mergeCell ref="D9:G9"/>
    <mergeCell ref="H9:K9"/>
    <mergeCell ref="D29:K29"/>
    <mergeCell ref="D30:K30"/>
    <mergeCell ref="D31:K31"/>
  </mergeCells>
  <dataValidations count="2">
    <dataValidation type="list" allowBlank="1" showInputMessage="1" showErrorMessage="1" sqref="WVK983022:WVL983022 C65518:D65518 IY65518:IZ65518 SU65518:SV65518 ACQ65518:ACR65518 AMM65518:AMN65518 AWI65518:AWJ65518 BGE65518:BGF65518 BQA65518:BQB65518 BZW65518:BZX65518 CJS65518:CJT65518 CTO65518:CTP65518 DDK65518:DDL65518 DNG65518:DNH65518 DXC65518:DXD65518 EGY65518:EGZ65518 EQU65518:EQV65518 FAQ65518:FAR65518 FKM65518:FKN65518 FUI65518:FUJ65518 GEE65518:GEF65518 GOA65518:GOB65518 GXW65518:GXX65518 HHS65518:HHT65518 HRO65518:HRP65518 IBK65518:IBL65518 ILG65518:ILH65518 IVC65518:IVD65518 JEY65518:JEZ65518 JOU65518:JOV65518 JYQ65518:JYR65518 KIM65518:KIN65518 KSI65518:KSJ65518 LCE65518:LCF65518 LMA65518:LMB65518 LVW65518:LVX65518 MFS65518:MFT65518 MPO65518:MPP65518 MZK65518:MZL65518 NJG65518:NJH65518 NTC65518:NTD65518 OCY65518:OCZ65518 OMU65518:OMV65518 OWQ65518:OWR65518 PGM65518:PGN65518 PQI65518:PQJ65518 QAE65518:QAF65518 QKA65518:QKB65518 QTW65518:QTX65518 RDS65518:RDT65518 RNO65518:RNP65518 RXK65518:RXL65518 SHG65518:SHH65518 SRC65518:SRD65518 TAY65518:TAZ65518 TKU65518:TKV65518 TUQ65518:TUR65518 UEM65518:UEN65518 UOI65518:UOJ65518 UYE65518:UYF65518 VIA65518:VIB65518 VRW65518:VRX65518 WBS65518:WBT65518 WLO65518:WLP65518 WVK65518:WVL65518 C131054:D131054 IY131054:IZ131054 SU131054:SV131054 ACQ131054:ACR131054 AMM131054:AMN131054 AWI131054:AWJ131054 BGE131054:BGF131054 BQA131054:BQB131054 BZW131054:BZX131054 CJS131054:CJT131054 CTO131054:CTP131054 DDK131054:DDL131054 DNG131054:DNH131054 DXC131054:DXD131054 EGY131054:EGZ131054 EQU131054:EQV131054 FAQ131054:FAR131054 FKM131054:FKN131054 FUI131054:FUJ131054 GEE131054:GEF131054 GOA131054:GOB131054 GXW131054:GXX131054 HHS131054:HHT131054 HRO131054:HRP131054 IBK131054:IBL131054 ILG131054:ILH131054 IVC131054:IVD131054 JEY131054:JEZ131054 JOU131054:JOV131054 JYQ131054:JYR131054 KIM131054:KIN131054 KSI131054:KSJ131054 LCE131054:LCF131054 LMA131054:LMB131054 LVW131054:LVX131054 MFS131054:MFT131054 MPO131054:MPP131054 MZK131054:MZL131054 NJG131054:NJH131054 NTC131054:NTD131054 OCY131054:OCZ131054 OMU131054:OMV131054 OWQ131054:OWR131054 PGM131054:PGN131054 PQI131054:PQJ131054 QAE131054:QAF131054 QKA131054:QKB131054 QTW131054:QTX131054 RDS131054:RDT131054 RNO131054:RNP131054 RXK131054:RXL131054 SHG131054:SHH131054 SRC131054:SRD131054 TAY131054:TAZ131054 TKU131054:TKV131054 TUQ131054:TUR131054 UEM131054:UEN131054 UOI131054:UOJ131054 UYE131054:UYF131054 VIA131054:VIB131054 VRW131054:VRX131054 WBS131054:WBT131054 WLO131054:WLP131054 WVK131054:WVL131054 C196590:D196590 IY196590:IZ196590 SU196590:SV196590 ACQ196590:ACR196590 AMM196590:AMN196590 AWI196590:AWJ196590 BGE196590:BGF196590 BQA196590:BQB196590 BZW196590:BZX196590 CJS196590:CJT196590 CTO196590:CTP196590 DDK196590:DDL196590 DNG196590:DNH196590 DXC196590:DXD196590 EGY196590:EGZ196590 EQU196590:EQV196590 FAQ196590:FAR196590 FKM196590:FKN196590 FUI196590:FUJ196590 GEE196590:GEF196590 GOA196590:GOB196590 GXW196590:GXX196590 HHS196590:HHT196590 HRO196590:HRP196590 IBK196590:IBL196590 ILG196590:ILH196590 IVC196590:IVD196590 JEY196590:JEZ196590 JOU196590:JOV196590 JYQ196590:JYR196590 KIM196590:KIN196590 KSI196590:KSJ196590 LCE196590:LCF196590 LMA196590:LMB196590 LVW196590:LVX196590 MFS196590:MFT196590 MPO196590:MPP196590 MZK196590:MZL196590 NJG196590:NJH196590 NTC196590:NTD196590 OCY196590:OCZ196590 OMU196590:OMV196590 OWQ196590:OWR196590 PGM196590:PGN196590 PQI196590:PQJ196590 QAE196590:QAF196590 QKA196590:QKB196590 QTW196590:QTX196590 RDS196590:RDT196590 RNO196590:RNP196590 RXK196590:RXL196590 SHG196590:SHH196590 SRC196590:SRD196590 TAY196590:TAZ196590 TKU196590:TKV196590 TUQ196590:TUR196590 UEM196590:UEN196590 UOI196590:UOJ196590 UYE196590:UYF196590 VIA196590:VIB196590 VRW196590:VRX196590 WBS196590:WBT196590 WLO196590:WLP196590 WVK196590:WVL196590 C262126:D262126 IY262126:IZ262126 SU262126:SV262126 ACQ262126:ACR262126 AMM262126:AMN262126 AWI262126:AWJ262126 BGE262126:BGF262126 BQA262126:BQB262126 BZW262126:BZX262126 CJS262126:CJT262126 CTO262126:CTP262126 DDK262126:DDL262126 DNG262126:DNH262126 DXC262126:DXD262126 EGY262126:EGZ262126 EQU262126:EQV262126 FAQ262126:FAR262126 FKM262126:FKN262126 FUI262126:FUJ262126 GEE262126:GEF262126 GOA262126:GOB262126 GXW262126:GXX262126 HHS262126:HHT262126 HRO262126:HRP262126 IBK262126:IBL262126 ILG262126:ILH262126 IVC262126:IVD262126 JEY262126:JEZ262126 JOU262126:JOV262126 JYQ262126:JYR262126 KIM262126:KIN262126 KSI262126:KSJ262126 LCE262126:LCF262126 LMA262126:LMB262126 LVW262126:LVX262126 MFS262126:MFT262126 MPO262126:MPP262126 MZK262126:MZL262126 NJG262126:NJH262126 NTC262126:NTD262126 OCY262126:OCZ262126 OMU262126:OMV262126 OWQ262126:OWR262126 PGM262126:PGN262126 PQI262126:PQJ262126 QAE262126:QAF262126 QKA262126:QKB262126 QTW262126:QTX262126 RDS262126:RDT262126 RNO262126:RNP262126 RXK262126:RXL262126 SHG262126:SHH262126 SRC262126:SRD262126 TAY262126:TAZ262126 TKU262126:TKV262126 TUQ262126:TUR262126 UEM262126:UEN262126 UOI262126:UOJ262126 UYE262126:UYF262126 VIA262126:VIB262126 VRW262126:VRX262126 WBS262126:WBT262126 WLO262126:WLP262126 WVK262126:WVL262126 C327662:D327662 IY327662:IZ327662 SU327662:SV327662 ACQ327662:ACR327662 AMM327662:AMN327662 AWI327662:AWJ327662 BGE327662:BGF327662 BQA327662:BQB327662 BZW327662:BZX327662 CJS327662:CJT327662 CTO327662:CTP327662 DDK327662:DDL327662 DNG327662:DNH327662 DXC327662:DXD327662 EGY327662:EGZ327662 EQU327662:EQV327662 FAQ327662:FAR327662 FKM327662:FKN327662 FUI327662:FUJ327662 GEE327662:GEF327662 GOA327662:GOB327662 GXW327662:GXX327662 HHS327662:HHT327662 HRO327662:HRP327662 IBK327662:IBL327662 ILG327662:ILH327662 IVC327662:IVD327662 JEY327662:JEZ327662 JOU327662:JOV327662 JYQ327662:JYR327662 KIM327662:KIN327662 KSI327662:KSJ327662 LCE327662:LCF327662 LMA327662:LMB327662 LVW327662:LVX327662 MFS327662:MFT327662 MPO327662:MPP327662 MZK327662:MZL327662 NJG327662:NJH327662 NTC327662:NTD327662 OCY327662:OCZ327662 OMU327662:OMV327662 OWQ327662:OWR327662 PGM327662:PGN327662 PQI327662:PQJ327662 QAE327662:QAF327662 QKA327662:QKB327662 QTW327662:QTX327662 RDS327662:RDT327662 RNO327662:RNP327662 RXK327662:RXL327662 SHG327662:SHH327662 SRC327662:SRD327662 TAY327662:TAZ327662 TKU327662:TKV327662 TUQ327662:TUR327662 UEM327662:UEN327662 UOI327662:UOJ327662 UYE327662:UYF327662 VIA327662:VIB327662 VRW327662:VRX327662 WBS327662:WBT327662 WLO327662:WLP327662 WVK327662:WVL327662 C393198:D393198 IY393198:IZ393198 SU393198:SV393198 ACQ393198:ACR393198 AMM393198:AMN393198 AWI393198:AWJ393198 BGE393198:BGF393198 BQA393198:BQB393198 BZW393198:BZX393198 CJS393198:CJT393198 CTO393198:CTP393198 DDK393198:DDL393198 DNG393198:DNH393198 DXC393198:DXD393198 EGY393198:EGZ393198 EQU393198:EQV393198 FAQ393198:FAR393198 FKM393198:FKN393198 FUI393198:FUJ393198 GEE393198:GEF393198 GOA393198:GOB393198 GXW393198:GXX393198 HHS393198:HHT393198 HRO393198:HRP393198 IBK393198:IBL393198 ILG393198:ILH393198 IVC393198:IVD393198 JEY393198:JEZ393198 JOU393198:JOV393198 JYQ393198:JYR393198 KIM393198:KIN393198 KSI393198:KSJ393198 LCE393198:LCF393198 LMA393198:LMB393198 LVW393198:LVX393198 MFS393198:MFT393198 MPO393198:MPP393198 MZK393198:MZL393198 NJG393198:NJH393198 NTC393198:NTD393198 OCY393198:OCZ393198 OMU393198:OMV393198 OWQ393198:OWR393198 PGM393198:PGN393198 PQI393198:PQJ393198 QAE393198:QAF393198 QKA393198:QKB393198 QTW393198:QTX393198 RDS393198:RDT393198 RNO393198:RNP393198 RXK393198:RXL393198 SHG393198:SHH393198 SRC393198:SRD393198 TAY393198:TAZ393198 TKU393198:TKV393198 TUQ393198:TUR393198 UEM393198:UEN393198 UOI393198:UOJ393198 UYE393198:UYF393198 VIA393198:VIB393198 VRW393198:VRX393198 WBS393198:WBT393198 WLO393198:WLP393198 WVK393198:WVL393198 C458734:D458734 IY458734:IZ458734 SU458734:SV458734 ACQ458734:ACR458734 AMM458734:AMN458734 AWI458734:AWJ458734 BGE458734:BGF458734 BQA458734:BQB458734 BZW458734:BZX458734 CJS458734:CJT458734 CTO458734:CTP458734 DDK458734:DDL458734 DNG458734:DNH458734 DXC458734:DXD458734 EGY458734:EGZ458734 EQU458734:EQV458734 FAQ458734:FAR458734 FKM458734:FKN458734 FUI458734:FUJ458734 GEE458734:GEF458734 GOA458734:GOB458734 GXW458734:GXX458734 HHS458734:HHT458734 HRO458734:HRP458734 IBK458734:IBL458734 ILG458734:ILH458734 IVC458734:IVD458734 JEY458734:JEZ458734 JOU458734:JOV458734 JYQ458734:JYR458734 KIM458734:KIN458734 KSI458734:KSJ458734 LCE458734:LCF458734 LMA458734:LMB458734 LVW458734:LVX458734 MFS458734:MFT458734 MPO458734:MPP458734 MZK458734:MZL458734 NJG458734:NJH458734 NTC458734:NTD458734 OCY458734:OCZ458734 OMU458734:OMV458734 OWQ458734:OWR458734 PGM458734:PGN458734 PQI458734:PQJ458734 QAE458734:QAF458734 QKA458734:QKB458734 QTW458734:QTX458734 RDS458734:RDT458734 RNO458734:RNP458734 RXK458734:RXL458734 SHG458734:SHH458734 SRC458734:SRD458734 TAY458734:TAZ458734 TKU458734:TKV458734 TUQ458734:TUR458734 UEM458734:UEN458734 UOI458734:UOJ458734 UYE458734:UYF458734 VIA458734:VIB458734 VRW458734:VRX458734 WBS458734:WBT458734 WLO458734:WLP458734 WVK458734:WVL458734 C524270:D524270 IY524270:IZ524270 SU524270:SV524270 ACQ524270:ACR524270 AMM524270:AMN524270 AWI524270:AWJ524270 BGE524270:BGF524270 BQA524270:BQB524270 BZW524270:BZX524270 CJS524270:CJT524270 CTO524270:CTP524270 DDK524270:DDL524270 DNG524270:DNH524270 DXC524270:DXD524270 EGY524270:EGZ524270 EQU524270:EQV524270 FAQ524270:FAR524270 FKM524270:FKN524270 FUI524270:FUJ524270 GEE524270:GEF524270 GOA524270:GOB524270 GXW524270:GXX524270 HHS524270:HHT524270 HRO524270:HRP524270 IBK524270:IBL524270 ILG524270:ILH524270 IVC524270:IVD524270 JEY524270:JEZ524270 JOU524270:JOV524270 JYQ524270:JYR524270 KIM524270:KIN524270 KSI524270:KSJ524270 LCE524270:LCF524270 LMA524270:LMB524270 LVW524270:LVX524270 MFS524270:MFT524270 MPO524270:MPP524270 MZK524270:MZL524270 NJG524270:NJH524270 NTC524270:NTD524270 OCY524270:OCZ524270 OMU524270:OMV524270 OWQ524270:OWR524270 PGM524270:PGN524270 PQI524270:PQJ524270 QAE524270:QAF524270 QKA524270:QKB524270 QTW524270:QTX524270 RDS524270:RDT524270 RNO524270:RNP524270 RXK524270:RXL524270 SHG524270:SHH524270 SRC524270:SRD524270 TAY524270:TAZ524270 TKU524270:TKV524270 TUQ524270:TUR524270 UEM524270:UEN524270 UOI524270:UOJ524270 UYE524270:UYF524270 VIA524270:VIB524270 VRW524270:VRX524270 WBS524270:WBT524270 WLO524270:WLP524270 WVK524270:WVL524270 C589806:D589806 IY589806:IZ589806 SU589806:SV589806 ACQ589806:ACR589806 AMM589806:AMN589806 AWI589806:AWJ589806 BGE589806:BGF589806 BQA589806:BQB589806 BZW589806:BZX589806 CJS589806:CJT589806 CTO589806:CTP589806 DDK589806:DDL589806 DNG589806:DNH589806 DXC589806:DXD589806 EGY589806:EGZ589806 EQU589806:EQV589806 FAQ589806:FAR589806 FKM589806:FKN589806 FUI589806:FUJ589806 GEE589806:GEF589806 GOA589806:GOB589806 GXW589806:GXX589806 HHS589806:HHT589806 HRO589806:HRP589806 IBK589806:IBL589806 ILG589806:ILH589806 IVC589806:IVD589806 JEY589806:JEZ589806 JOU589806:JOV589806 JYQ589806:JYR589806 KIM589806:KIN589806 KSI589806:KSJ589806 LCE589806:LCF589806 LMA589806:LMB589806 LVW589806:LVX589806 MFS589806:MFT589806 MPO589806:MPP589806 MZK589806:MZL589806 NJG589806:NJH589806 NTC589806:NTD589806 OCY589806:OCZ589806 OMU589806:OMV589806 OWQ589806:OWR589806 PGM589806:PGN589806 PQI589806:PQJ589806 QAE589806:QAF589806 QKA589806:QKB589806 QTW589806:QTX589806 RDS589806:RDT589806 RNO589806:RNP589806 RXK589806:RXL589806 SHG589806:SHH589806 SRC589806:SRD589806 TAY589806:TAZ589806 TKU589806:TKV589806 TUQ589806:TUR589806 UEM589806:UEN589806 UOI589806:UOJ589806 UYE589806:UYF589806 VIA589806:VIB589806 VRW589806:VRX589806 WBS589806:WBT589806 WLO589806:WLP589806 WVK589806:WVL589806 C655342:D655342 IY655342:IZ655342 SU655342:SV655342 ACQ655342:ACR655342 AMM655342:AMN655342 AWI655342:AWJ655342 BGE655342:BGF655342 BQA655342:BQB655342 BZW655342:BZX655342 CJS655342:CJT655342 CTO655342:CTP655342 DDK655342:DDL655342 DNG655342:DNH655342 DXC655342:DXD655342 EGY655342:EGZ655342 EQU655342:EQV655342 FAQ655342:FAR655342 FKM655342:FKN655342 FUI655342:FUJ655342 GEE655342:GEF655342 GOA655342:GOB655342 GXW655342:GXX655342 HHS655342:HHT655342 HRO655342:HRP655342 IBK655342:IBL655342 ILG655342:ILH655342 IVC655342:IVD655342 JEY655342:JEZ655342 JOU655342:JOV655342 JYQ655342:JYR655342 KIM655342:KIN655342 KSI655342:KSJ655342 LCE655342:LCF655342 LMA655342:LMB655342 LVW655342:LVX655342 MFS655342:MFT655342 MPO655342:MPP655342 MZK655342:MZL655342 NJG655342:NJH655342 NTC655342:NTD655342 OCY655342:OCZ655342 OMU655342:OMV655342 OWQ655342:OWR655342 PGM655342:PGN655342 PQI655342:PQJ655342 QAE655342:QAF655342 QKA655342:QKB655342 QTW655342:QTX655342 RDS655342:RDT655342 RNO655342:RNP655342 RXK655342:RXL655342 SHG655342:SHH655342 SRC655342:SRD655342 TAY655342:TAZ655342 TKU655342:TKV655342 TUQ655342:TUR655342 UEM655342:UEN655342 UOI655342:UOJ655342 UYE655342:UYF655342 VIA655342:VIB655342 VRW655342:VRX655342 WBS655342:WBT655342 WLO655342:WLP655342 WVK655342:WVL655342 C720878:D720878 IY720878:IZ720878 SU720878:SV720878 ACQ720878:ACR720878 AMM720878:AMN720878 AWI720878:AWJ720878 BGE720878:BGF720878 BQA720878:BQB720878 BZW720878:BZX720878 CJS720878:CJT720878 CTO720878:CTP720878 DDK720878:DDL720878 DNG720878:DNH720878 DXC720878:DXD720878 EGY720878:EGZ720878 EQU720878:EQV720878 FAQ720878:FAR720878 FKM720878:FKN720878 FUI720878:FUJ720878 GEE720878:GEF720878 GOA720878:GOB720878 GXW720878:GXX720878 HHS720878:HHT720878 HRO720878:HRP720878 IBK720878:IBL720878 ILG720878:ILH720878 IVC720878:IVD720878 JEY720878:JEZ720878 JOU720878:JOV720878 JYQ720878:JYR720878 KIM720878:KIN720878 KSI720878:KSJ720878 LCE720878:LCF720878 LMA720878:LMB720878 LVW720878:LVX720878 MFS720878:MFT720878 MPO720878:MPP720878 MZK720878:MZL720878 NJG720878:NJH720878 NTC720878:NTD720878 OCY720878:OCZ720878 OMU720878:OMV720878 OWQ720878:OWR720878 PGM720878:PGN720878 PQI720878:PQJ720878 QAE720878:QAF720878 QKA720878:QKB720878 QTW720878:QTX720878 RDS720878:RDT720878 RNO720878:RNP720878 RXK720878:RXL720878 SHG720878:SHH720878 SRC720878:SRD720878 TAY720878:TAZ720878 TKU720878:TKV720878 TUQ720878:TUR720878 UEM720878:UEN720878 UOI720878:UOJ720878 UYE720878:UYF720878 VIA720878:VIB720878 VRW720878:VRX720878 WBS720878:WBT720878 WLO720878:WLP720878 WVK720878:WVL720878 C786414:D786414 IY786414:IZ786414 SU786414:SV786414 ACQ786414:ACR786414 AMM786414:AMN786414 AWI786414:AWJ786414 BGE786414:BGF786414 BQA786414:BQB786414 BZW786414:BZX786414 CJS786414:CJT786414 CTO786414:CTP786414 DDK786414:DDL786414 DNG786414:DNH786414 DXC786414:DXD786414 EGY786414:EGZ786414 EQU786414:EQV786414 FAQ786414:FAR786414 FKM786414:FKN786414 FUI786414:FUJ786414 GEE786414:GEF786414 GOA786414:GOB786414 GXW786414:GXX786414 HHS786414:HHT786414 HRO786414:HRP786414 IBK786414:IBL786414 ILG786414:ILH786414 IVC786414:IVD786414 JEY786414:JEZ786414 JOU786414:JOV786414 JYQ786414:JYR786414 KIM786414:KIN786414 KSI786414:KSJ786414 LCE786414:LCF786414 LMA786414:LMB786414 LVW786414:LVX786414 MFS786414:MFT786414 MPO786414:MPP786414 MZK786414:MZL786414 NJG786414:NJH786414 NTC786414:NTD786414 OCY786414:OCZ786414 OMU786414:OMV786414 OWQ786414:OWR786414 PGM786414:PGN786414 PQI786414:PQJ786414 QAE786414:QAF786414 QKA786414:QKB786414 QTW786414:QTX786414 RDS786414:RDT786414 RNO786414:RNP786414 RXK786414:RXL786414 SHG786414:SHH786414 SRC786414:SRD786414 TAY786414:TAZ786414 TKU786414:TKV786414 TUQ786414:TUR786414 UEM786414:UEN786414 UOI786414:UOJ786414 UYE786414:UYF786414 VIA786414:VIB786414 VRW786414:VRX786414 WBS786414:WBT786414 WLO786414:WLP786414 WVK786414:WVL786414 C851950:D851950 IY851950:IZ851950 SU851950:SV851950 ACQ851950:ACR851950 AMM851950:AMN851950 AWI851950:AWJ851950 BGE851950:BGF851950 BQA851950:BQB851950 BZW851950:BZX851950 CJS851950:CJT851950 CTO851950:CTP851950 DDK851950:DDL851950 DNG851950:DNH851950 DXC851950:DXD851950 EGY851950:EGZ851950 EQU851950:EQV851950 FAQ851950:FAR851950 FKM851950:FKN851950 FUI851950:FUJ851950 GEE851950:GEF851950 GOA851950:GOB851950 GXW851950:GXX851950 HHS851950:HHT851950 HRO851950:HRP851950 IBK851950:IBL851950 ILG851950:ILH851950 IVC851950:IVD851950 JEY851950:JEZ851950 JOU851950:JOV851950 JYQ851950:JYR851950 KIM851950:KIN851950 KSI851950:KSJ851950 LCE851950:LCF851950 LMA851950:LMB851950 LVW851950:LVX851950 MFS851950:MFT851950 MPO851950:MPP851950 MZK851950:MZL851950 NJG851950:NJH851950 NTC851950:NTD851950 OCY851950:OCZ851950 OMU851950:OMV851950 OWQ851950:OWR851950 PGM851950:PGN851950 PQI851950:PQJ851950 QAE851950:QAF851950 QKA851950:QKB851950 QTW851950:QTX851950 RDS851950:RDT851950 RNO851950:RNP851950 RXK851950:RXL851950 SHG851950:SHH851950 SRC851950:SRD851950 TAY851950:TAZ851950 TKU851950:TKV851950 TUQ851950:TUR851950 UEM851950:UEN851950 UOI851950:UOJ851950 UYE851950:UYF851950 VIA851950:VIB851950 VRW851950:VRX851950 WBS851950:WBT851950 WLO851950:WLP851950 WVK851950:WVL851950 C917486:D917486 IY917486:IZ917486 SU917486:SV917486 ACQ917486:ACR917486 AMM917486:AMN917486 AWI917486:AWJ917486 BGE917486:BGF917486 BQA917486:BQB917486 BZW917486:BZX917486 CJS917486:CJT917486 CTO917486:CTP917486 DDK917486:DDL917486 DNG917486:DNH917486 DXC917486:DXD917486 EGY917486:EGZ917486 EQU917486:EQV917486 FAQ917486:FAR917486 FKM917486:FKN917486 FUI917486:FUJ917486 GEE917486:GEF917486 GOA917486:GOB917486 GXW917486:GXX917486 HHS917486:HHT917486 HRO917486:HRP917486 IBK917486:IBL917486 ILG917486:ILH917486 IVC917486:IVD917486 JEY917486:JEZ917486 JOU917486:JOV917486 JYQ917486:JYR917486 KIM917486:KIN917486 KSI917486:KSJ917486 LCE917486:LCF917486 LMA917486:LMB917486 LVW917486:LVX917486 MFS917486:MFT917486 MPO917486:MPP917486 MZK917486:MZL917486 NJG917486:NJH917486 NTC917486:NTD917486 OCY917486:OCZ917486 OMU917486:OMV917486 OWQ917486:OWR917486 PGM917486:PGN917486 PQI917486:PQJ917486 QAE917486:QAF917486 QKA917486:QKB917486 QTW917486:QTX917486 RDS917486:RDT917486 RNO917486:RNP917486 RXK917486:RXL917486 SHG917486:SHH917486 SRC917486:SRD917486 TAY917486:TAZ917486 TKU917486:TKV917486 TUQ917486:TUR917486 UEM917486:UEN917486 UOI917486:UOJ917486 UYE917486:UYF917486 VIA917486:VIB917486 VRW917486:VRX917486 WBS917486:WBT917486 WLO917486:WLP917486 WVK917486:WVL917486 C983022:D983022 IY983022:IZ983022 SU983022:SV983022 ACQ983022:ACR983022 AMM983022:AMN983022 AWI983022:AWJ983022 BGE983022:BGF983022 BQA983022:BQB983022 BZW983022:BZX983022 CJS983022:CJT983022 CTO983022:CTP983022 DDK983022:DDL983022 DNG983022:DNH983022 DXC983022:DXD983022 EGY983022:EGZ983022 EQU983022:EQV983022 FAQ983022:FAR983022 FKM983022:FKN983022 FUI983022:FUJ983022 GEE983022:GEF983022 GOA983022:GOB983022 GXW983022:GXX983022 HHS983022:HHT983022 HRO983022:HRP983022 IBK983022:IBL983022 ILG983022:ILH983022 IVC983022:IVD983022 JEY983022:JEZ983022 JOU983022:JOV983022 JYQ983022:JYR983022 KIM983022:KIN983022 KSI983022:KSJ983022 LCE983022:LCF983022 LMA983022:LMB983022 LVW983022:LVX983022 MFS983022:MFT983022 MPO983022:MPP983022 MZK983022:MZL983022 NJG983022:NJH983022 NTC983022:NTD983022 OCY983022:OCZ983022 OMU983022:OMV983022 OWQ983022:OWR983022 PGM983022:PGN983022 PQI983022:PQJ983022 QAE983022:QAF983022 QKA983022:QKB983022 QTW983022:QTX983022 RDS983022:RDT983022 RNO983022:RNP983022 RXK983022:RXL983022 SHG983022:SHH983022 SRC983022:SRD983022 TAY983022:TAZ983022 TKU983022:TKV983022 TUQ983022:TUR983022 UEM983022:UEN983022 UOI983022:UOJ983022 UYE983022:UYF983022 VIA983022:VIB983022 VRW983022:VRX983022 WBS983022:WBT983022 WLO983022:WLP983022 IY7:IZ7 SU7:SV7 ACQ7:ACR7 AMM7:AMN7 AWI7:AWJ7 BGE7:BGF7 BQA7:BQB7 BZW7:BZX7 CJS7:CJT7 CTO7:CTP7 DDK7:DDL7 DNG7:DNH7 DXC7:DXD7 EGY7:EGZ7 EQU7:EQV7 FAQ7:FAR7 FKM7:FKN7 FUI7:FUJ7 GEE7:GEF7 GOA7:GOB7 GXW7:GXX7 HHS7:HHT7 HRO7:HRP7 IBK7:IBL7 ILG7:ILH7 IVC7:IVD7 JEY7:JEZ7 JOU7:JOV7 JYQ7:JYR7 KIM7:KIN7 KSI7:KSJ7 LCE7:LCF7 LMA7:LMB7 LVW7:LVX7 MFS7:MFT7 MPO7:MPP7 MZK7:MZL7 NJG7:NJH7 NTC7:NTD7 OCY7:OCZ7 OMU7:OMV7 OWQ7:OWR7 PGM7:PGN7 PQI7:PQJ7 QAE7:QAF7 QKA7:QKB7 QTW7:QTX7 RDS7:RDT7 RNO7:RNP7 RXK7:RXL7 SHG7:SHH7 SRC7:SRD7 TAY7:TAZ7 TKU7:TKV7 TUQ7:TUR7 UEM7:UEN7 UOI7:UOJ7 UYE7:UYF7 VIA7:VIB7 VRW7:VRX7 WBS7:WBT7 WLO7:WLP7 WVK7:WVL7">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A1:J123"/>
  <sheetViews>
    <sheetView workbookViewId="0"/>
  </sheetViews>
  <sheetFormatPr defaultRowHeight="15"/>
  <cols>
    <col min="1" max="1" width="22.85546875" style="6" customWidth="1"/>
    <col min="2" max="2" width="13.5703125" style="6" customWidth="1"/>
    <col min="3" max="3" width="15.140625" style="6" customWidth="1"/>
    <col min="4" max="4" width="12.85546875" style="6" customWidth="1"/>
    <col min="5" max="5" width="12.28515625" style="6" customWidth="1"/>
    <col min="6" max="7" width="14.5703125" style="6" customWidth="1"/>
    <col min="8" max="8" width="9.140625" style="6"/>
    <col min="9" max="9" width="14.7109375" style="6" customWidth="1"/>
    <col min="10" max="252" width="9.140625" style="6"/>
    <col min="253" max="253" width="18.28515625" style="6" customWidth="1"/>
    <col min="254" max="254" width="13.5703125" style="6" customWidth="1"/>
    <col min="255" max="255" width="15.140625" style="6" customWidth="1"/>
    <col min="256" max="256" width="12.85546875" style="6" customWidth="1"/>
    <col min="257" max="257" width="12.28515625" style="6" customWidth="1"/>
    <col min="258" max="258" width="12.42578125" style="6" customWidth="1"/>
    <col min="259" max="259" width="11.7109375" style="6" customWidth="1"/>
    <col min="260" max="262" width="14.5703125" style="6" customWidth="1"/>
    <col min="263" max="263" width="13.42578125" style="6" customWidth="1"/>
    <col min="264" max="508" width="9.140625" style="6"/>
    <col min="509" max="509" width="18.28515625" style="6" customWidth="1"/>
    <col min="510" max="510" width="13.5703125" style="6" customWidth="1"/>
    <col min="511" max="511" width="15.140625" style="6" customWidth="1"/>
    <col min="512" max="512" width="12.85546875" style="6" customWidth="1"/>
    <col min="513" max="513" width="12.28515625" style="6" customWidth="1"/>
    <col min="514" max="514" width="12.42578125" style="6" customWidth="1"/>
    <col min="515" max="515" width="11.7109375" style="6" customWidth="1"/>
    <col min="516" max="518" width="14.5703125" style="6" customWidth="1"/>
    <col min="519" max="519" width="13.42578125" style="6" customWidth="1"/>
    <col min="520" max="764" width="9.140625" style="6"/>
    <col min="765" max="765" width="18.28515625" style="6" customWidth="1"/>
    <col min="766" max="766" width="13.5703125" style="6" customWidth="1"/>
    <col min="767" max="767" width="15.140625" style="6" customWidth="1"/>
    <col min="768" max="768" width="12.85546875" style="6" customWidth="1"/>
    <col min="769" max="769" width="12.28515625" style="6" customWidth="1"/>
    <col min="770" max="770" width="12.42578125" style="6" customWidth="1"/>
    <col min="771" max="771" width="11.7109375" style="6" customWidth="1"/>
    <col min="772" max="774" width="14.5703125" style="6" customWidth="1"/>
    <col min="775" max="775" width="13.42578125" style="6" customWidth="1"/>
    <col min="776" max="1020" width="9.140625" style="6"/>
    <col min="1021" max="1021" width="18.28515625" style="6" customWidth="1"/>
    <col min="1022" max="1022" width="13.5703125" style="6" customWidth="1"/>
    <col min="1023" max="1023" width="15.140625" style="6" customWidth="1"/>
    <col min="1024" max="1024" width="12.85546875" style="6" customWidth="1"/>
    <col min="1025" max="1025" width="12.28515625" style="6" customWidth="1"/>
    <col min="1026" max="1026" width="12.42578125" style="6" customWidth="1"/>
    <col min="1027" max="1027" width="11.7109375" style="6" customWidth="1"/>
    <col min="1028" max="1030" width="14.5703125" style="6" customWidth="1"/>
    <col min="1031" max="1031" width="13.42578125" style="6" customWidth="1"/>
    <col min="1032" max="1276" width="9.140625" style="6"/>
    <col min="1277" max="1277" width="18.28515625" style="6" customWidth="1"/>
    <col min="1278" max="1278" width="13.5703125" style="6" customWidth="1"/>
    <col min="1279" max="1279" width="15.140625" style="6" customWidth="1"/>
    <col min="1280" max="1280" width="12.85546875" style="6" customWidth="1"/>
    <col min="1281" max="1281" width="12.28515625" style="6" customWidth="1"/>
    <col min="1282" max="1282" width="12.42578125" style="6" customWidth="1"/>
    <col min="1283" max="1283" width="11.7109375" style="6" customWidth="1"/>
    <col min="1284" max="1286" width="14.5703125" style="6" customWidth="1"/>
    <col min="1287" max="1287" width="13.42578125" style="6" customWidth="1"/>
    <col min="1288" max="1532" width="9.140625" style="6"/>
    <col min="1533" max="1533" width="18.28515625" style="6" customWidth="1"/>
    <col min="1534" max="1534" width="13.5703125" style="6" customWidth="1"/>
    <col min="1535" max="1535" width="15.140625" style="6" customWidth="1"/>
    <col min="1536" max="1536" width="12.85546875" style="6" customWidth="1"/>
    <col min="1537" max="1537" width="12.28515625" style="6" customWidth="1"/>
    <col min="1538" max="1538" width="12.42578125" style="6" customWidth="1"/>
    <col min="1539" max="1539" width="11.7109375" style="6" customWidth="1"/>
    <col min="1540" max="1542" width="14.5703125" style="6" customWidth="1"/>
    <col min="1543" max="1543" width="13.42578125" style="6" customWidth="1"/>
    <col min="1544" max="1788" width="9.140625" style="6"/>
    <col min="1789" max="1789" width="18.28515625" style="6" customWidth="1"/>
    <col min="1790" max="1790" width="13.5703125" style="6" customWidth="1"/>
    <col min="1791" max="1791" width="15.140625" style="6" customWidth="1"/>
    <col min="1792" max="1792" width="12.85546875" style="6" customWidth="1"/>
    <col min="1793" max="1793" width="12.28515625" style="6" customWidth="1"/>
    <col min="1794" max="1794" width="12.42578125" style="6" customWidth="1"/>
    <col min="1795" max="1795" width="11.7109375" style="6" customWidth="1"/>
    <col min="1796" max="1798" width="14.5703125" style="6" customWidth="1"/>
    <col min="1799" max="1799" width="13.42578125" style="6" customWidth="1"/>
    <col min="1800" max="2044" width="9.140625" style="6"/>
    <col min="2045" max="2045" width="18.28515625" style="6" customWidth="1"/>
    <col min="2046" max="2046" width="13.5703125" style="6" customWidth="1"/>
    <col min="2047" max="2047" width="15.140625" style="6" customWidth="1"/>
    <col min="2048" max="2048" width="12.85546875" style="6" customWidth="1"/>
    <col min="2049" max="2049" width="12.28515625" style="6" customWidth="1"/>
    <col min="2050" max="2050" width="12.42578125" style="6" customWidth="1"/>
    <col min="2051" max="2051" width="11.7109375" style="6" customWidth="1"/>
    <col min="2052" max="2054" width="14.5703125" style="6" customWidth="1"/>
    <col min="2055" max="2055" width="13.42578125" style="6" customWidth="1"/>
    <col min="2056" max="2300" width="9.140625" style="6"/>
    <col min="2301" max="2301" width="18.28515625" style="6" customWidth="1"/>
    <col min="2302" max="2302" width="13.5703125" style="6" customWidth="1"/>
    <col min="2303" max="2303" width="15.140625" style="6" customWidth="1"/>
    <col min="2304" max="2304" width="12.85546875" style="6" customWidth="1"/>
    <col min="2305" max="2305" width="12.28515625" style="6" customWidth="1"/>
    <col min="2306" max="2306" width="12.42578125" style="6" customWidth="1"/>
    <col min="2307" max="2307" width="11.7109375" style="6" customWidth="1"/>
    <col min="2308" max="2310" width="14.5703125" style="6" customWidth="1"/>
    <col min="2311" max="2311" width="13.42578125" style="6" customWidth="1"/>
    <col min="2312" max="2556" width="9.140625" style="6"/>
    <col min="2557" max="2557" width="18.28515625" style="6" customWidth="1"/>
    <col min="2558" max="2558" width="13.5703125" style="6" customWidth="1"/>
    <col min="2559" max="2559" width="15.140625" style="6" customWidth="1"/>
    <col min="2560" max="2560" width="12.85546875" style="6" customWidth="1"/>
    <col min="2561" max="2561" width="12.28515625" style="6" customWidth="1"/>
    <col min="2562" max="2562" width="12.42578125" style="6" customWidth="1"/>
    <col min="2563" max="2563" width="11.7109375" style="6" customWidth="1"/>
    <col min="2564" max="2566" width="14.5703125" style="6" customWidth="1"/>
    <col min="2567" max="2567" width="13.42578125" style="6" customWidth="1"/>
    <col min="2568" max="2812" width="9.140625" style="6"/>
    <col min="2813" max="2813" width="18.28515625" style="6" customWidth="1"/>
    <col min="2814" max="2814" width="13.5703125" style="6" customWidth="1"/>
    <col min="2815" max="2815" width="15.140625" style="6" customWidth="1"/>
    <col min="2816" max="2816" width="12.85546875" style="6" customWidth="1"/>
    <col min="2817" max="2817" width="12.28515625" style="6" customWidth="1"/>
    <col min="2818" max="2818" width="12.42578125" style="6" customWidth="1"/>
    <col min="2819" max="2819" width="11.7109375" style="6" customWidth="1"/>
    <col min="2820" max="2822" width="14.5703125" style="6" customWidth="1"/>
    <col min="2823" max="2823" width="13.42578125" style="6" customWidth="1"/>
    <col min="2824" max="3068" width="9.140625" style="6"/>
    <col min="3069" max="3069" width="18.28515625" style="6" customWidth="1"/>
    <col min="3070" max="3070" width="13.5703125" style="6" customWidth="1"/>
    <col min="3071" max="3071" width="15.140625" style="6" customWidth="1"/>
    <col min="3072" max="3072" width="12.85546875" style="6" customWidth="1"/>
    <col min="3073" max="3073" width="12.28515625" style="6" customWidth="1"/>
    <col min="3074" max="3074" width="12.42578125" style="6" customWidth="1"/>
    <col min="3075" max="3075" width="11.7109375" style="6" customWidth="1"/>
    <col min="3076" max="3078" width="14.5703125" style="6" customWidth="1"/>
    <col min="3079" max="3079" width="13.42578125" style="6" customWidth="1"/>
    <col min="3080" max="3324" width="9.140625" style="6"/>
    <col min="3325" max="3325" width="18.28515625" style="6" customWidth="1"/>
    <col min="3326" max="3326" width="13.5703125" style="6" customWidth="1"/>
    <col min="3327" max="3327" width="15.140625" style="6" customWidth="1"/>
    <col min="3328" max="3328" width="12.85546875" style="6" customWidth="1"/>
    <col min="3329" max="3329" width="12.28515625" style="6" customWidth="1"/>
    <col min="3330" max="3330" width="12.42578125" style="6" customWidth="1"/>
    <col min="3331" max="3331" width="11.7109375" style="6" customWidth="1"/>
    <col min="3332" max="3334" width="14.5703125" style="6" customWidth="1"/>
    <col min="3335" max="3335" width="13.42578125" style="6" customWidth="1"/>
    <col min="3336" max="3580" width="9.140625" style="6"/>
    <col min="3581" max="3581" width="18.28515625" style="6" customWidth="1"/>
    <col min="3582" max="3582" width="13.5703125" style="6" customWidth="1"/>
    <col min="3583" max="3583" width="15.140625" style="6" customWidth="1"/>
    <col min="3584" max="3584" width="12.85546875" style="6" customWidth="1"/>
    <col min="3585" max="3585" width="12.28515625" style="6" customWidth="1"/>
    <col min="3586" max="3586" width="12.42578125" style="6" customWidth="1"/>
    <col min="3587" max="3587" width="11.7109375" style="6" customWidth="1"/>
    <col min="3588" max="3590" width="14.5703125" style="6" customWidth="1"/>
    <col min="3591" max="3591" width="13.42578125" style="6" customWidth="1"/>
    <col min="3592" max="3836" width="9.140625" style="6"/>
    <col min="3837" max="3837" width="18.28515625" style="6" customWidth="1"/>
    <col min="3838" max="3838" width="13.5703125" style="6" customWidth="1"/>
    <col min="3839" max="3839" width="15.140625" style="6" customWidth="1"/>
    <col min="3840" max="3840" width="12.85546875" style="6" customWidth="1"/>
    <col min="3841" max="3841" width="12.28515625" style="6" customWidth="1"/>
    <col min="3842" max="3842" width="12.42578125" style="6" customWidth="1"/>
    <col min="3843" max="3843" width="11.7109375" style="6" customWidth="1"/>
    <col min="3844" max="3846" width="14.5703125" style="6" customWidth="1"/>
    <col min="3847" max="3847" width="13.42578125" style="6" customWidth="1"/>
    <col min="3848" max="4092" width="9.140625" style="6"/>
    <col min="4093" max="4093" width="18.28515625" style="6" customWidth="1"/>
    <col min="4094" max="4094" width="13.5703125" style="6" customWidth="1"/>
    <col min="4095" max="4095" width="15.140625" style="6" customWidth="1"/>
    <col min="4096" max="4096" width="12.85546875" style="6" customWidth="1"/>
    <col min="4097" max="4097" width="12.28515625" style="6" customWidth="1"/>
    <col min="4098" max="4098" width="12.42578125" style="6" customWidth="1"/>
    <col min="4099" max="4099" width="11.7109375" style="6" customWidth="1"/>
    <col min="4100" max="4102" width="14.5703125" style="6" customWidth="1"/>
    <col min="4103" max="4103" width="13.42578125" style="6" customWidth="1"/>
    <col min="4104" max="4348" width="9.140625" style="6"/>
    <col min="4349" max="4349" width="18.28515625" style="6" customWidth="1"/>
    <col min="4350" max="4350" width="13.5703125" style="6" customWidth="1"/>
    <col min="4351" max="4351" width="15.140625" style="6" customWidth="1"/>
    <col min="4352" max="4352" width="12.85546875" style="6" customWidth="1"/>
    <col min="4353" max="4353" width="12.28515625" style="6" customWidth="1"/>
    <col min="4354" max="4354" width="12.42578125" style="6" customWidth="1"/>
    <col min="4355" max="4355" width="11.7109375" style="6" customWidth="1"/>
    <col min="4356" max="4358" width="14.5703125" style="6" customWidth="1"/>
    <col min="4359" max="4359" width="13.42578125" style="6" customWidth="1"/>
    <col min="4360" max="4604" width="9.140625" style="6"/>
    <col min="4605" max="4605" width="18.28515625" style="6" customWidth="1"/>
    <col min="4606" max="4606" width="13.5703125" style="6" customWidth="1"/>
    <col min="4607" max="4607" width="15.140625" style="6" customWidth="1"/>
    <col min="4608" max="4608" width="12.85546875" style="6" customWidth="1"/>
    <col min="4609" max="4609" width="12.28515625" style="6" customWidth="1"/>
    <col min="4610" max="4610" width="12.42578125" style="6" customWidth="1"/>
    <col min="4611" max="4611" width="11.7109375" style="6" customWidth="1"/>
    <col min="4612" max="4614" width="14.5703125" style="6" customWidth="1"/>
    <col min="4615" max="4615" width="13.42578125" style="6" customWidth="1"/>
    <col min="4616" max="4860" width="9.140625" style="6"/>
    <col min="4861" max="4861" width="18.28515625" style="6" customWidth="1"/>
    <col min="4862" max="4862" width="13.5703125" style="6" customWidth="1"/>
    <col min="4863" max="4863" width="15.140625" style="6" customWidth="1"/>
    <col min="4864" max="4864" width="12.85546875" style="6" customWidth="1"/>
    <col min="4865" max="4865" width="12.28515625" style="6" customWidth="1"/>
    <col min="4866" max="4866" width="12.42578125" style="6" customWidth="1"/>
    <col min="4867" max="4867" width="11.7109375" style="6" customWidth="1"/>
    <col min="4868" max="4870" width="14.5703125" style="6" customWidth="1"/>
    <col min="4871" max="4871" width="13.42578125" style="6" customWidth="1"/>
    <col min="4872" max="5116" width="9.140625" style="6"/>
    <col min="5117" max="5117" width="18.28515625" style="6" customWidth="1"/>
    <col min="5118" max="5118" width="13.5703125" style="6" customWidth="1"/>
    <col min="5119" max="5119" width="15.140625" style="6" customWidth="1"/>
    <col min="5120" max="5120" width="12.85546875" style="6" customWidth="1"/>
    <col min="5121" max="5121" width="12.28515625" style="6" customWidth="1"/>
    <col min="5122" max="5122" width="12.42578125" style="6" customWidth="1"/>
    <col min="5123" max="5123" width="11.7109375" style="6" customWidth="1"/>
    <col min="5124" max="5126" width="14.5703125" style="6" customWidth="1"/>
    <col min="5127" max="5127" width="13.42578125" style="6" customWidth="1"/>
    <col min="5128" max="5372" width="9.140625" style="6"/>
    <col min="5373" max="5373" width="18.28515625" style="6" customWidth="1"/>
    <col min="5374" max="5374" width="13.5703125" style="6" customWidth="1"/>
    <col min="5375" max="5375" width="15.140625" style="6" customWidth="1"/>
    <col min="5376" max="5376" width="12.85546875" style="6" customWidth="1"/>
    <col min="5377" max="5377" width="12.28515625" style="6" customWidth="1"/>
    <col min="5378" max="5378" width="12.42578125" style="6" customWidth="1"/>
    <col min="5379" max="5379" width="11.7109375" style="6" customWidth="1"/>
    <col min="5380" max="5382" width="14.5703125" style="6" customWidth="1"/>
    <col min="5383" max="5383" width="13.42578125" style="6" customWidth="1"/>
    <col min="5384" max="5628" width="9.140625" style="6"/>
    <col min="5629" max="5629" width="18.28515625" style="6" customWidth="1"/>
    <col min="5630" max="5630" width="13.5703125" style="6" customWidth="1"/>
    <col min="5631" max="5631" width="15.140625" style="6" customWidth="1"/>
    <col min="5632" max="5632" width="12.85546875" style="6" customWidth="1"/>
    <col min="5633" max="5633" width="12.28515625" style="6" customWidth="1"/>
    <col min="5634" max="5634" width="12.42578125" style="6" customWidth="1"/>
    <col min="5635" max="5635" width="11.7109375" style="6" customWidth="1"/>
    <col min="5636" max="5638" width="14.5703125" style="6" customWidth="1"/>
    <col min="5639" max="5639" width="13.42578125" style="6" customWidth="1"/>
    <col min="5640" max="5884" width="9.140625" style="6"/>
    <col min="5885" max="5885" width="18.28515625" style="6" customWidth="1"/>
    <col min="5886" max="5886" width="13.5703125" style="6" customWidth="1"/>
    <col min="5887" max="5887" width="15.140625" style="6" customWidth="1"/>
    <col min="5888" max="5888" width="12.85546875" style="6" customWidth="1"/>
    <col min="5889" max="5889" width="12.28515625" style="6" customWidth="1"/>
    <col min="5890" max="5890" width="12.42578125" style="6" customWidth="1"/>
    <col min="5891" max="5891" width="11.7109375" style="6" customWidth="1"/>
    <col min="5892" max="5894" width="14.5703125" style="6" customWidth="1"/>
    <col min="5895" max="5895" width="13.42578125" style="6" customWidth="1"/>
    <col min="5896" max="6140" width="9.140625" style="6"/>
    <col min="6141" max="6141" width="18.28515625" style="6" customWidth="1"/>
    <col min="6142" max="6142" width="13.5703125" style="6" customWidth="1"/>
    <col min="6143" max="6143" width="15.140625" style="6" customWidth="1"/>
    <col min="6144" max="6144" width="12.85546875" style="6" customWidth="1"/>
    <col min="6145" max="6145" width="12.28515625" style="6" customWidth="1"/>
    <col min="6146" max="6146" width="12.42578125" style="6" customWidth="1"/>
    <col min="6147" max="6147" width="11.7109375" style="6" customWidth="1"/>
    <col min="6148" max="6150" width="14.5703125" style="6" customWidth="1"/>
    <col min="6151" max="6151" width="13.42578125" style="6" customWidth="1"/>
    <col min="6152" max="6396" width="9.140625" style="6"/>
    <col min="6397" max="6397" width="18.28515625" style="6" customWidth="1"/>
    <col min="6398" max="6398" width="13.5703125" style="6" customWidth="1"/>
    <col min="6399" max="6399" width="15.140625" style="6" customWidth="1"/>
    <col min="6400" max="6400" width="12.85546875" style="6" customWidth="1"/>
    <col min="6401" max="6401" width="12.28515625" style="6" customWidth="1"/>
    <col min="6402" max="6402" width="12.42578125" style="6" customWidth="1"/>
    <col min="6403" max="6403" width="11.7109375" style="6" customWidth="1"/>
    <col min="6404" max="6406" width="14.5703125" style="6" customWidth="1"/>
    <col min="6407" max="6407" width="13.42578125" style="6" customWidth="1"/>
    <col min="6408" max="6652" width="9.140625" style="6"/>
    <col min="6653" max="6653" width="18.28515625" style="6" customWidth="1"/>
    <col min="6654" max="6654" width="13.5703125" style="6" customWidth="1"/>
    <col min="6655" max="6655" width="15.140625" style="6" customWidth="1"/>
    <col min="6656" max="6656" width="12.85546875" style="6" customWidth="1"/>
    <col min="6657" max="6657" width="12.28515625" style="6" customWidth="1"/>
    <col min="6658" max="6658" width="12.42578125" style="6" customWidth="1"/>
    <col min="6659" max="6659" width="11.7109375" style="6" customWidth="1"/>
    <col min="6660" max="6662" width="14.5703125" style="6" customWidth="1"/>
    <col min="6663" max="6663" width="13.42578125" style="6" customWidth="1"/>
    <col min="6664" max="6908" width="9.140625" style="6"/>
    <col min="6909" max="6909" width="18.28515625" style="6" customWidth="1"/>
    <col min="6910" max="6910" width="13.5703125" style="6" customWidth="1"/>
    <col min="6911" max="6911" width="15.140625" style="6" customWidth="1"/>
    <col min="6912" max="6912" width="12.85546875" style="6" customWidth="1"/>
    <col min="6913" max="6913" width="12.28515625" style="6" customWidth="1"/>
    <col min="6914" max="6914" width="12.42578125" style="6" customWidth="1"/>
    <col min="6915" max="6915" width="11.7109375" style="6" customWidth="1"/>
    <col min="6916" max="6918" width="14.5703125" style="6" customWidth="1"/>
    <col min="6919" max="6919" width="13.42578125" style="6" customWidth="1"/>
    <col min="6920" max="7164" width="9.140625" style="6"/>
    <col min="7165" max="7165" width="18.28515625" style="6" customWidth="1"/>
    <col min="7166" max="7166" width="13.5703125" style="6" customWidth="1"/>
    <col min="7167" max="7167" width="15.140625" style="6" customWidth="1"/>
    <col min="7168" max="7168" width="12.85546875" style="6" customWidth="1"/>
    <col min="7169" max="7169" width="12.28515625" style="6" customWidth="1"/>
    <col min="7170" max="7170" width="12.42578125" style="6" customWidth="1"/>
    <col min="7171" max="7171" width="11.7109375" style="6" customWidth="1"/>
    <col min="7172" max="7174" width="14.5703125" style="6" customWidth="1"/>
    <col min="7175" max="7175" width="13.42578125" style="6" customWidth="1"/>
    <col min="7176" max="7420" width="9.140625" style="6"/>
    <col min="7421" max="7421" width="18.28515625" style="6" customWidth="1"/>
    <col min="7422" max="7422" width="13.5703125" style="6" customWidth="1"/>
    <col min="7423" max="7423" width="15.140625" style="6" customWidth="1"/>
    <col min="7424" max="7424" width="12.85546875" style="6" customWidth="1"/>
    <col min="7425" max="7425" width="12.28515625" style="6" customWidth="1"/>
    <col min="7426" max="7426" width="12.42578125" style="6" customWidth="1"/>
    <col min="7427" max="7427" width="11.7109375" style="6" customWidth="1"/>
    <col min="7428" max="7430" width="14.5703125" style="6" customWidth="1"/>
    <col min="7431" max="7431" width="13.42578125" style="6" customWidth="1"/>
    <col min="7432" max="7676" width="9.140625" style="6"/>
    <col min="7677" max="7677" width="18.28515625" style="6" customWidth="1"/>
    <col min="7678" max="7678" width="13.5703125" style="6" customWidth="1"/>
    <col min="7679" max="7679" width="15.140625" style="6" customWidth="1"/>
    <col min="7680" max="7680" width="12.85546875" style="6" customWidth="1"/>
    <col min="7681" max="7681" width="12.28515625" style="6" customWidth="1"/>
    <col min="7682" max="7682" width="12.42578125" style="6" customWidth="1"/>
    <col min="7683" max="7683" width="11.7109375" style="6" customWidth="1"/>
    <col min="7684" max="7686" width="14.5703125" style="6" customWidth="1"/>
    <col min="7687" max="7687" width="13.42578125" style="6" customWidth="1"/>
    <col min="7688" max="7932" width="9.140625" style="6"/>
    <col min="7933" max="7933" width="18.28515625" style="6" customWidth="1"/>
    <col min="7934" max="7934" width="13.5703125" style="6" customWidth="1"/>
    <col min="7935" max="7935" width="15.140625" style="6" customWidth="1"/>
    <col min="7936" max="7936" width="12.85546875" style="6" customWidth="1"/>
    <col min="7937" max="7937" width="12.28515625" style="6" customWidth="1"/>
    <col min="7938" max="7938" width="12.42578125" style="6" customWidth="1"/>
    <col min="7939" max="7939" width="11.7109375" style="6" customWidth="1"/>
    <col min="7940" max="7942" width="14.5703125" style="6" customWidth="1"/>
    <col min="7943" max="7943" width="13.42578125" style="6" customWidth="1"/>
    <col min="7944" max="8188" width="9.140625" style="6"/>
    <col min="8189" max="8189" width="18.28515625" style="6" customWidth="1"/>
    <col min="8190" max="8190" width="13.5703125" style="6" customWidth="1"/>
    <col min="8191" max="8191" width="15.140625" style="6" customWidth="1"/>
    <col min="8192" max="8192" width="12.85546875" style="6" customWidth="1"/>
    <col min="8193" max="8193" width="12.28515625" style="6" customWidth="1"/>
    <col min="8194" max="8194" width="12.42578125" style="6" customWidth="1"/>
    <col min="8195" max="8195" width="11.7109375" style="6" customWidth="1"/>
    <col min="8196" max="8198" width="14.5703125" style="6" customWidth="1"/>
    <col min="8199" max="8199" width="13.42578125" style="6" customWidth="1"/>
    <col min="8200" max="8444" width="9.140625" style="6"/>
    <col min="8445" max="8445" width="18.28515625" style="6" customWidth="1"/>
    <col min="8446" max="8446" width="13.5703125" style="6" customWidth="1"/>
    <col min="8447" max="8447" width="15.140625" style="6" customWidth="1"/>
    <col min="8448" max="8448" width="12.85546875" style="6" customWidth="1"/>
    <col min="8449" max="8449" width="12.28515625" style="6" customWidth="1"/>
    <col min="8450" max="8450" width="12.42578125" style="6" customWidth="1"/>
    <col min="8451" max="8451" width="11.7109375" style="6" customWidth="1"/>
    <col min="8452" max="8454" width="14.5703125" style="6" customWidth="1"/>
    <col min="8455" max="8455" width="13.42578125" style="6" customWidth="1"/>
    <col min="8456" max="8700" width="9.140625" style="6"/>
    <col min="8701" max="8701" width="18.28515625" style="6" customWidth="1"/>
    <col min="8702" max="8702" width="13.5703125" style="6" customWidth="1"/>
    <col min="8703" max="8703" width="15.140625" style="6" customWidth="1"/>
    <col min="8704" max="8704" width="12.85546875" style="6" customWidth="1"/>
    <col min="8705" max="8705" width="12.28515625" style="6" customWidth="1"/>
    <col min="8706" max="8706" width="12.42578125" style="6" customWidth="1"/>
    <col min="8707" max="8707" width="11.7109375" style="6" customWidth="1"/>
    <col min="8708" max="8710" width="14.5703125" style="6" customWidth="1"/>
    <col min="8711" max="8711" width="13.42578125" style="6" customWidth="1"/>
    <col min="8712" max="8956" width="9.140625" style="6"/>
    <col min="8957" max="8957" width="18.28515625" style="6" customWidth="1"/>
    <col min="8958" max="8958" width="13.5703125" style="6" customWidth="1"/>
    <col min="8959" max="8959" width="15.140625" style="6" customWidth="1"/>
    <col min="8960" max="8960" width="12.85546875" style="6" customWidth="1"/>
    <col min="8961" max="8961" width="12.28515625" style="6" customWidth="1"/>
    <col min="8962" max="8962" width="12.42578125" style="6" customWidth="1"/>
    <col min="8963" max="8963" width="11.7109375" style="6" customWidth="1"/>
    <col min="8964" max="8966" width="14.5703125" style="6" customWidth="1"/>
    <col min="8967" max="8967" width="13.42578125" style="6" customWidth="1"/>
    <col min="8968" max="9212" width="9.140625" style="6"/>
    <col min="9213" max="9213" width="18.28515625" style="6" customWidth="1"/>
    <col min="9214" max="9214" width="13.5703125" style="6" customWidth="1"/>
    <col min="9215" max="9215" width="15.140625" style="6" customWidth="1"/>
    <col min="9216" max="9216" width="12.85546875" style="6" customWidth="1"/>
    <col min="9217" max="9217" width="12.28515625" style="6" customWidth="1"/>
    <col min="9218" max="9218" width="12.42578125" style="6" customWidth="1"/>
    <col min="9219" max="9219" width="11.7109375" style="6" customWidth="1"/>
    <col min="9220" max="9222" width="14.5703125" style="6" customWidth="1"/>
    <col min="9223" max="9223" width="13.42578125" style="6" customWidth="1"/>
    <col min="9224" max="9468" width="9.140625" style="6"/>
    <col min="9469" max="9469" width="18.28515625" style="6" customWidth="1"/>
    <col min="9470" max="9470" width="13.5703125" style="6" customWidth="1"/>
    <col min="9471" max="9471" width="15.140625" style="6" customWidth="1"/>
    <col min="9472" max="9472" width="12.85546875" style="6" customWidth="1"/>
    <col min="9473" max="9473" width="12.28515625" style="6" customWidth="1"/>
    <col min="9474" max="9474" width="12.42578125" style="6" customWidth="1"/>
    <col min="9475" max="9475" width="11.7109375" style="6" customWidth="1"/>
    <col min="9476" max="9478" width="14.5703125" style="6" customWidth="1"/>
    <col min="9479" max="9479" width="13.42578125" style="6" customWidth="1"/>
    <col min="9480" max="9724" width="9.140625" style="6"/>
    <col min="9725" max="9725" width="18.28515625" style="6" customWidth="1"/>
    <col min="9726" max="9726" width="13.5703125" style="6" customWidth="1"/>
    <col min="9727" max="9727" width="15.140625" style="6" customWidth="1"/>
    <col min="9728" max="9728" width="12.85546875" style="6" customWidth="1"/>
    <col min="9729" max="9729" width="12.28515625" style="6" customWidth="1"/>
    <col min="9730" max="9730" width="12.42578125" style="6" customWidth="1"/>
    <col min="9731" max="9731" width="11.7109375" style="6" customWidth="1"/>
    <col min="9732" max="9734" width="14.5703125" style="6" customWidth="1"/>
    <col min="9735" max="9735" width="13.42578125" style="6" customWidth="1"/>
    <col min="9736" max="9980" width="9.140625" style="6"/>
    <col min="9981" max="9981" width="18.28515625" style="6" customWidth="1"/>
    <col min="9982" max="9982" width="13.5703125" style="6" customWidth="1"/>
    <col min="9983" max="9983" width="15.140625" style="6" customWidth="1"/>
    <col min="9984" max="9984" width="12.85546875" style="6" customWidth="1"/>
    <col min="9985" max="9985" width="12.28515625" style="6" customWidth="1"/>
    <col min="9986" max="9986" width="12.42578125" style="6" customWidth="1"/>
    <col min="9987" max="9987" width="11.7109375" style="6" customWidth="1"/>
    <col min="9988" max="9990" width="14.5703125" style="6" customWidth="1"/>
    <col min="9991" max="9991" width="13.42578125" style="6" customWidth="1"/>
    <col min="9992" max="10236" width="9.140625" style="6"/>
    <col min="10237" max="10237" width="18.28515625" style="6" customWidth="1"/>
    <col min="10238" max="10238" width="13.5703125" style="6" customWidth="1"/>
    <col min="10239" max="10239" width="15.140625" style="6" customWidth="1"/>
    <col min="10240" max="10240" width="12.85546875" style="6" customWidth="1"/>
    <col min="10241" max="10241" width="12.28515625" style="6" customWidth="1"/>
    <col min="10242" max="10242" width="12.42578125" style="6" customWidth="1"/>
    <col min="10243" max="10243" width="11.7109375" style="6" customWidth="1"/>
    <col min="10244" max="10246" width="14.5703125" style="6" customWidth="1"/>
    <col min="10247" max="10247" width="13.42578125" style="6" customWidth="1"/>
    <col min="10248" max="10492" width="9.140625" style="6"/>
    <col min="10493" max="10493" width="18.28515625" style="6" customWidth="1"/>
    <col min="10494" max="10494" width="13.5703125" style="6" customWidth="1"/>
    <col min="10495" max="10495" width="15.140625" style="6" customWidth="1"/>
    <col min="10496" max="10496" width="12.85546875" style="6" customWidth="1"/>
    <col min="10497" max="10497" width="12.28515625" style="6" customWidth="1"/>
    <col min="10498" max="10498" width="12.42578125" style="6" customWidth="1"/>
    <col min="10499" max="10499" width="11.7109375" style="6" customWidth="1"/>
    <col min="10500" max="10502" width="14.5703125" style="6" customWidth="1"/>
    <col min="10503" max="10503" width="13.42578125" style="6" customWidth="1"/>
    <col min="10504" max="10748" width="9.140625" style="6"/>
    <col min="10749" max="10749" width="18.28515625" style="6" customWidth="1"/>
    <col min="10750" max="10750" width="13.5703125" style="6" customWidth="1"/>
    <col min="10751" max="10751" width="15.140625" style="6" customWidth="1"/>
    <col min="10752" max="10752" width="12.85546875" style="6" customWidth="1"/>
    <col min="10753" max="10753" width="12.28515625" style="6" customWidth="1"/>
    <col min="10754" max="10754" width="12.42578125" style="6" customWidth="1"/>
    <col min="10755" max="10755" width="11.7109375" style="6" customWidth="1"/>
    <col min="10756" max="10758" width="14.5703125" style="6" customWidth="1"/>
    <col min="10759" max="10759" width="13.42578125" style="6" customWidth="1"/>
    <col min="10760" max="11004" width="9.140625" style="6"/>
    <col min="11005" max="11005" width="18.28515625" style="6" customWidth="1"/>
    <col min="11006" max="11006" width="13.5703125" style="6" customWidth="1"/>
    <col min="11007" max="11007" width="15.140625" style="6" customWidth="1"/>
    <col min="11008" max="11008" width="12.85546875" style="6" customWidth="1"/>
    <col min="11009" max="11009" width="12.28515625" style="6" customWidth="1"/>
    <col min="11010" max="11010" width="12.42578125" style="6" customWidth="1"/>
    <col min="11011" max="11011" width="11.7109375" style="6" customWidth="1"/>
    <col min="11012" max="11014" width="14.5703125" style="6" customWidth="1"/>
    <col min="11015" max="11015" width="13.42578125" style="6" customWidth="1"/>
    <col min="11016" max="11260" width="9.140625" style="6"/>
    <col min="11261" max="11261" width="18.28515625" style="6" customWidth="1"/>
    <col min="11262" max="11262" width="13.5703125" style="6" customWidth="1"/>
    <col min="11263" max="11263" width="15.140625" style="6" customWidth="1"/>
    <col min="11264" max="11264" width="12.85546875" style="6" customWidth="1"/>
    <col min="11265" max="11265" width="12.28515625" style="6" customWidth="1"/>
    <col min="11266" max="11266" width="12.42578125" style="6" customWidth="1"/>
    <col min="11267" max="11267" width="11.7109375" style="6" customWidth="1"/>
    <col min="11268" max="11270" width="14.5703125" style="6" customWidth="1"/>
    <col min="11271" max="11271" width="13.42578125" style="6" customWidth="1"/>
    <col min="11272" max="11516" width="9.140625" style="6"/>
    <col min="11517" max="11517" width="18.28515625" style="6" customWidth="1"/>
    <col min="11518" max="11518" width="13.5703125" style="6" customWidth="1"/>
    <col min="11519" max="11519" width="15.140625" style="6" customWidth="1"/>
    <col min="11520" max="11520" width="12.85546875" style="6" customWidth="1"/>
    <col min="11521" max="11521" width="12.28515625" style="6" customWidth="1"/>
    <col min="11522" max="11522" width="12.42578125" style="6" customWidth="1"/>
    <col min="11523" max="11523" width="11.7109375" style="6" customWidth="1"/>
    <col min="11524" max="11526" width="14.5703125" style="6" customWidth="1"/>
    <col min="11527" max="11527" width="13.42578125" style="6" customWidth="1"/>
    <col min="11528" max="11772" width="9.140625" style="6"/>
    <col min="11773" max="11773" width="18.28515625" style="6" customWidth="1"/>
    <col min="11774" max="11774" width="13.5703125" style="6" customWidth="1"/>
    <col min="11775" max="11775" width="15.140625" style="6" customWidth="1"/>
    <col min="11776" max="11776" width="12.85546875" style="6" customWidth="1"/>
    <col min="11777" max="11777" width="12.28515625" style="6" customWidth="1"/>
    <col min="11778" max="11778" width="12.42578125" style="6" customWidth="1"/>
    <col min="11779" max="11779" width="11.7109375" style="6" customWidth="1"/>
    <col min="11780" max="11782" width="14.5703125" style="6" customWidth="1"/>
    <col min="11783" max="11783" width="13.42578125" style="6" customWidth="1"/>
    <col min="11784" max="12028" width="9.140625" style="6"/>
    <col min="12029" max="12029" width="18.28515625" style="6" customWidth="1"/>
    <col min="12030" max="12030" width="13.5703125" style="6" customWidth="1"/>
    <col min="12031" max="12031" width="15.140625" style="6" customWidth="1"/>
    <col min="12032" max="12032" width="12.85546875" style="6" customWidth="1"/>
    <col min="12033" max="12033" width="12.28515625" style="6" customWidth="1"/>
    <col min="12034" max="12034" width="12.42578125" style="6" customWidth="1"/>
    <col min="12035" max="12035" width="11.7109375" style="6" customWidth="1"/>
    <col min="12036" max="12038" width="14.5703125" style="6" customWidth="1"/>
    <col min="12039" max="12039" width="13.42578125" style="6" customWidth="1"/>
    <col min="12040" max="12284" width="9.140625" style="6"/>
    <col min="12285" max="12285" width="18.28515625" style="6" customWidth="1"/>
    <col min="12286" max="12286" width="13.5703125" style="6" customWidth="1"/>
    <col min="12287" max="12287" width="15.140625" style="6" customWidth="1"/>
    <col min="12288" max="12288" width="12.85546875" style="6" customWidth="1"/>
    <col min="12289" max="12289" width="12.28515625" style="6" customWidth="1"/>
    <col min="12290" max="12290" width="12.42578125" style="6" customWidth="1"/>
    <col min="12291" max="12291" width="11.7109375" style="6" customWidth="1"/>
    <col min="12292" max="12294" width="14.5703125" style="6" customWidth="1"/>
    <col min="12295" max="12295" width="13.42578125" style="6" customWidth="1"/>
    <col min="12296" max="12540" width="9.140625" style="6"/>
    <col min="12541" max="12541" width="18.28515625" style="6" customWidth="1"/>
    <col min="12542" max="12542" width="13.5703125" style="6" customWidth="1"/>
    <col min="12543" max="12543" width="15.140625" style="6" customWidth="1"/>
    <col min="12544" max="12544" width="12.85546875" style="6" customWidth="1"/>
    <col min="12545" max="12545" width="12.28515625" style="6" customWidth="1"/>
    <col min="12546" max="12546" width="12.42578125" style="6" customWidth="1"/>
    <col min="12547" max="12547" width="11.7109375" style="6" customWidth="1"/>
    <col min="12548" max="12550" width="14.5703125" style="6" customWidth="1"/>
    <col min="12551" max="12551" width="13.42578125" style="6" customWidth="1"/>
    <col min="12552" max="12796" width="9.140625" style="6"/>
    <col min="12797" max="12797" width="18.28515625" style="6" customWidth="1"/>
    <col min="12798" max="12798" width="13.5703125" style="6" customWidth="1"/>
    <col min="12799" max="12799" width="15.140625" style="6" customWidth="1"/>
    <col min="12800" max="12800" width="12.85546875" style="6" customWidth="1"/>
    <col min="12801" max="12801" width="12.28515625" style="6" customWidth="1"/>
    <col min="12802" max="12802" width="12.42578125" style="6" customWidth="1"/>
    <col min="12803" max="12803" width="11.7109375" style="6" customWidth="1"/>
    <col min="12804" max="12806" width="14.5703125" style="6" customWidth="1"/>
    <col min="12807" max="12807" width="13.42578125" style="6" customWidth="1"/>
    <col min="12808" max="13052" width="9.140625" style="6"/>
    <col min="13053" max="13053" width="18.28515625" style="6" customWidth="1"/>
    <col min="13054" max="13054" width="13.5703125" style="6" customWidth="1"/>
    <col min="13055" max="13055" width="15.140625" style="6" customWidth="1"/>
    <col min="13056" max="13056" width="12.85546875" style="6" customWidth="1"/>
    <col min="13057" max="13057" width="12.28515625" style="6" customWidth="1"/>
    <col min="13058" max="13058" width="12.42578125" style="6" customWidth="1"/>
    <col min="13059" max="13059" width="11.7109375" style="6" customWidth="1"/>
    <col min="13060" max="13062" width="14.5703125" style="6" customWidth="1"/>
    <col min="13063" max="13063" width="13.42578125" style="6" customWidth="1"/>
    <col min="13064" max="13308" width="9.140625" style="6"/>
    <col min="13309" max="13309" width="18.28515625" style="6" customWidth="1"/>
    <col min="13310" max="13310" width="13.5703125" style="6" customWidth="1"/>
    <col min="13311" max="13311" width="15.140625" style="6" customWidth="1"/>
    <col min="13312" max="13312" width="12.85546875" style="6" customWidth="1"/>
    <col min="13313" max="13313" width="12.28515625" style="6" customWidth="1"/>
    <col min="13314" max="13314" width="12.42578125" style="6" customWidth="1"/>
    <col min="13315" max="13315" width="11.7109375" style="6" customWidth="1"/>
    <col min="13316" max="13318" width="14.5703125" style="6" customWidth="1"/>
    <col min="13319" max="13319" width="13.42578125" style="6" customWidth="1"/>
    <col min="13320" max="13564" width="9.140625" style="6"/>
    <col min="13565" max="13565" width="18.28515625" style="6" customWidth="1"/>
    <col min="13566" max="13566" width="13.5703125" style="6" customWidth="1"/>
    <col min="13567" max="13567" width="15.140625" style="6" customWidth="1"/>
    <col min="13568" max="13568" width="12.85546875" style="6" customWidth="1"/>
    <col min="13569" max="13569" width="12.28515625" style="6" customWidth="1"/>
    <col min="13570" max="13570" width="12.42578125" style="6" customWidth="1"/>
    <col min="13571" max="13571" width="11.7109375" style="6" customWidth="1"/>
    <col min="13572" max="13574" width="14.5703125" style="6" customWidth="1"/>
    <col min="13575" max="13575" width="13.42578125" style="6" customWidth="1"/>
    <col min="13576" max="13820" width="9.140625" style="6"/>
    <col min="13821" max="13821" width="18.28515625" style="6" customWidth="1"/>
    <col min="13822" max="13822" width="13.5703125" style="6" customWidth="1"/>
    <col min="13823" max="13823" width="15.140625" style="6" customWidth="1"/>
    <col min="13824" max="13824" width="12.85546875" style="6" customWidth="1"/>
    <col min="13825" max="13825" width="12.28515625" style="6" customWidth="1"/>
    <col min="13826" max="13826" width="12.42578125" style="6" customWidth="1"/>
    <col min="13827" max="13827" width="11.7109375" style="6" customWidth="1"/>
    <col min="13828" max="13830" width="14.5703125" style="6" customWidth="1"/>
    <col min="13831" max="13831" width="13.42578125" style="6" customWidth="1"/>
    <col min="13832" max="14076" width="9.140625" style="6"/>
    <col min="14077" max="14077" width="18.28515625" style="6" customWidth="1"/>
    <col min="14078" max="14078" width="13.5703125" style="6" customWidth="1"/>
    <col min="14079" max="14079" width="15.140625" style="6" customWidth="1"/>
    <col min="14080" max="14080" width="12.85546875" style="6" customWidth="1"/>
    <col min="14081" max="14081" width="12.28515625" style="6" customWidth="1"/>
    <col min="14082" max="14082" width="12.42578125" style="6" customWidth="1"/>
    <col min="14083" max="14083" width="11.7109375" style="6" customWidth="1"/>
    <col min="14084" max="14086" width="14.5703125" style="6" customWidth="1"/>
    <col min="14087" max="14087" width="13.42578125" style="6" customWidth="1"/>
    <col min="14088" max="14332" width="9.140625" style="6"/>
    <col min="14333" max="14333" width="18.28515625" style="6" customWidth="1"/>
    <col min="14334" max="14334" width="13.5703125" style="6" customWidth="1"/>
    <col min="14335" max="14335" width="15.140625" style="6" customWidth="1"/>
    <col min="14336" max="14336" width="12.85546875" style="6" customWidth="1"/>
    <col min="14337" max="14337" width="12.28515625" style="6" customWidth="1"/>
    <col min="14338" max="14338" width="12.42578125" style="6" customWidth="1"/>
    <col min="14339" max="14339" width="11.7109375" style="6" customWidth="1"/>
    <col min="14340" max="14342" width="14.5703125" style="6" customWidth="1"/>
    <col min="14343" max="14343" width="13.42578125" style="6" customWidth="1"/>
    <col min="14344" max="14588" width="9.140625" style="6"/>
    <col min="14589" max="14589" width="18.28515625" style="6" customWidth="1"/>
    <col min="14590" max="14590" width="13.5703125" style="6" customWidth="1"/>
    <col min="14591" max="14591" width="15.140625" style="6" customWidth="1"/>
    <col min="14592" max="14592" width="12.85546875" style="6" customWidth="1"/>
    <col min="14593" max="14593" width="12.28515625" style="6" customWidth="1"/>
    <col min="14594" max="14594" width="12.42578125" style="6" customWidth="1"/>
    <col min="14595" max="14595" width="11.7109375" style="6" customWidth="1"/>
    <col min="14596" max="14598" width="14.5703125" style="6" customWidth="1"/>
    <col min="14599" max="14599" width="13.42578125" style="6" customWidth="1"/>
    <col min="14600" max="14844" width="9.140625" style="6"/>
    <col min="14845" max="14845" width="18.28515625" style="6" customWidth="1"/>
    <col min="14846" max="14846" width="13.5703125" style="6" customWidth="1"/>
    <col min="14847" max="14847" width="15.140625" style="6" customWidth="1"/>
    <col min="14848" max="14848" width="12.85546875" style="6" customWidth="1"/>
    <col min="14849" max="14849" width="12.28515625" style="6" customWidth="1"/>
    <col min="14850" max="14850" width="12.42578125" style="6" customWidth="1"/>
    <col min="14851" max="14851" width="11.7109375" style="6" customWidth="1"/>
    <col min="14852" max="14854" width="14.5703125" style="6" customWidth="1"/>
    <col min="14855" max="14855" width="13.42578125" style="6" customWidth="1"/>
    <col min="14856" max="15100" width="9.140625" style="6"/>
    <col min="15101" max="15101" width="18.28515625" style="6" customWidth="1"/>
    <col min="15102" max="15102" width="13.5703125" style="6" customWidth="1"/>
    <col min="15103" max="15103" width="15.140625" style="6" customWidth="1"/>
    <col min="15104" max="15104" width="12.85546875" style="6" customWidth="1"/>
    <col min="15105" max="15105" width="12.28515625" style="6" customWidth="1"/>
    <col min="15106" max="15106" width="12.42578125" style="6" customWidth="1"/>
    <col min="15107" max="15107" width="11.7109375" style="6" customWidth="1"/>
    <col min="15108" max="15110" width="14.5703125" style="6" customWidth="1"/>
    <col min="15111" max="15111" width="13.42578125" style="6" customWidth="1"/>
    <col min="15112" max="15356" width="9.140625" style="6"/>
    <col min="15357" max="15357" width="18.28515625" style="6" customWidth="1"/>
    <col min="15358" max="15358" width="13.5703125" style="6" customWidth="1"/>
    <col min="15359" max="15359" width="15.140625" style="6" customWidth="1"/>
    <col min="15360" max="15360" width="12.85546875" style="6" customWidth="1"/>
    <col min="15361" max="15361" width="12.28515625" style="6" customWidth="1"/>
    <col min="15362" max="15362" width="12.42578125" style="6" customWidth="1"/>
    <col min="15363" max="15363" width="11.7109375" style="6" customWidth="1"/>
    <col min="15364" max="15366" width="14.5703125" style="6" customWidth="1"/>
    <col min="15367" max="15367" width="13.42578125" style="6" customWidth="1"/>
    <col min="15368" max="15612" width="9.140625" style="6"/>
    <col min="15613" max="15613" width="18.28515625" style="6" customWidth="1"/>
    <col min="15614" max="15614" width="13.5703125" style="6" customWidth="1"/>
    <col min="15615" max="15615" width="15.140625" style="6" customWidth="1"/>
    <col min="15616" max="15616" width="12.85546875" style="6" customWidth="1"/>
    <col min="15617" max="15617" width="12.28515625" style="6" customWidth="1"/>
    <col min="15618" max="15618" width="12.42578125" style="6" customWidth="1"/>
    <col min="15619" max="15619" width="11.7109375" style="6" customWidth="1"/>
    <col min="15620" max="15622" width="14.5703125" style="6" customWidth="1"/>
    <col min="15623" max="15623" width="13.42578125" style="6" customWidth="1"/>
    <col min="15624" max="15868" width="9.140625" style="6"/>
    <col min="15869" max="15869" width="18.28515625" style="6" customWidth="1"/>
    <col min="15870" max="15870" width="13.5703125" style="6" customWidth="1"/>
    <col min="15871" max="15871" width="15.140625" style="6" customWidth="1"/>
    <col min="15872" max="15872" width="12.85546875" style="6" customWidth="1"/>
    <col min="15873" max="15873" width="12.28515625" style="6" customWidth="1"/>
    <col min="15874" max="15874" width="12.42578125" style="6" customWidth="1"/>
    <col min="15875" max="15875" width="11.7109375" style="6" customWidth="1"/>
    <col min="15876" max="15878" width="14.5703125" style="6" customWidth="1"/>
    <col min="15879" max="15879" width="13.42578125" style="6" customWidth="1"/>
    <col min="15880" max="16124" width="9.140625" style="6"/>
    <col min="16125" max="16125" width="18.28515625" style="6" customWidth="1"/>
    <col min="16126" max="16126" width="13.5703125" style="6" customWidth="1"/>
    <col min="16127" max="16127" width="15.140625" style="6" customWidth="1"/>
    <col min="16128" max="16128" width="12.85546875" style="6" customWidth="1"/>
    <col min="16129" max="16129" width="12.28515625" style="6" customWidth="1"/>
    <col min="16130" max="16130" width="12.42578125" style="6" customWidth="1"/>
    <col min="16131" max="16131" width="11.7109375" style="6" customWidth="1"/>
    <col min="16132" max="16134" width="14.5703125" style="6" customWidth="1"/>
    <col min="16135" max="16135" width="13.42578125" style="6" customWidth="1"/>
    <col min="16136" max="16384" width="9.140625" style="6"/>
  </cols>
  <sheetData>
    <row r="1" spans="1:10" ht="15.75">
      <c r="A1" s="208" t="str">
        <f xml:space="preserve"> "Psychological Therapies Waiting Times - Number of patients aged 65 and over seen during the month by Health Board, "&amp;TEXT(A25,"mmm yyyy")&amp;" - "&amp;TEXT(A11,"mmm yyyy")</f>
        <v>Psychological Therapies Waiting Times - Number of patients aged 65 and over seen during the month by Health Board, Apr 2020 - Jun 2021</v>
      </c>
      <c r="B1" s="209"/>
      <c r="C1" s="209"/>
      <c r="D1" s="209"/>
    </row>
    <row r="2" spans="1:10">
      <c r="A2" s="209"/>
      <c r="B2" s="209"/>
      <c r="C2" s="209"/>
      <c r="D2" s="209"/>
    </row>
    <row r="3" spans="1:10">
      <c r="A3" s="456" t="s">
        <v>454</v>
      </c>
      <c r="B3" s="457"/>
      <c r="C3" s="457"/>
      <c r="D3" s="457"/>
      <c r="E3" s="65"/>
      <c r="F3" s="65"/>
      <c r="G3" s="65"/>
    </row>
    <row r="4" spans="1:10">
      <c r="A4" s="66" t="str">
        <f>"Number of patients seen during the month by Health Board, "&amp;TEXT(A25,"mmm yyyy")&amp;" - "&amp;TEXT(A11,"mmm yyyy")</f>
        <v>Number of patients seen during the month by Health Board, Apr 2020 - Jun 2021</v>
      </c>
      <c r="B4" s="65"/>
      <c r="C4" s="65"/>
      <c r="D4" s="65"/>
      <c r="E4" s="65"/>
      <c r="F4" s="65"/>
      <c r="G4" s="65"/>
    </row>
    <row r="5" spans="1:10">
      <c r="A5" s="199" t="s">
        <v>453</v>
      </c>
      <c r="B5" s="65"/>
      <c r="C5" s="65"/>
      <c r="D5" s="65"/>
      <c r="E5" s="65"/>
      <c r="F5" s="65"/>
      <c r="G5" s="65"/>
    </row>
    <row r="6" spans="1:10" ht="15.75" thickBot="1">
      <c r="A6" s="458"/>
      <c r="B6" s="458"/>
      <c r="C6" s="458"/>
      <c r="D6" s="458"/>
      <c r="E6" s="67"/>
      <c r="F6" s="67"/>
      <c r="G6" s="67"/>
    </row>
    <row r="7" spans="1:10" ht="15.75" thickBot="1">
      <c r="A7" s="6" t="s">
        <v>180</v>
      </c>
      <c r="B7" s="9"/>
      <c r="C7" s="440" t="s">
        <v>28</v>
      </c>
      <c r="D7" s="441"/>
      <c r="E7" s="67"/>
      <c r="F7" s="67"/>
      <c r="G7" s="67"/>
    </row>
    <row r="8" spans="1:10">
      <c r="A8" s="220" t="s">
        <v>1301</v>
      </c>
      <c r="B8" s="33" t="s">
        <v>183</v>
      </c>
      <c r="C8" s="9"/>
      <c r="D8" s="9"/>
      <c r="E8" s="34"/>
      <c r="F8" s="34"/>
      <c r="G8" s="34"/>
      <c r="H8" s="28"/>
    </row>
    <row r="9" spans="1:10" ht="21.75" customHeight="1">
      <c r="A9" s="442" t="s">
        <v>31</v>
      </c>
      <c r="B9" s="444" t="s">
        <v>329</v>
      </c>
      <c r="C9" s="445" t="s">
        <v>32</v>
      </c>
      <c r="D9" s="446" t="s">
        <v>330</v>
      </c>
      <c r="E9" s="446"/>
      <c r="F9" s="449" t="s">
        <v>187</v>
      </c>
      <c r="G9" s="446"/>
      <c r="H9" s="69" t="s">
        <v>181</v>
      </c>
      <c r="I9" s="70" t="s">
        <v>182</v>
      </c>
      <c r="J9" s="67"/>
    </row>
    <row r="10" spans="1:10" ht="16.5" customHeight="1">
      <c r="A10" s="442"/>
      <c r="B10" s="444"/>
      <c r="C10" s="445"/>
      <c r="D10" s="151" t="s">
        <v>34</v>
      </c>
      <c r="E10" s="276" t="s">
        <v>362</v>
      </c>
      <c r="F10" s="164" t="s">
        <v>34</v>
      </c>
      <c r="G10" s="276" t="s">
        <v>362</v>
      </c>
      <c r="H10" s="278" t="s">
        <v>332</v>
      </c>
      <c r="I10" s="279" t="s">
        <v>332</v>
      </c>
      <c r="J10" s="67"/>
    </row>
    <row r="11" spans="1:10">
      <c r="A11" s="359">
        <f>REPORT_raw_dataseen!R1</f>
        <v>44348</v>
      </c>
      <c r="B11" s="255" t="str">
        <f>IF(VLOOKUP($C$7,'Type of adjust'!$A$1:$P$18,MATCH($A11,'Type of adjust'!$A$1:$P$1,1),FALSE)="", "..", VLOOKUP($C$7,'Type of adjust'!$A$1:$P$18,MATCH($A11,'Type of adjust'!$A$1:$P$1,1),FALSE))</f>
        <v>..</v>
      </c>
      <c r="C11" s="260">
        <f>IF(VLOOKUP($C$7&amp;"Adjusted seen over_65"&amp;$C$9,REPORT_raw_dataseen!$A$1:$R$817,MATCH($A11,REPORT_raw_dataseen!$D$1:$R$1,1)+3, FALSE)=0,"-",IF(VLOOKUP($C$7&amp;"Adjusted seen over_65"&amp;$C$9,REPORT_raw_dataseen!$A$1:$R$817,MATCH($A11,REPORT_raw_dataseen!$D$1:$R$1,1)+3, FALSE)&lt;12,"*",VLOOKUP($C$7&amp;"Adjusted seen over_65"&amp;$C$9,REPORT_raw_dataseen!$A$1:$R$817,MATCH($A11,REPORT_raw_dataseen!$D$1:$R$1,1)+3, FALSE)))</f>
        <v>461</v>
      </c>
      <c r="D11" s="260">
        <f>IF(C11="*","*",IF(VLOOKUP($C$7&amp;"Adjusted seen over_65"&amp;$D$10,REPORT_raw_dataseen!$A$1:$R$817,MATCH($A11,REPORT_raw_dataseen!$D$1:$R$1,1)+3, FALSE)=0,"-",VLOOKUP($C$7&amp;"Adjusted seen over_65"&amp;$D$10,REPORT_raw_dataseen!$A$1:$R$817,MATCH($A11,REPORT_raw_dataseen!$D$1:$R$1,1)+3, FALSE)))</f>
        <v>392</v>
      </c>
      <c r="E11" s="260">
        <f>IF(C11="*","*",IF(D11="-",C11, IF((C11-D11)=0, "-",C11-D11)))</f>
        <v>69</v>
      </c>
      <c r="F11" s="263">
        <f>'3c (2)'!F11</f>
        <v>85.03</v>
      </c>
      <c r="G11" s="263">
        <f>'3c (2)'!G11</f>
        <v>14.97</v>
      </c>
      <c r="H11" s="288">
        <f>IF(C11="-","-",VLOOKUP($C$7&amp;"Adjusted seen over_65median",REPORT_raw_dataseen!$A$1:$R$817,MATCH($A11,REPORT_raw_dataseen!$D$1:$R$1,1)+3,FALSE))</f>
        <v>4</v>
      </c>
      <c r="I11" s="280">
        <f>IF(C11="-","-",VLOOKUP($C$7&amp;"Adjusted seen over_6590percent",REPORT_raw_dataseen!$A$1:$R$817,MATCH($A11,REPORT_raw_dataseen!$D$1:$R$1,1)+3,FALSE))</f>
        <v>26</v>
      </c>
      <c r="J11" s="75"/>
    </row>
    <row r="12" spans="1:10">
      <c r="A12" s="360">
        <f>DATE(YEAR(A11),MONTH(A11)-1,DAY(A11))</f>
        <v>44317</v>
      </c>
      <c r="B12" s="256" t="str">
        <f>IF(VLOOKUP($C$7,'Type of adjust'!$A$1:$P$18,MATCH($A12,'Type of adjust'!$A$1:$P$1,1),FALSE)="", "..", VLOOKUP($C$7,'Type of adjust'!$A$1:$P$18,MATCH($A12,'Type of adjust'!$A$1:$P$1,1),FALSE))</f>
        <v>..</v>
      </c>
      <c r="C12" s="261">
        <f>IF(VLOOKUP($C$7&amp;"Adjusted seen over_65"&amp;$C$9,REPORT_raw_dataseen!$A$1:$R$817,MATCH($A12,REPORT_raw_dataseen!$D$1:$R$1,1)+3, FALSE)=0,"-",IF(VLOOKUP($C$7&amp;"Adjusted seen over_65"&amp;$C$9,REPORT_raw_dataseen!$A$1:$R$817,MATCH($A12,REPORT_raw_dataseen!$D$1:$R$1,1)+3, FALSE)&lt;5,"*",VLOOKUP($C$7&amp;"Adjusted seen over_65"&amp;$C$9,REPORT_raw_dataseen!$A$1:$R$817,MATCH($A12,REPORT_raw_dataseen!$D$1:$R$1,1)+3, FALSE)))</f>
        <v>389</v>
      </c>
      <c r="D12" s="261">
        <f>IF(C12="*","*",IF(VLOOKUP($C$7&amp;"Adjusted seen over_65"&amp;$D$10,REPORT_raw_dataseen!$A$1:$R$817,MATCH($A12,REPORT_raw_dataseen!$D$1:$R$1,1)+3, FALSE)=0,"-",VLOOKUP($C$7&amp;"Adjusted seen over_65"&amp;$D$10,REPORT_raw_dataseen!$A$1:$R$817,MATCH($A12,REPORT_raw_dataseen!$D$1:$R$1,1)+3, FALSE)))</f>
        <v>342</v>
      </c>
      <c r="E12" s="261">
        <f>IF(C12="..", "..",IF(C12="*","*",IF(D12="-",C12, IF((C12-D12)=0, "-",C12-D12))))</f>
        <v>47</v>
      </c>
      <c r="F12" s="264">
        <f>'3c (2)'!F12</f>
        <v>87.92</v>
      </c>
      <c r="G12" s="264">
        <f>'3c (2)'!G12</f>
        <v>12.08</v>
      </c>
      <c r="H12" s="229">
        <f>IF(C12="-","-",VLOOKUP($C$7&amp;"Adjusted seen over_65median",REPORT_raw_dataseen!$A$1:$R$817,MATCH($A12,REPORT_raw_dataseen!$D$1:$R$1,1)+3,FALSE))</f>
        <v>4</v>
      </c>
      <c r="I12" s="281">
        <f>IF(C12="-","-",VLOOKUP($C$7&amp;"Adjusted seen over_6590percent",REPORT_raw_dataseen!$A$1:$R$817,MATCH($A12,REPORT_raw_dataseen!$D$1:$R$1,1)+3,FALSE))</f>
        <v>20</v>
      </c>
      <c r="J12" s="75"/>
    </row>
    <row r="13" spans="1:10">
      <c r="A13" s="360">
        <f>DATE(YEAR(A12),MONTH(A12)-1,DAY(A12))</f>
        <v>44287</v>
      </c>
      <c r="B13" s="256" t="str">
        <f>IF(VLOOKUP($C$7,'Type of adjust'!$A$1:$P$18,MATCH($A13,'Type of adjust'!$A$1:$P$1,1),FALSE)="", "..", VLOOKUP($C$7,'Type of adjust'!$A$1:$P$18,MATCH($A13,'Type of adjust'!$A$1:$P$1,1),FALSE))</f>
        <v>..</v>
      </c>
      <c r="C13" s="261">
        <f>IF(VLOOKUP($C$7&amp;"Adjusted seen over_65"&amp;$C$9,REPORT_raw_dataseen!$A$1:$R$817,MATCH($A13,REPORT_raw_dataseen!$D$1:$R$1,1)+3, FALSE)=0,"-",IF(VLOOKUP($C$7&amp;"Adjusted seen over_65"&amp;$C$9,REPORT_raw_dataseen!$A$1:$R$817,MATCH($A13,REPORT_raw_dataseen!$D$1:$R$1,1)+3, FALSE)&lt;11,"*",VLOOKUP($C$7&amp;"Adjusted seen over_65"&amp;$C$9,REPORT_raw_dataseen!$A$1:$R$817,MATCH($A13,REPORT_raw_dataseen!$D$1:$R$1,1)+3, FALSE)))</f>
        <v>326</v>
      </c>
      <c r="D13" s="261">
        <f>IF(C13="*","*",IF(VLOOKUP($C$7&amp;"Adjusted seen over_65"&amp;$D$10,REPORT_raw_dataseen!$A$1:$R$817,MATCH($A13,REPORT_raw_dataseen!$D$1:$R$1,1)+3, FALSE)=0,"-",VLOOKUP($C$7&amp;"Adjusted seen over_65"&amp;$D$10,REPORT_raw_dataseen!$A$1:$R$817,MATCH($A13,REPORT_raw_dataseen!$D$1:$R$1,1)+3, FALSE)))</f>
        <v>281</v>
      </c>
      <c r="E13" s="261">
        <f>IF(C13="*","*",IF(C13="..", "..",IF(D13="-",C13, IF((C13-D13)=0, "-",C13-D13))))</f>
        <v>45</v>
      </c>
      <c r="F13" s="264">
        <f>'3c (2)'!F13</f>
        <v>86.2</v>
      </c>
      <c r="G13" s="264">
        <f>'3c (2)'!G13</f>
        <v>13.8</v>
      </c>
      <c r="H13" s="229">
        <f>IF(C13="-","-",VLOOKUP($C$7&amp;"Adjusted seen over_65median",REPORT_raw_dataseen!$A$1:$R$817,MATCH($A13,REPORT_raw_dataseen!$D$1:$R$1,1)+3,FALSE))</f>
        <v>3</v>
      </c>
      <c r="I13" s="281">
        <f>IF(C13="-","-",VLOOKUP($C$7&amp;"Adjusted seen over_6590percent",REPORT_raw_dataseen!$A$1:$R$817,MATCH($A13,REPORT_raw_dataseen!$D$1:$R$1,1)+3,FALSE))</f>
        <v>21</v>
      </c>
      <c r="J13" s="75"/>
    </row>
    <row r="14" spans="1:10">
      <c r="A14" s="360">
        <f>DATE(YEAR(A13),MONTH(A13)-1,DAY(A13))</f>
        <v>44256</v>
      </c>
      <c r="B14" s="256" t="str">
        <f>IF(VLOOKUP($C$7,'Type of adjust'!$A$1:$P$18,MATCH($A14,'Type of adjust'!$A$1:$P$1,1),FALSE)="", "..", VLOOKUP($C$7,'Type of adjust'!$A$1:$P$18,MATCH($A14,'Type of adjust'!$A$1:$P$1,1),FALSE))</f>
        <v>..</v>
      </c>
      <c r="C14" s="261">
        <f>IF(VLOOKUP($C$7&amp;"Adjusted seen over_65"&amp;$C$9,REPORT_raw_dataseen!$A$1:$R$817,MATCH($A14,REPORT_raw_dataseen!$D$1:$R$1,1)+3, FALSE)=0,"-",IF(VLOOKUP($C$7&amp;"Adjusted seen over_65"&amp;$C$9,REPORT_raw_dataseen!$A$1:$R$817,MATCH($A14,REPORT_raw_dataseen!$D$1:$R$1,1)+3, FALSE)&lt;5,"*",VLOOKUP($C$7&amp;"Adjusted seen over_65"&amp;$C$9,REPORT_raw_dataseen!$A$1:$R$817,MATCH($A14,REPORT_raw_dataseen!$D$1:$R$1,1)+3, FALSE)))</f>
        <v>323</v>
      </c>
      <c r="D14" s="261">
        <f>IF(C14="*","*",IF(VLOOKUP($C$7&amp;"Adjusted seen over_65"&amp;$D$10,REPORT_raw_dataseen!$A$1:$R$817,MATCH($A14,REPORT_raw_dataseen!$D$1:$R$1,1)+3, FALSE)=0,"-",VLOOKUP($C$7&amp;"Adjusted seen over_65"&amp;$D$10,REPORT_raw_dataseen!$A$1:$R$817,MATCH($A14,REPORT_raw_dataseen!$D$1:$R$1,1)+3, FALSE)))</f>
        <v>282</v>
      </c>
      <c r="E14" s="261">
        <f t="shared" ref="E14:E25" si="0">IF(C14="*","*",IF(D14="-",C14, IF((C14-D14)=0, "-",C14-D14)))</f>
        <v>41</v>
      </c>
      <c r="F14" s="264">
        <f>'3c (2)'!F14</f>
        <v>87.31</v>
      </c>
      <c r="G14" s="264">
        <f>'3c (2)'!G14</f>
        <v>12.69</v>
      </c>
      <c r="H14" s="229">
        <f>IF(C14="-","-",VLOOKUP($C$7&amp;"Adjusted seen over_65median",REPORT_raw_dataseen!$A$1:$R$817,MATCH($A14,REPORT_raw_dataseen!$D$1:$R$1,1)+3,FALSE))</f>
        <v>3</v>
      </c>
      <c r="I14" s="281">
        <f>IF(C14="-","-",VLOOKUP($C$7&amp;"Adjusted seen over_6590percent",REPORT_raw_dataseen!$A$1:$R$817,MATCH($A14,REPORT_raw_dataseen!$D$1:$R$1,1)+3,FALSE))</f>
        <v>21</v>
      </c>
      <c r="J14" s="75"/>
    </row>
    <row r="15" spans="1:10">
      <c r="A15" s="360">
        <f>DATE(YEAR(A14),MONTH(A14)-1,DAY(A14))</f>
        <v>44228</v>
      </c>
      <c r="B15" s="256" t="str">
        <f>IF(VLOOKUP($C$7,'Type of adjust'!$A$1:$P$18,MATCH($A15,'Type of adjust'!$A$1:$P$1,1),FALSE)="", "..", VLOOKUP($C$7,'Type of adjust'!$A$1:$P$18,MATCH($A15,'Type of adjust'!$A$1:$P$1,1),FALSE))</f>
        <v>..</v>
      </c>
      <c r="C15" s="261">
        <f>IF(VLOOKUP($C$7&amp;"Adjusted seen over_65"&amp;$C$9,REPORT_raw_dataseen!$A$1:$R$817,MATCH($A15,REPORT_raw_dataseen!$D$1:$R$1,1)+3, FALSE)=0,"-",IF(VLOOKUP($C$7&amp;"Adjusted seen over_65"&amp;$C$9,REPORT_raw_dataseen!$A$1:$R$817,MATCH($A15,REPORT_raw_dataseen!$D$1:$R$1,1)+3, FALSE)&lt;5,"*",VLOOKUP($C$7&amp;"Adjusted seen over_65"&amp;$C$9,REPORT_raw_dataseen!$A$1:$R$817,MATCH($A15,REPORT_raw_dataseen!$D$1:$R$1,1)+3, FALSE)))</f>
        <v>274</v>
      </c>
      <c r="D15" s="261">
        <f>IF(C15="*","*",IF(VLOOKUP($C$7&amp;"Adjusted seen over_65"&amp;$D$10,REPORT_raw_dataseen!$A$1:$R$817,MATCH($A15,REPORT_raw_dataseen!$D$1:$R$1,1)+3, FALSE)=0,"-",VLOOKUP($C$7&amp;"Adjusted seen over_65"&amp;$D$10,REPORT_raw_dataseen!$A$1:$R$817,MATCH($A15,REPORT_raw_dataseen!$D$1:$R$1,1)+3, FALSE)))</f>
        <v>234</v>
      </c>
      <c r="E15" s="261">
        <f t="shared" si="0"/>
        <v>40</v>
      </c>
      <c r="F15" s="264">
        <f>'3c (2)'!F15</f>
        <v>85.4</v>
      </c>
      <c r="G15" s="264">
        <f>'3c (2)'!G15</f>
        <v>14.6</v>
      </c>
      <c r="H15" s="229">
        <f>IF(C15="-","-",VLOOKUP($C$7&amp;"Adjusted seen over_65median",REPORT_raw_dataseen!$A$1:$R$817,MATCH($A15,REPORT_raw_dataseen!$D$1:$R$1,1)+3,FALSE))</f>
        <v>3</v>
      </c>
      <c r="I15" s="281">
        <f>IF(C15="-","-",VLOOKUP($C$7&amp;"Adjusted seen over_6590percent",REPORT_raw_dataseen!$A$1:$R$817,MATCH($A15,REPORT_raw_dataseen!$D$1:$R$1,1)+3,FALSE))</f>
        <v>26</v>
      </c>
      <c r="J15" s="75"/>
    </row>
    <row r="16" spans="1:10">
      <c r="A16" s="360">
        <f>DATE(YEAR(A15),MONTH(A15)-1,DAY(A15))</f>
        <v>44197</v>
      </c>
      <c r="B16" s="256" t="str">
        <f>IF(VLOOKUP($C$7,'Type of adjust'!$A$1:$P$18,MATCH($A16,'Type of adjust'!$A$1:$P$1,1),FALSE)="", "..", VLOOKUP($C$7,'Type of adjust'!$A$1:$P$18,MATCH($A16,'Type of adjust'!$A$1:$P$1,1),FALSE))</f>
        <v>..</v>
      </c>
      <c r="C16" s="261">
        <f>IF(VLOOKUP($C$7&amp;"Adjusted seen over_65"&amp;$C$9,REPORT_raw_dataseen!$A$1:$R$817,MATCH($A16,REPORT_raw_dataseen!$D$1:$R$1,1)+3, FALSE)=0,"-",IF(VLOOKUP($C$7&amp;"Adjusted seen over_65"&amp;$C$9,REPORT_raw_dataseen!$A$1:$R$817,MATCH($A16,REPORT_raw_dataseen!$D$1:$R$1,1)+3, FALSE)&lt;5,"*",VLOOKUP($C$7&amp;"Adjusted seen over_65"&amp;$C$9,REPORT_raw_dataseen!$A$1:$R$817,MATCH($A16,REPORT_raw_dataseen!$D$1:$R$1,1)+3, FALSE)))</f>
        <v>317</v>
      </c>
      <c r="D16" s="261">
        <f>IF(C16="*","*",IF(VLOOKUP($C$7&amp;"Adjusted seen over_65"&amp;$D$10,REPORT_raw_dataseen!$A$1:$R$817,MATCH($A16,REPORT_raw_dataseen!$D$1:$R$1,1)+3, FALSE)=0,"-",VLOOKUP($C$7&amp;"Adjusted seen over_65"&amp;$D$10,REPORT_raw_dataseen!$A$1:$R$817,MATCH($A16,REPORT_raw_dataseen!$D$1:$R$1,1)+3, FALSE)))</f>
        <v>263</v>
      </c>
      <c r="E16" s="261">
        <f>IF(C16="..", "..",IF(C16="*","*",IF(D16="-",C16, IF((C16-D16)=0, "-",C16-D16))))</f>
        <v>54</v>
      </c>
      <c r="F16" s="264">
        <f>'3c (2)'!F16</f>
        <v>82.97</v>
      </c>
      <c r="G16" s="264">
        <f>'3c (2)'!G16</f>
        <v>17.03</v>
      </c>
      <c r="H16" s="229">
        <f>IF(C16="-","-",VLOOKUP($C$7&amp;"Adjusted seen over_65median",REPORT_raw_dataseen!$A$1:$R$817,MATCH($A16,REPORT_raw_dataseen!$D$1:$R$1,1)+3,FALSE))</f>
        <v>5</v>
      </c>
      <c r="I16" s="281">
        <f>IF(C16="-","-",VLOOKUP($C$7&amp;"Adjusted seen over_6590percent",REPORT_raw_dataseen!$A$1:$R$817,MATCH($A16,REPORT_raw_dataseen!$D$1:$R$1,1)+3,FALSE))</f>
        <v>40</v>
      </c>
      <c r="J16" s="75"/>
    </row>
    <row r="17" spans="1:10">
      <c r="A17" s="360">
        <f t="shared" ref="A17:A25" si="1">DATE(YEAR(A16),MONTH(A16)-1,DAY(A16))</f>
        <v>44166</v>
      </c>
      <c r="B17" s="256" t="str">
        <f>IF(VLOOKUP($C$7,'Type of adjust'!$A$1:$P$18,MATCH($A17,'Type of adjust'!$A$1:$P$1,1),FALSE)="", "..", VLOOKUP($C$7,'Type of adjust'!$A$1:$P$18,MATCH($A17,'Type of adjust'!$A$1:$P$1,1),FALSE))</f>
        <v>..</v>
      </c>
      <c r="C17" s="261">
        <f>IF(VLOOKUP($C$7&amp;"Adjusted seen over_65"&amp;$C$9,REPORT_raw_dataseen!$A$1:$R$817,MATCH($A17,REPORT_raw_dataseen!$D$1:$R$1,1)+3, FALSE)=0,"-",IF(VLOOKUP($C$7&amp;"Adjusted seen over_65"&amp;$C$9,REPORT_raw_dataseen!$A$1:$R$817,MATCH($A17,REPORT_raw_dataseen!$D$1:$R$1,1)+3, FALSE)&lt;9,"*",VLOOKUP($C$7&amp;"Adjusted seen over_65"&amp;$C$9,REPORT_raw_dataseen!$A$1:$R$817,MATCH($A17,REPORT_raw_dataseen!$D$1:$R$1,1)+3, FALSE)))</f>
        <v>276</v>
      </c>
      <c r="D17" s="261">
        <f>IF(C17="*","*",IF(VLOOKUP($C$7&amp;"Adjusted seen over_65"&amp;$D$10,REPORT_raw_dataseen!$A$1:$R$817,MATCH($A17,REPORT_raw_dataseen!$D$1:$R$1,1)+3, FALSE)=0,"-",VLOOKUP($C$7&amp;"Adjusted seen over_65"&amp;$D$10,REPORT_raw_dataseen!$A$1:$R$817,MATCH($A17,REPORT_raw_dataseen!$D$1:$R$1,1)+3, FALSE)))</f>
        <v>209</v>
      </c>
      <c r="E17" s="261">
        <f t="shared" si="0"/>
        <v>67</v>
      </c>
      <c r="F17" s="264">
        <f>'3c (2)'!F17</f>
        <v>75.72</v>
      </c>
      <c r="G17" s="264">
        <f>'3c (2)'!G17</f>
        <v>24.28</v>
      </c>
      <c r="H17" s="229">
        <f>IF(C17="-","-",VLOOKUP($C$7&amp;"Adjusted seen over_65median",REPORT_raw_dataseen!$A$1:$R$817,MATCH($A17,REPORT_raw_dataseen!$D$1:$R$1,1)+3,FALSE))</f>
        <v>4</v>
      </c>
      <c r="I17" s="281">
        <f>IF(C17="-","-",VLOOKUP($C$7&amp;"Adjusted seen over_6590percent",REPORT_raw_dataseen!$A$1:$R$817,MATCH($A17,REPORT_raw_dataseen!$D$1:$R$1,1)+3,FALSE))</f>
        <v>45</v>
      </c>
      <c r="J17" s="75"/>
    </row>
    <row r="18" spans="1:10">
      <c r="A18" s="360">
        <f t="shared" si="1"/>
        <v>44136</v>
      </c>
      <c r="B18" s="256" t="str">
        <f>IF(VLOOKUP($C$7,'Type of adjust'!$A$1:$P$18,MATCH($A18,'Type of adjust'!$A$1:$P$1,1),FALSE)="", "..", VLOOKUP($C$7,'Type of adjust'!$A$1:$P$18,MATCH($A18,'Type of adjust'!$A$1:$P$1,1),FALSE))</f>
        <v>..</v>
      </c>
      <c r="C18" s="261">
        <f>IF(VLOOKUP($C$7&amp;"Adjusted seen over_65"&amp;$C$9,REPORT_raw_dataseen!$A$1:$R$817,MATCH($A18,REPORT_raw_dataseen!$D$1:$R$1,1)+3, FALSE)=0,"-",IF(VLOOKUP($C$7&amp;"Adjusted seen over_65"&amp;$C$9,REPORT_raw_dataseen!$A$1:$R$817,MATCH($A18,REPORT_raw_dataseen!$D$1:$R$1,1)+3, FALSE)&lt;9,"*",VLOOKUP($C$7&amp;"Adjusted seen over_65"&amp;$C$9,REPORT_raw_dataseen!$A$1:$R$817,MATCH($A18,REPORT_raw_dataseen!$D$1:$R$1,1)+3, FALSE)))</f>
        <v>448</v>
      </c>
      <c r="D18" s="261">
        <f>IF(C18="*","*",IF(VLOOKUP($C$7&amp;"Adjusted seen over_65"&amp;$D$10,REPORT_raw_dataseen!$A$1:$R$817,MATCH($A18,REPORT_raw_dataseen!$D$1:$R$1,1)+3, FALSE)=0,"-",VLOOKUP($C$7&amp;"Adjusted seen over_65"&amp;$D$10,REPORT_raw_dataseen!$A$1:$R$817,MATCH($A18,REPORT_raw_dataseen!$D$1:$R$1,1)+3, FALSE)))</f>
        <v>331</v>
      </c>
      <c r="E18" s="261">
        <f t="shared" si="0"/>
        <v>117</v>
      </c>
      <c r="F18" s="264">
        <f>'3c (2)'!F18</f>
        <v>73.88</v>
      </c>
      <c r="G18" s="264">
        <f>'3c (2)'!G18</f>
        <v>26.12</v>
      </c>
      <c r="H18" s="229">
        <f>IF(C18="-","-",VLOOKUP($C$7&amp;"Adjusted seen over_65median",REPORT_raw_dataseen!$A$1:$R$817,MATCH($A18,REPORT_raw_dataseen!$D$1:$R$1,1)+3,FALSE))</f>
        <v>6</v>
      </c>
      <c r="I18" s="281">
        <f>IF(C18="-","-",VLOOKUP($C$7&amp;"Adjusted seen over_6590percent",REPORT_raw_dataseen!$A$1:$R$817,MATCH($A18,REPORT_raw_dataseen!$D$1:$R$1,1)+3,FALSE))</f>
        <v>47</v>
      </c>
      <c r="J18" s="75"/>
    </row>
    <row r="19" spans="1:10">
      <c r="A19" s="360">
        <f t="shared" si="1"/>
        <v>44105</v>
      </c>
      <c r="B19" s="256" t="str">
        <f>IF(VLOOKUP($C$7,'Type of adjust'!$A$1:$P$18,MATCH($A19,'Type of adjust'!$A$1:$P$1,1),FALSE)="", "..", VLOOKUP($C$7,'Type of adjust'!$A$1:$P$18,MATCH($A19,'Type of adjust'!$A$1:$P$1,1),FALSE))</f>
        <v>..</v>
      </c>
      <c r="C19" s="261">
        <f>IF(VLOOKUP($C$7&amp;"Adjusted seen over_65"&amp;$C$9,REPORT_raw_dataseen!$A$1:$R$817,MATCH($A19,REPORT_raw_dataseen!$D$1:$R$1,1)+3, FALSE)=0,"-",IF(VLOOKUP($C$7&amp;"Adjusted seen over_65"&amp;$C$9,REPORT_raw_dataseen!$A$1:$R$817,MATCH($A19,REPORT_raw_dataseen!$D$1:$R$1,1)+3, FALSE)&lt;9,"*",VLOOKUP($C$7&amp;"Adjusted seen over_65"&amp;$C$9,REPORT_raw_dataseen!$A$1:$R$817,MATCH($A19,REPORT_raw_dataseen!$D$1:$R$1,1)+3, FALSE)))</f>
        <v>241</v>
      </c>
      <c r="D19" s="261">
        <f>IF(C19="*","*",IF(VLOOKUP($C$7&amp;"Adjusted seen over_65"&amp;$D$10,REPORT_raw_dataseen!$A$1:$R$817,MATCH($A19,REPORT_raw_dataseen!$D$1:$R$1,1)+3, FALSE)=0,"-",VLOOKUP($C$7&amp;"Adjusted seen over_65"&amp;$D$10,REPORT_raw_dataseen!$A$1:$R$817,MATCH($A19,REPORT_raw_dataseen!$D$1:$R$1,1)+3, FALSE)))</f>
        <v>207</v>
      </c>
      <c r="E19" s="261">
        <f t="shared" si="0"/>
        <v>34</v>
      </c>
      <c r="F19" s="264">
        <f>'3c (2)'!F19</f>
        <v>85.89</v>
      </c>
      <c r="G19" s="264">
        <f>'3c (2)'!G19</f>
        <v>14.11</v>
      </c>
      <c r="H19" s="229">
        <f>IF(C19="-","-",VLOOKUP($C$7&amp;"Adjusted seen over_65median",REPORT_raw_dataseen!$A$1:$R$817,MATCH($A19,REPORT_raw_dataseen!$D$1:$R$1,1)+3,FALSE))</f>
        <v>2</v>
      </c>
      <c r="I19" s="281">
        <f>IF(C19="-","-",VLOOKUP($C$7&amp;"Adjusted seen over_6590percent",REPORT_raw_dataseen!$A$1:$R$817,MATCH($A19,REPORT_raw_dataseen!$D$1:$R$1,1)+3,FALSE))</f>
        <v>33</v>
      </c>
      <c r="J19" s="75"/>
    </row>
    <row r="20" spans="1:10">
      <c r="A20" s="360">
        <f t="shared" si="1"/>
        <v>44075</v>
      </c>
      <c r="B20" s="256" t="str">
        <f>IF(VLOOKUP($C$7,'Type of adjust'!$A$1:$P$18,MATCH($A20,'Type of adjust'!$A$1:$P$1,1),FALSE)="", "..", VLOOKUP($C$7,'Type of adjust'!$A$1:$P$18,MATCH($A20,'Type of adjust'!$A$1:$P$1,1),FALSE))</f>
        <v>..</v>
      </c>
      <c r="C20" s="261">
        <f>IF(VLOOKUP($C$7&amp;"Adjusted seen over_65"&amp;$C$9,REPORT_raw_dataseen!$A$1:$R$817,MATCH($A20,REPORT_raw_dataseen!$D$1:$R$1,1)+3, FALSE)=0,"-",IF(VLOOKUP($C$7&amp;"Adjusted seen over_65"&amp;$C$9,REPORT_raw_dataseen!$A$1:$R$817,MATCH($A20,REPORT_raw_dataseen!$D$1:$R$1,1)+3, FALSE)&lt;5,"*",VLOOKUP($C$7&amp;"Adjusted seen over_65"&amp;$C$9,REPORT_raw_dataseen!$A$1:$R$817,MATCH($A20,REPORT_raw_dataseen!$D$1:$R$1,1)+3, FALSE)))</f>
        <v>251</v>
      </c>
      <c r="D20" s="261">
        <f>IF(C20="*","*",IF(VLOOKUP($C$7&amp;"Adjusted seen over_65"&amp;$D$10,REPORT_raw_dataseen!$A$1:$R$817,MATCH($A20,REPORT_raw_dataseen!$D$1:$R$1,1)+3, FALSE)=0,"-",VLOOKUP($C$7&amp;"Adjusted seen over_65"&amp;$D$10,REPORT_raw_dataseen!$A$1:$R$817,MATCH($A20,REPORT_raw_dataseen!$D$1:$R$1,1)+3, FALSE)))</f>
        <v>203</v>
      </c>
      <c r="E20" s="261">
        <f t="shared" si="0"/>
        <v>48</v>
      </c>
      <c r="F20" s="264">
        <f>'3c (2)'!F20</f>
        <v>80.88</v>
      </c>
      <c r="G20" s="264">
        <f>'3c (2)'!G20</f>
        <v>19.12</v>
      </c>
      <c r="H20" s="229">
        <f>IF(C20="-","-",VLOOKUP($C$7&amp;"Adjusted seen over_65median",REPORT_raw_dataseen!$A$1:$R$817,MATCH($A20,REPORT_raw_dataseen!$D$1:$R$1,1)+3,FALSE))</f>
        <v>2</v>
      </c>
      <c r="I20" s="281">
        <f>IF(C20="-","-",VLOOKUP($C$7&amp;"Adjusted seen over_6590percent",REPORT_raw_dataseen!$A$1:$R$817,MATCH($A20,REPORT_raw_dataseen!$D$1:$R$1,1)+3,FALSE))</f>
        <v>31</v>
      </c>
      <c r="J20" s="75"/>
    </row>
    <row r="21" spans="1:10">
      <c r="A21" s="360">
        <f t="shared" si="1"/>
        <v>44044</v>
      </c>
      <c r="B21" s="256" t="str">
        <f>IF(VLOOKUP($C$7,'Type of adjust'!$A$1:$P$18,MATCH($A21,'Type of adjust'!$A$1:$P$1,1),FALSE)="", "..", VLOOKUP($C$7,'Type of adjust'!$A$1:$P$18,MATCH($A21,'Type of adjust'!$A$1:$P$1,1),FALSE))</f>
        <v>..</v>
      </c>
      <c r="C21" s="261">
        <f>IF(VLOOKUP($C$7&amp;"Adjusted seen over_65"&amp;$C$9,REPORT_raw_dataseen!$A$1:$R$817,MATCH($A21,REPORT_raw_dataseen!$D$1:$R$1,1)+3, FALSE)=0,"-",IF(VLOOKUP($C$7&amp;"Adjusted seen over_65"&amp;$C$9,REPORT_raw_dataseen!$A$1:$R$817,MATCH($A21,REPORT_raw_dataseen!$D$1:$R$1,1)+3, FALSE)&lt;9,"*",VLOOKUP($C$7&amp;"Adjusted seen over_65"&amp;$C$9,REPORT_raw_dataseen!$A$1:$R$817,MATCH($A21,REPORT_raw_dataseen!$D$1:$R$1,1)+3, FALSE)))</f>
        <v>243</v>
      </c>
      <c r="D21" s="261">
        <f>IF(C21="*","*",IF(VLOOKUP($C$7&amp;"Adjusted seen over_65"&amp;$D$10,REPORT_raw_dataseen!$A$1:$R$817,MATCH($A21,REPORT_raw_dataseen!$D$1:$R$1,1)+3, FALSE)=0,"-",VLOOKUP($C$7&amp;"Adjusted seen over_65"&amp;$D$10,REPORT_raw_dataseen!$A$1:$R$817,MATCH($A21,REPORT_raw_dataseen!$D$1:$R$1,1)+3, FALSE)))</f>
        <v>163</v>
      </c>
      <c r="E21" s="261">
        <f t="shared" si="0"/>
        <v>80</v>
      </c>
      <c r="F21" s="264">
        <f>'3c (2)'!F21</f>
        <v>67.08</v>
      </c>
      <c r="G21" s="264">
        <f>'3c (2)'!G21</f>
        <v>32.92</v>
      </c>
      <c r="H21" s="229">
        <f>IF(C21="-","-",VLOOKUP($C$7&amp;"Adjusted seen over_65median",REPORT_raw_dataseen!$A$1:$R$817,MATCH($A21,REPORT_raw_dataseen!$D$1:$R$1,1)+3,FALSE))</f>
        <v>5</v>
      </c>
      <c r="I21" s="281">
        <f>IF(C21="-","-",VLOOKUP($C$7&amp;"Adjusted seen over_6590percent",REPORT_raw_dataseen!$A$1:$R$817,MATCH($A21,REPORT_raw_dataseen!$D$1:$R$1,1)+3,FALSE))</f>
        <v>30</v>
      </c>
      <c r="J21" s="75"/>
    </row>
    <row r="22" spans="1:10">
      <c r="A22" s="360">
        <f t="shared" si="1"/>
        <v>44013</v>
      </c>
      <c r="B22" s="256" t="str">
        <f>IF(VLOOKUP($C$7,'Type of adjust'!$A$1:$P$18,MATCH($A22,'Type of adjust'!$A$1:$P$1,1),FALSE)="", "..", VLOOKUP($C$7,'Type of adjust'!$A$1:$P$18,MATCH($A22,'Type of adjust'!$A$1:$P$1,1),FALSE))</f>
        <v>..</v>
      </c>
      <c r="C22" s="261">
        <f>IF(VLOOKUP($C$7&amp;"Adjusted seen over_65"&amp;$C$9,REPORT_raw_dataseen!$A$1:$R$817,MATCH($A22,REPORT_raw_dataseen!$D$1:$R$1,1)+3, FALSE)=0,"-",IF(VLOOKUP($C$7&amp;"Adjusted seen over_65"&amp;$C$9,REPORT_raw_dataseen!$A$1:$R$817,MATCH($A22,REPORT_raw_dataseen!$D$1:$R$1,1)+3, FALSE)&lt;5,"*",VLOOKUP($C$7&amp;"Adjusted seen over_65"&amp;$C$9,REPORT_raw_dataseen!$A$1:$R$817,MATCH($A22,REPORT_raw_dataseen!$D$1:$R$1,1)+3, FALSE)))</f>
        <v>329</v>
      </c>
      <c r="D22" s="261">
        <f>IF(C22="*","*",IF(VLOOKUP($C$7&amp;"Adjusted seen over_65"&amp;$D$10,REPORT_raw_dataseen!$A$1:$R$817,MATCH($A22,REPORT_raw_dataseen!$D$1:$R$1,1)+3, FALSE)=0,"-",VLOOKUP($C$7&amp;"Adjusted seen over_65"&amp;$D$10,REPORT_raw_dataseen!$A$1:$R$817,MATCH($A22,REPORT_raw_dataseen!$D$1:$R$1,1)+3, FALSE)))</f>
        <v>251</v>
      </c>
      <c r="E22" s="261">
        <f t="shared" si="0"/>
        <v>78</v>
      </c>
      <c r="F22" s="264">
        <f>'3c (2)'!F22</f>
        <v>76.290000000000006</v>
      </c>
      <c r="G22" s="264">
        <f>'3c (2)'!G22</f>
        <v>23.71</v>
      </c>
      <c r="H22" s="229">
        <f>IF(C22="-","-",VLOOKUP($C$7&amp;"Adjusted seen over_65median",REPORT_raw_dataseen!$A$1:$R$817,MATCH($A22,REPORT_raw_dataseen!$D$1:$R$1,1)+3,FALSE))</f>
        <v>2</v>
      </c>
      <c r="I22" s="281">
        <f>IF(C22="-","-",VLOOKUP($C$7&amp;"Adjusted seen over_6590percent",REPORT_raw_dataseen!$A$1:$R$817,MATCH($A22,REPORT_raw_dataseen!$D$1:$R$1,1)+3,FALSE))</f>
        <v>27</v>
      </c>
      <c r="J22" s="75"/>
    </row>
    <row r="23" spans="1:10">
      <c r="A23" s="360">
        <f t="shared" si="1"/>
        <v>43983</v>
      </c>
      <c r="B23" s="256" t="str">
        <f>IF(VLOOKUP($C$7,'Type of adjust'!$A$1:$P$18,MATCH($A23,'Type of adjust'!$A$1:$P$1,1),FALSE)="", "..", VLOOKUP($C$7,'Type of adjust'!$A$1:$P$18,MATCH($A23,'Type of adjust'!$A$1:$P$1,1),FALSE))</f>
        <v>..</v>
      </c>
      <c r="C23" s="261">
        <f>IF(VLOOKUP($C$7&amp;"Adjusted seen over_65"&amp;$C$9,REPORT_raw_dataseen!$A$1:$R$817,MATCH($A23,REPORT_raw_dataseen!$D$1:$R$1,1)+3, FALSE)=0,"-",IF(VLOOKUP($C$7&amp;"Adjusted seen over_65"&amp;$C$9,REPORT_raw_dataseen!$A$1:$R$817,MATCH($A23,REPORT_raw_dataseen!$D$1:$R$1,1)+3, FALSE)&lt;5,"*",VLOOKUP($C$7&amp;"Adjusted seen over_65"&amp;$C$9,REPORT_raw_dataseen!$A$1:$R$817,MATCH($A23,REPORT_raw_dataseen!$D$1:$R$1,1)+3, FALSE)))</f>
        <v>257</v>
      </c>
      <c r="D23" s="261">
        <f>IF(C23="*","*",IF(VLOOKUP($C$7&amp;"Adjusted seen over_65"&amp;$D$10,REPORT_raw_dataseen!$A$1:$R$817,MATCH($A23,REPORT_raw_dataseen!$D$1:$R$1,1)+3, FALSE)=0,"-",VLOOKUP($C$7&amp;"Adjusted seen over_65"&amp;$D$10,REPORT_raw_dataseen!$A$1:$R$817,MATCH($A23,REPORT_raw_dataseen!$D$1:$R$1,1)+3, FALSE)))</f>
        <v>209</v>
      </c>
      <c r="E23" s="261">
        <f t="shared" si="0"/>
        <v>48</v>
      </c>
      <c r="F23" s="264">
        <f>'3c (2)'!F23</f>
        <v>81.319999999999993</v>
      </c>
      <c r="G23" s="264">
        <f>'3c (2)'!G23</f>
        <v>18.68</v>
      </c>
      <c r="H23" s="229">
        <f>IF(C23="-","-",VLOOKUP($C$7&amp;"Adjusted seen over_65median",REPORT_raw_dataseen!$A$1:$R$817,MATCH($A23,REPORT_raw_dataseen!$D$1:$R$1,1)+3,FALSE))</f>
        <v>3</v>
      </c>
      <c r="I23" s="281">
        <f>IF(C23="-","-",VLOOKUP($C$7&amp;"Adjusted seen over_6590percent",REPORT_raw_dataseen!$A$1:$R$817,MATCH($A23,REPORT_raw_dataseen!$D$1:$R$1,1)+3,FALSE))</f>
        <v>27</v>
      </c>
      <c r="J23" s="75"/>
    </row>
    <row r="24" spans="1:10">
      <c r="A24" s="360">
        <f t="shared" si="1"/>
        <v>43952</v>
      </c>
      <c r="B24" s="256" t="str">
        <f>IF(VLOOKUP($C$7,'Type of adjust'!$A$1:$P$18,MATCH($A24,'Type of adjust'!$A$1:$P$1,1),FALSE)="", "..", VLOOKUP($C$7,'Type of adjust'!$A$1:$P$18,MATCH($A24,'Type of adjust'!$A$1:$P$1,1),FALSE))</f>
        <v>..</v>
      </c>
      <c r="C24" s="261">
        <f>IF(VLOOKUP($C$7&amp;"Adjusted seen over_65"&amp;$C$9,REPORT_raw_dataseen!$A$1:$R$817,MATCH($A24,REPORT_raw_dataseen!$D$1:$R$1,1)+3, FALSE)=0,"-",IF(VLOOKUP($C$7&amp;"Adjusted seen over_65"&amp;$C$9,REPORT_raw_dataseen!$A$1:$R$817,MATCH($A24,REPORT_raw_dataseen!$D$1:$R$1,1)+3, FALSE)&lt;5,"*",VLOOKUP($C$7&amp;"Adjusted seen over_65"&amp;$C$9,REPORT_raw_dataseen!$A$1:$R$817,MATCH($A24,REPORT_raw_dataseen!$D$1:$R$1,1)+3, FALSE)))</f>
        <v>131</v>
      </c>
      <c r="D24" s="261">
        <f>IF(C24="*","*",IF(VLOOKUP($C$7&amp;"Adjusted seen over_65"&amp;$D$10,REPORT_raw_dataseen!$A$1:$R$817,MATCH($A24,REPORT_raw_dataseen!$D$1:$R$1,1)+3, FALSE)=0,"-",VLOOKUP($C$7&amp;"Adjusted seen over_65"&amp;$D$10,REPORT_raw_dataseen!$A$1:$R$817,MATCH($A24,REPORT_raw_dataseen!$D$1:$R$1,1)+3, FALSE)))</f>
        <v>111</v>
      </c>
      <c r="E24" s="261">
        <f t="shared" si="0"/>
        <v>20</v>
      </c>
      <c r="F24" s="264">
        <f>'3c (2)'!F24</f>
        <v>84.73</v>
      </c>
      <c r="G24" s="264">
        <f>'3c (2)'!G24</f>
        <v>15.27</v>
      </c>
      <c r="H24" s="229">
        <f>IF(C24="-","-",VLOOKUP($C$7&amp;"Adjusted seen over_65median",REPORT_raw_dataseen!$A$1:$R$817,MATCH($A24,REPORT_raw_dataseen!$D$1:$R$1,1)+3,FALSE))</f>
        <v>7</v>
      </c>
      <c r="I24" s="281">
        <f>IF(C24="-","-",VLOOKUP($C$7&amp;"Adjusted seen over_6590percent",REPORT_raw_dataseen!$A$1:$R$817,MATCH($A24,REPORT_raw_dataseen!$D$1:$R$1,1)+3,FALSE))</f>
        <v>34</v>
      </c>
      <c r="J24" s="75"/>
    </row>
    <row r="25" spans="1:10">
      <c r="A25" s="360">
        <f t="shared" si="1"/>
        <v>43922</v>
      </c>
      <c r="B25" s="256" t="str">
        <f>IF(VLOOKUP($C$7,'Type of adjust'!$A$1:$P$18,MATCH($A25,'Type of adjust'!$A$1:$P$1,1),FALSE)="", "..", VLOOKUP($C$7,'Type of adjust'!$A$1:$P$18,MATCH($A25,'Type of adjust'!$A$1:$P$1,1),FALSE))</f>
        <v>..</v>
      </c>
      <c r="C25" s="261">
        <f>IF(VLOOKUP($C$7&amp;"Adjusted seen over_65"&amp;$C$9,REPORT_raw_dataseen!$A$1:$R$817,MATCH($A25,REPORT_raw_dataseen!$D$1:$R$1,1)+3, FALSE)=0,"-",IF(VLOOKUP($C$7&amp;"Adjusted seen over_65"&amp;$C$9,REPORT_raw_dataseen!$A$1:$R$817,MATCH($A25,REPORT_raw_dataseen!$D$1:$R$1,1)+3, FALSE)&lt;5,"*",VLOOKUP($C$7&amp;"Adjusted seen over_65"&amp;$C$9,REPORT_raw_dataseen!$A$1:$R$817,MATCH($A25,REPORT_raw_dataseen!$D$1:$R$1,1)+3, FALSE)))</f>
        <v>149</v>
      </c>
      <c r="D25" s="261">
        <f>IF(C25="*","*",IF(VLOOKUP($C$7&amp;"Adjusted seen over_65"&amp;$D$10,REPORT_raw_dataseen!$A$1:$R$817,MATCH($A25,REPORT_raw_dataseen!$D$1:$R$1,1)+3, FALSE)=0,"-",VLOOKUP($C$7&amp;"Adjusted seen over_65"&amp;$D$10,REPORT_raw_dataseen!$A$1:$R$817,MATCH($A25,REPORT_raw_dataseen!$D$1:$R$1,1)+3, FALSE)))</f>
        <v>133</v>
      </c>
      <c r="E25" s="261">
        <f t="shared" si="0"/>
        <v>16</v>
      </c>
      <c r="F25" s="264">
        <f>'3c (2)'!F25</f>
        <v>89.26</v>
      </c>
      <c r="G25" s="264">
        <f>'3c (2)'!G25</f>
        <v>10.74</v>
      </c>
      <c r="H25" s="229">
        <f>IF(C25="-","-",VLOOKUP($C$7&amp;"Adjusted seen over_65median",REPORT_raw_dataseen!$A$1:$R$817,MATCH($A25,REPORT_raw_dataseen!$D$1:$R$1,1)+3,FALSE))</f>
        <v>7</v>
      </c>
      <c r="I25" s="281">
        <f>IF(C25="-","-",VLOOKUP($C$7&amp;"Adjusted seen over_6590percent",REPORT_raw_dataseen!$A$1:$R$817,MATCH($A25,REPORT_raw_dataseen!$D$1:$R$1,1)+3,FALSE))</f>
        <v>19</v>
      </c>
      <c r="J25" s="75"/>
    </row>
    <row r="26" spans="1:10">
      <c r="A26" s="274"/>
      <c r="B26" s="266"/>
      <c r="C26" s="266"/>
      <c r="D26" s="266"/>
      <c r="E26" s="266"/>
      <c r="F26" s="271"/>
      <c r="G26" s="271"/>
      <c r="H26" s="274"/>
      <c r="I26" s="282"/>
    </row>
    <row r="27" spans="1:10">
      <c r="A27" s="274" t="str">
        <f>"quarter ending "&amp;TEXT(A11,"mmm yyyy")</f>
        <v>quarter ending Jun 2021</v>
      </c>
      <c r="B27" s="294" t="str">
        <f>B11</f>
        <v>..</v>
      </c>
      <c r="C27" s="285">
        <f>IF(OR(C11="*", C12="*", C13="*"),"*", IF(COUNTIF(C11:C13,"..")=3,"..",IF(SUM(C11:C13)=0,"-",SUM(C11:C13))))</f>
        <v>1176</v>
      </c>
      <c r="D27" s="285">
        <f>IF(OR(D11="*", D12="*", D13="*"),"*", IF(COUNTIF(D11:D13,"..")=3,"..",IF(SUM(D11:D13)=0,"-",SUM(D11:D13))))</f>
        <v>1015</v>
      </c>
      <c r="E27" s="285">
        <f>IF(OR(E11="*", E12="*", E13="*"),"*", IF(COUNTIF(E11:E13,"..")=3,"..",IF(SUM(E11:E13)=0,"-",SUM(E11:E13))))</f>
        <v>161</v>
      </c>
      <c r="F27" s="264">
        <f>'3c (2)'!F27</f>
        <v>86.31</v>
      </c>
      <c r="G27" s="346">
        <f>'3c (2)'!G27</f>
        <v>13.69</v>
      </c>
      <c r="H27" s="289">
        <f>+VLOOKUP($C$7&amp;"Adjusted seen over_65Quartmedian",REPORT_raw_dataseen!$A$1:$R$817,MATCH($A11,REPORT_raw_dataseen!$D$1:$R$1,1)+1,FALSE)</f>
        <v>4</v>
      </c>
      <c r="I27" s="289">
        <f>+VLOOKUP($C$7&amp;"Adjusted seen over_65Quart90perc",REPORT_raw_dataseen!$A$1:$R$817,MATCH($A11,REPORT_raw_dataseen!$D$1:$R$1,1)+1,FALSE)</f>
        <v>22</v>
      </c>
    </row>
    <row r="28" spans="1:10">
      <c r="A28" s="274" t="str">
        <f>"quarter ending "&amp;TEXT(A14,"mmm yyyy")</f>
        <v>quarter ending Mar 2021</v>
      </c>
      <c r="B28" s="294" t="str">
        <f>B14</f>
        <v>..</v>
      </c>
      <c r="C28" s="285">
        <f>IF(OR(C14="*", C15="*", C16="*"),"*", IF(COUNTIF(C14:C16,"..")=3,"..",IF(SUM(C14:C16)=0,"-",SUM(C14:C16))))</f>
        <v>914</v>
      </c>
      <c r="D28" s="285">
        <f>IF(OR(D14="*", D15="*", D16="*"),"*", IF(COUNTIF(D14:D16,"..")=3,"..",IF(SUM(D14:D16)=0,"-",SUM(D14:D16))))</f>
        <v>779</v>
      </c>
      <c r="E28" s="285">
        <f>IF(OR(E14="*", E15="*", E16="*"),"*", IF(COUNTIF(E14:E16,"..")=3,"..",IF(SUM(E14:E16)=0,"-",SUM(E14:E16))))</f>
        <v>135</v>
      </c>
      <c r="F28" s="264">
        <f>'3c (2)'!F28</f>
        <v>85.23</v>
      </c>
      <c r="G28" s="346">
        <f>'3c (2)'!G28</f>
        <v>14.77</v>
      </c>
      <c r="H28" s="289">
        <f>+VLOOKUP($C$7&amp;"Adjusted seen over_65Quartmedian",REPORT_raw_dataseen!$A$1:$R$817,MATCH($A14,REPORT_raw_dataseen!$D$1:$R$1,1)+1,FALSE)</f>
        <v>4</v>
      </c>
      <c r="I28" s="289">
        <f>+VLOOKUP($C$7&amp;"Adjusted seen over_65Quart90perc",REPORT_raw_dataseen!$A$1:$R$817,MATCH($A14,REPORT_raw_dataseen!$D$1:$R$1,1)+1,FALSE)</f>
        <v>26</v>
      </c>
    </row>
    <row r="29" spans="1:10">
      <c r="A29" s="274" t="str">
        <f>"quarter ending "&amp;TEXT(A17,"mmm yyyy")</f>
        <v>quarter ending Dec 2020</v>
      </c>
      <c r="B29" s="294" t="str">
        <f>B17</f>
        <v>..</v>
      </c>
      <c r="C29" s="285">
        <f>IF(OR(C17="*", C18="*", C19="*"),"*", IF(COUNTIF(C17:C19,"..")=3,"..",IF(SUM(C17:C19)=0,"-",SUM(C17:C19))))</f>
        <v>965</v>
      </c>
      <c r="D29" s="285">
        <f>IF(OR(D17="*", D18="*", D19="*"),"*", IF(COUNTIF(D17:D19,"..")=3,"..",IF(SUM(D17:D19)=0,"-",SUM(D17:D19))))</f>
        <v>747</v>
      </c>
      <c r="E29" s="285">
        <f>IF(OR(E17="*", E18="*", E19="*"),"*", IF(COUNTIF(E17:E19,"..")=3,"..",IF(SUM(E17:E19)=0,"-",SUM(E17:E19))))</f>
        <v>218</v>
      </c>
      <c r="F29" s="264">
        <f>'3c (2)'!F29</f>
        <v>77.41</v>
      </c>
      <c r="G29" s="346">
        <f>'3c (2)'!G29</f>
        <v>22.59</v>
      </c>
      <c r="H29" s="289">
        <f>+VLOOKUP($C$7&amp;"Adjusted seen over_65Quartmedian",REPORT_raw_dataseen!$A$1:$R$817,MATCH($A17,REPORT_raw_dataseen!$D$1:$R$1,1)+1,FALSE)</f>
        <v>5</v>
      </c>
      <c r="I29" s="289">
        <f>+VLOOKUP($C$7&amp;"Adjusted seen over_65Quart90perc",REPORT_raw_dataseen!$A$1:$R$817,MATCH($A17,REPORT_raw_dataseen!$D$1:$R$1,1)+1,FALSE)</f>
        <v>43</v>
      </c>
    </row>
    <row r="30" spans="1:10">
      <c r="A30" s="274" t="str">
        <f>"quarter ending "&amp;TEXT(A20,"mmm yyyy")</f>
        <v>quarter ending Sep 2020</v>
      </c>
      <c r="B30" s="294" t="str">
        <f>B20</f>
        <v>..</v>
      </c>
      <c r="C30" s="285">
        <f>IF(OR(C20="*", C21="*", C22="*"),"*", IF(COUNTIF(C20:C22,"..")=3,"..",IF(SUM(C20:C22)=0,"-",SUM(C20:C22))))</f>
        <v>823</v>
      </c>
      <c r="D30" s="285">
        <f>IF(OR(D20="*", D21="*", D22="*"),"*", IF(COUNTIF(D20:D22,"..")=3,"..",IF(SUM(D20:D22)=0,"-",SUM(D20:D22))))</f>
        <v>617</v>
      </c>
      <c r="E30" s="285">
        <f>IF(OR(E20="*", E21="*", E22="*"),"*", IF(COUNTIF(E20:E22,"..")=3,"..",IF(SUM(E20:E22)=0,"-",SUM(E20:E22))))</f>
        <v>206</v>
      </c>
      <c r="F30" s="264">
        <f>'3c (2)'!F30</f>
        <v>74.97</v>
      </c>
      <c r="G30" s="346">
        <f>'3c (2)'!G30</f>
        <v>25.03</v>
      </c>
      <c r="H30" s="289">
        <f>+VLOOKUP($C$7&amp;"Adjusted seen over_65Quartmedian",REPORT_raw_dataseen!$A$1:$R$817,MATCH($A20,REPORT_raw_dataseen!$D$1:$R$1,1)+1,FALSE)</f>
        <v>2</v>
      </c>
      <c r="I30" s="289">
        <f>+VLOOKUP($C$7&amp;"Adjusted seen over_65Quart90perc",REPORT_raw_dataseen!$A$1:$R$817,MATCH($A20,REPORT_raw_dataseen!$D$1:$R$1,1)+1,FALSE)</f>
        <v>29</v>
      </c>
    </row>
    <row r="31" spans="1:10">
      <c r="A31" s="363" t="str">
        <f>"quarter ending "&amp;TEXT(A23,"mmm yyyy")</f>
        <v>quarter ending Jun 2020</v>
      </c>
      <c r="B31" s="295" t="str">
        <f>B23</f>
        <v>..</v>
      </c>
      <c r="C31" s="286">
        <f>IF(OR(C23="*", C24="*", C25="*"),"*", IF(COUNTIF(C23:C25,"..")=3,"..",IF(SUM(C23:C25)=0,"-",SUM(C23:C25))))</f>
        <v>537</v>
      </c>
      <c r="D31" s="286">
        <f>IF(OR(D23="*", D24="*", D25="*"),"*", IF(COUNTIF(D23:D25,"..")=3,"..",IF(SUM(D23:D25)=0,"-",SUM(D23:D25))))</f>
        <v>453</v>
      </c>
      <c r="E31" s="286">
        <f>IF(OR(E23="*", E24="*", E25="*"),"*", IF(COUNTIF(E23:E25,"..")=3,"..",IF(SUM(E23:E25)=0,"-",SUM(E23:E25))))</f>
        <v>84</v>
      </c>
      <c r="F31" s="265">
        <f>'3c (2)'!F31</f>
        <v>84.36</v>
      </c>
      <c r="G31" s="347">
        <f>'3c (2)'!G31</f>
        <v>15.64</v>
      </c>
      <c r="H31" s="290">
        <f>+VLOOKUP($C$7&amp;"Adjusted seen over_65Quartmedian",REPORT_raw_dataseen!$A$1:$R$817,MATCH($A23,REPORT_raw_dataseen!$D$1:$R$1,1)+1,FALSE)</f>
        <v>6</v>
      </c>
      <c r="I31" s="290">
        <f>+VLOOKUP($C$7&amp;"Adjusted seen over_65Quart90perc",REPORT_raw_dataseen!$A$1:$R$817,MATCH($A23,REPORT_raw_dataseen!$D$1:$R$1,1)+1,FALSE)</f>
        <v>26</v>
      </c>
    </row>
    <row r="32" spans="1:10">
      <c r="A32" s="438"/>
      <c r="B32" s="438"/>
      <c r="C32" s="438"/>
      <c r="D32" s="438"/>
      <c r="E32" s="438"/>
      <c r="F32" s="438"/>
      <c r="G32" s="438"/>
      <c r="H32" s="438"/>
    </row>
    <row r="33" spans="1:7">
      <c r="B33" s="16"/>
      <c r="C33" s="16"/>
      <c r="D33" s="16"/>
      <c r="E33" s="16"/>
      <c r="F33" s="17"/>
      <c r="G33" s="17"/>
    </row>
    <row r="34" spans="1:7" ht="20.25">
      <c r="A34" s="76" t="s">
        <v>337</v>
      </c>
      <c r="B34" s="16"/>
      <c r="C34" s="16"/>
      <c r="D34" s="16"/>
      <c r="E34" s="16"/>
      <c r="F34" s="17"/>
      <c r="G34" s="17"/>
    </row>
    <row r="35" spans="1:7">
      <c r="A35" s="77" t="s">
        <v>338</v>
      </c>
      <c r="B35" s="77" t="s">
        <v>339</v>
      </c>
      <c r="C35" s="78"/>
      <c r="D35" s="450" t="s">
        <v>340</v>
      </c>
      <c r="E35" s="450"/>
      <c r="F35" s="450"/>
      <c r="G35" s="450"/>
    </row>
    <row r="36" spans="1:7">
      <c r="A36" s="79" t="s">
        <v>55</v>
      </c>
      <c r="B36" s="80" t="s">
        <v>341</v>
      </c>
      <c r="C36" s="81"/>
      <c r="D36" s="451" t="s">
        <v>342</v>
      </c>
      <c r="E36" s="451"/>
      <c r="F36" s="451"/>
      <c r="G36" s="451"/>
    </row>
    <row r="37" spans="1:7" ht="51">
      <c r="A37" s="82" t="s">
        <v>343</v>
      </c>
      <c r="B37" s="83" t="s">
        <v>344</v>
      </c>
      <c r="C37" s="84"/>
      <c r="D37" s="452" t="s">
        <v>345</v>
      </c>
      <c r="E37" s="452"/>
      <c r="F37" s="452"/>
      <c r="G37" s="452"/>
    </row>
    <row r="38" spans="1:7">
      <c r="A38" s="85" t="s">
        <v>27</v>
      </c>
      <c r="B38" s="86"/>
      <c r="C38" s="87"/>
      <c r="D38" s="439" t="s">
        <v>346</v>
      </c>
      <c r="E38" s="439"/>
      <c r="F38" s="439"/>
      <c r="G38" s="439"/>
    </row>
    <row r="39" spans="1:7">
      <c r="A39" s="88"/>
      <c r="B39" s="89"/>
      <c r="C39" s="89"/>
      <c r="D39" s="19"/>
      <c r="E39" s="89"/>
      <c r="F39" s="90"/>
      <c r="G39" s="15"/>
    </row>
    <row r="40" spans="1:7">
      <c r="A40" s="88"/>
      <c r="B40" s="89"/>
      <c r="C40" s="89"/>
      <c r="D40" s="19"/>
      <c r="E40" s="89"/>
      <c r="F40" s="90"/>
      <c r="G40" s="15"/>
    </row>
    <row r="41" spans="1:7">
      <c r="A41" s="88"/>
      <c r="B41" s="89"/>
      <c r="C41" s="89"/>
      <c r="D41" s="19"/>
      <c r="E41" s="89"/>
      <c r="F41" s="90"/>
      <c r="G41" s="15"/>
    </row>
    <row r="42" spans="1:7">
      <c r="A42" s="91" t="s">
        <v>190</v>
      </c>
      <c r="B42" s="89"/>
      <c r="C42" s="89"/>
      <c r="D42" s="89"/>
      <c r="E42" s="89"/>
      <c r="F42" s="90"/>
      <c r="G42" s="15"/>
    </row>
    <row r="43" spans="1:7">
      <c r="A43" s="91" t="s">
        <v>191</v>
      </c>
      <c r="B43" s="89"/>
      <c r="C43" s="89"/>
      <c r="D43" s="89"/>
      <c r="E43" s="89"/>
      <c r="F43" s="90"/>
      <c r="G43" s="15"/>
    </row>
    <row r="44" spans="1:7">
      <c r="B44" s="16"/>
      <c r="C44" s="16"/>
      <c r="D44" s="16"/>
      <c r="E44" s="16"/>
      <c r="F44" s="18"/>
      <c r="G44" s="18"/>
    </row>
    <row r="45" spans="1:7">
      <c r="A45" s="43" t="s">
        <v>410</v>
      </c>
      <c r="B45" s="12"/>
      <c r="C45" s="12"/>
      <c r="D45" s="12"/>
      <c r="E45" s="12"/>
      <c r="F45" s="13"/>
      <c r="G45" s="13"/>
    </row>
    <row r="46" spans="1:7">
      <c r="B46" s="7"/>
      <c r="C46" s="7"/>
      <c r="D46" s="7"/>
      <c r="E46" s="7"/>
      <c r="F46" s="14"/>
      <c r="G46" s="14"/>
    </row>
    <row r="47" spans="1:7">
      <c r="A47" s="8"/>
      <c r="B47" s="7"/>
      <c r="C47" s="7"/>
      <c r="D47" s="7"/>
      <c r="E47" s="7"/>
      <c r="F47" s="15"/>
      <c r="G47" s="15"/>
    </row>
    <row r="48" spans="1:7">
      <c r="B48" s="16"/>
      <c r="C48" s="16"/>
      <c r="D48" s="16"/>
      <c r="E48" s="16"/>
      <c r="F48" s="18"/>
      <c r="G48" s="18"/>
    </row>
    <row r="49" spans="1:7">
      <c r="B49" s="12"/>
      <c r="C49" s="12"/>
      <c r="D49" s="12"/>
      <c r="E49" s="12"/>
      <c r="F49" s="13"/>
      <c r="G49" s="13"/>
    </row>
    <row r="50" spans="1:7">
      <c r="B50" s="12"/>
      <c r="C50" s="12"/>
      <c r="D50" s="7"/>
      <c r="E50" s="7"/>
      <c r="F50" s="14"/>
      <c r="G50" s="14"/>
    </row>
    <row r="51" spans="1:7">
      <c r="B51" s="12"/>
      <c r="C51" s="12"/>
      <c r="D51" s="7"/>
      <c r="E51" s="7"/>
      <c r="F51" s="15"/>
      <c r="G51" s="15"/>
    </row>
    <row r="52" spans="1:7">
      <c r="B52" s="16"/>
      <c r="C52" s="16"/>
      <c r="D52" s="7"/>
      <c r="E52" s="7"/>
      <c r="F52" s="15"/>
      <c r="G52" s="15"/>
    </row>
    <row r="53" spans="1:7">
      <c r="A53" s="29" t="str">
        <f>"Percentage of patients waiting less than 18 weeks for adjusted waits - "&amp;C7</f>
        <v>Percentage of patients waiting less than 18 weeks for adjusted waits - Scotland</v>
      </c>
      <c r="B53" s="16"/>
      <c r="C53" s="16"/>
      <c r="D53" s="16"/>
      <c r="E53" s="16"/>
      <c r="F53" s="15"/>
      <c r="G53" s="15"/>
    </row>
    <row r="54" spans="1:7">
      <c r="A54" s="28"/>
      <c r="B54" s="16"/>
      <c r="C54" s="16"/>
      <c r="D54" s="16"/>
      <c r="E54" s="16"/>
      <c r="F54" s="18"/>
      <c r="G54" s="18"/>
    </row>
    <row r="55" spans="1:7">
      <c r="B55" s="12"/>
      <c r="C55" s="12"/>
      <c r="D55" s="12"/>
      <c r="E55" s="12"/>
      <c r="F55" s="13"/>
      <c r="G55" s="13"/>
    </row>
    <row r="56" spans="1:7">
      <c r="B56" s="7"/>
      <c r="C56" s="7"/>
      <c r="D56" s="7"/>
      <c r="E56" s="7"/>
      <c r="F56" s="14"/>
      <c r="G56" s="14"/>
    </row>
    <row r="57" spans="1:7">
      <c r="A57" s="29" t="str">
        <f>"Patients seen - adjusted waits - "&amp;C7</f>
        <v>Patients seen - adjusted waits - Scotland</v>
      </c>
      <c r="B57" s="16"/>
      <c r="C57" s="16"/>
      <c r="D57" s="16"/>
      <c r="E57" s="16"/>
      <c r="F57" s="15"/>
      <c r="G57" s="15"/>
    </row>
    <row r="58" spans="1:7">
      <c r="A58" s="29" t="str">
        <f>"Percentage of patients seen 0-18 weeks for adjusted waits - "&amp;C7</f>
        <v>Percentage of patients seen 0-18 weeks for adjusted waits - Scotland</v>
      </c>
      <c r="B58" s="16"/>
      <c r="C58" s="16"/>
      <c r="D58" s="16"/>
      <c r="E58" s="16"/>
      <c r="F58" s="15"/>
      <c r="G58" s="15"/>
    </row>
    <row r="59" spans="1:7">
      <c r="A59" s="29" t="str">
        <f>"Percentage of patients seen - adjusted waits - "&amp;C7</f>
        <v>Percentage of patients seen - adjusted waits - Scotland</v>
      </c>
      <c r="B59" s="16"/>
      <c r="C59" s="16"/>
      <c r="D59" s="16"/>
      <c r="E59" s="16"/>
      <c r="F59" s="17"/>
      <c r="G59" s="17"/>
    </row>
    <row r="60" spans="1:7">
      <c r="B60" s="12"/>
      <c r="C60" s="12"/>
      <c r="D60" s="12"/>
      <c r="E60" s="12"/>
      <c r="F60" s="13"/>
      <c r="G60" s="13"/>
    </row>
    <row r="61" spans="1:7" s="20" customFormat="1">
      <c r="B61" s="21"/>
      <c r="C61" s="21"/>
      <c r="D61" s="21"/>
      <c r="E61" s="21"/>
      <c r="F61" s="22"/>
      <c r="G61" s="22"/>
    </row>
    <row r="62" spans="1:7">
      <c r="B62" s="8"/>
      <c r="C62" s="8"/>
      <c r="D62" s="8"/>
      <c r="E62" s="8"/>
      <c r="F62" s="24"/>
      <c r="G62" s="24"/>
    </row>
    <row r="63" spans="1:7">
      <c r="B63" s="8"/>
      <c r="C63" s="8"/>
      <c r="D63" s="8"/>
      <c r="E63" s="8"/>
      <c r="F63" s="24"/>
      <c r="G63" s="24"/>
    </row>
    <row r="64" spans="1:7">
      <c r="B64" s="8"/>
      <c r="C64" s="8"/>
      <c r="D64" s="8"/>
      <c r="E64" s="8"/>
      <c r="F64" s="24"/>
      <c r="G64" s="24"/>
    </row>
    <row r="65" spans="1:7">
      <c r="A65" s="16"/>
      <c r="B65" s="16"/>
      <c r="C65" s="16"/>
      <c r="D65" s="16"/>
      <c r="E65" s="16"/>
      <c r="F65" s="26"/>
      <c r="G65" s="26"/>
    </row>
    <row r="66" spans="1:7">
      <c r="B66" s="16"/>
      <c r="C66" s="16"/>
      <c r="D66" s="16"/>
      <c r="E66" s="16"/>
      <c r="F66" s="18"/>
      <c r="G66" s="18"/>
    </row>
    <row r="67" spans="1:7">
      <c r="B67" s="12"/>
      <c r="C67" s="12"/>
      <c r="D67" s="12"/>
      <c r="E67" s="12"/>
      <c r="F67" s="13"/>
      <c r="G67" s="13"/>
    </row>
    <row r="68" spans="1:7">
      <c r="B68" s="7"/>
      <c r="C68" s="7"/>
      <c r="D68" s="7"/>
      <c r="E68" s="7"/>
      <c r="F68" s="14"/>
      <c r="G68" s="14"/>
    </row>
    <row r="69" spans="1:7">
      <c r="B69" s="7"/>
      <c r="C69" s="7"/>
      <c r="D69" s="7"/>
      <c r="E69" s="7"/>
      <c r="F69" s="15"/>
      <c r="G69" s="15"/>
    </row>
    <row r="70" spans="1:7">
      <c r="B70" s="7"/>
      <c r="C70" s="7"/>
      <c r="D70" s="7"/>
      <c r="E70" s="7"/>
      <c r="F70" s="15"/>
      <c r="G70" s="15"/>
    </row>
    <row r="71" spans="1:7">
      <c r="B71" s="16"/>
      <c r="C71" s="16"/>
      <c r="D71" s="16"/>
      <c r="E71" s="16"/>
      <c r="F71" s="18"/>
      <c r="G71" s="18"/>
    </row>
    <row r="72" spans="1:7">
      <c r="B72" s="27"/>
      <c r="C72" s="27"/>
      <c r="D72" s="27"/>
      <c r="E72" s="27"/>
      <c r="F72" s="13"/>
      <c r="G72" s="13"/>
    </row>
    <row r="73" spans="1:7">
      <c r="B73" s="28"/>
      <c r="C73" s="28"/>
      <c r="D73" s="28"/>
      <c r="E73" s="28"/>
      <c r="F73" s="14"/>
      <c r="G73" s="14"/>
    </row>
    <row r="74" spans="1:7">
      <c r="F74" s="15"/>
      <c r="G74" s="15"/>
    </row>
    <row r="75" spans="1:7">
      <c r="F75" s="15"/>
      <c r="G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sheetProtection algorithmName="SHA-512" hashValue="xo/eZFsyURivvVgW0wewKve+7oMB3Q53sVqukuMBIUUPtZZCRw40+M8JnRJFwml7AnzbtBDZjcLsFh8vb6VXcA==" saltValue="NiXnLZ6W+qQW++Ei+5akrQ==" spinCount="100000" sheet="1" objects="1" scenarios="1"/>
  <mergeCells count="13">
    <mergeCell ref="A3:D3"/>
    <mergeCell ref="D38:G38"/>
    <mergeCell ref="A6:D6"/>
    <mergeCell ref="C7:D7"/>
    <mergeCell ref="A9:A10"/>
    <mergeCell ref="B9:B10"/>
    <mergeCell ref="C9:C10"/>
    <mergeCell ref="D9:E9"/>
    <mergeCell ref="F9:G9"/>
    <mergeCell ref="A32:H32"/>
    <mergeCell ref="D35:G35"/>
    <mergeCell ref="D36:G36"/>
    <mergeCell ref="D37:G37"/>
  </mergeCells>
  <dataValidations count="2">
    <dataValidation type="list" allowBlank="1" showInputMessage="1" showErrorMessage="1" sqref="WVG983026:WVH983026 IU65522:IV65522 SQ65522:SR65522 ACM65522:ACN65522 AMI65522:AMJ65522 AWE65522:AWF65522 BGA65522:BGB65522 BPW65522:BPX65522 BZS65522:BZT65522 CJO65522:CJP65522 CTK65522:CTL65522 DDG65522:DDH65522 DNC65522:DND65522 DWY65522:DWZ65522 EGU65522:EGV65522 EQQ65522:EQR65522 FAM65522:FAN65522 FKI65522:FKJ65522 FUE65522:FUF65522 GEA65522:GEB65522 GNW65522:GNX65522 GXS65522:GXT65522 HHO65522:HHP65522 HRK65522:HRL65522 IBG65522:IBH65522 ILC65522:ILD65522 IUY65522:IUZ65522 JEU65522:JEV65522 JOQ65522:JOR65522 JYM65522:JYN65522 KII65522:KIJ65522 KSE65522:KSF65522 LCA65522:LCB65522 LLW65522:LLX65522 LVS65522:LVT65522 MFO65522:MFP65522 MPK65522:MPL65522 MZG65522:MZH65522 NJC65522:NJD65522 NSY65522:NSZ65522 OCU65522:OCV65522 OMQ65522:OMR65522 OWM65522:OWN65522 PGI65522:PGJ65522 PQE65522:PQF65522 QAA65522:QAB65522 QJW65522:QJX65522 QTS65522:QTT65522 RDO65522:RDP65522 RNK65522:RNL65522 RXG65522:RXH65522 SHC65522:SHD65522 SQY65522:SQZ65522 TAU65522:TAV65522 TKQ65522:TKR65522 TUM65522:TUN65522 UEI65522:UEJ65522 UOE65522:UOF65522 UYA65522:UYB65522 VHW65522:VHX65522 VRS65522:VRT65522 WBO65522:WBP65522 WLK65522:WLL65522 WVG65522:WVH65522 IU131058:IV131058 SQ131058:SR131058 ACM131058:ACN131058 AMI131058:AMJ131058 AWE131058:AWF131058 BGA131058:BGB131058 BPW131058:BPX131058 BZS131058:BZT131058 CJO131058:CJP131058 CTK131058:CTL131058 DDG131058:DDH131058 DNC131058:DND131058 DWY131058:DWZ131058 EGU131058:EGV131058 EQQ131058:EQR131058 FAM131058:FAN131058 FKI131058:FKJ131058 FUE131058:FUF131058 GEA131058:GEB131058 GNW131058:GNX131058 GXS131058:GXT131058 HHO131058:HHP131058 HRK131058:HRL131058 IBG131058:IBH131058 ILC131058:ILD131058 IUY131058:IUZ131058 JEU131058:JEV131058 JOQ131058:JOR131058 JYM131058:JYN131058 KII131058:KIJ131058 KSE131058:KSF131058 LCA131058:LCB131058 LLW131058:LLX131058 LVS131058:LVT131058 MFO131058:MFP131058 MPK131058:MPL131058 MZG131058:MZH131058 NJC131058:NJD131058 NSY131058:NSZ131058 OCU131058:OCV131058 OMQ131058:OMR131058 OWM131058:OWN131058 PGI131058:PGJ131058 PQE131058:PQF131058 QAA131058:QAB131058 QJW131058:QJX131058 QTS131058:QTT131058 RDO131058:RDP131058 RNK131058:RNL131058 RXG131058:RXH131058 SHC131058:SHD131058 SQY131058:SQZ131058 TAU131058:TAV131058 TKQ131058:TKR131058 TUM131058:TUN131058 UEI131058:UEJ131058 UOE131058:UOF131058 UYA131058:UYB131058 VHW131058:VHX131058 VRS131058:VRT131058 WBO131058:WBP131058 WLK131058:WLL131058 WVG131058:WVH131058 IU196594:IV196594 SQ196594:SR196594 ACM196594:ACN196594 AMI196594:AMJ196594 AWE196594:AWF196594 BGA196594:BGB196594 BPW196594:BPX196594 BZS196594:BZT196594 CJO196594:CJP196594 CTK196594:CTL196594 DDG196594:DDH196594 DNC196594:DND196594 DWY196594:DWZ196594 EGU196594:EGV196594 EQQ196594:EQR196594 FAM196594:FAN196594 FKI196594:FKJ196594 FUE196594:FUF196594 GEA196594:GEB196594 GNW196594:GNX196594 GXS196594:GXT196594 HHO196594:HHP196594 HRK196594:HRL196594 IBG196594:IBH196594 ILC196594:ILD196594 IUY196594:IUZ196594 JEU196594:JEV196594 JOQ196594:JOR196594 JYM196594:JYN196594 KII196594:KIJ196594 KSE196594:KSF196594 LCA196594:LCB196594 LLW196594:LLX196594 LVS196594:LVT196594 MFO196594:MFP196594 MPK196594:MPL196594 MZG196594:MZH196594 NJC196594:NJD196594 NSY196594:NSZ196594 OCU196594:OCV196594 OMQ196594:OMR196594 OWM196594:OWN196594 PGI196594:PGJ196594 PQE196594:PQF196594 QAA196594:QAB196594 QJW196594:QJX196594 QTS196594:QTT196594 RDO196594:RDP196594 RNK196594:RNL196594 RXG196594:RXH196594 SHC196594:SHD196594 SQY196594:SQZ196594 TAU196594:TAV196594 TKQ196594:TKR196594 TUM196594:TUN196594 UEI196594:UEJ196594 UOE196594:UOF196594 UYA196594:UYB196594 VHW196594:VHX196594 VRS196594:VRT196594 WBO196594:WBP196594 WLK196594:WLL196594 WVG196594:WVH196594 IU262130:IV262130 SQ262130:SR262130 ACM262130:ACN262130 AMI262130:AMJ262130 AWE262130:AWF262130 BGA262130:BGB262130 BPW262130:BPX262130 BZS262130:BZT262130 CJO262130:CJP262130 CTK262130:CTL262130 DDG262130:DDH262130 DNC262130:DND262130 DWY262130:DWZ262130 EGU262130:EGV262130 EQQ262130:EQR262130 FAM262130:FAN262130 FKI262130:FKJ262130 FUE262130:FUF262130 GEA262130:GEB262130 GNW262130:GNX262130 GXS262130:GXT262130 HHO262130:HHP262130 HRK262130:HRL262130 IBG262130:IBH262130 ILC262130:ILD262130 IUY262130:IUZ262130 JEU262130:JEV262130 JOQ262130:JOR262130 JYM262130:JYN262130 KII262130:KIJ262130 KSE262130:KSF262130 LCA262130:LCB262130 LLW262130:LLX262130 LVS262130:LVT262130 MFO262130:MFP262130 MPK262130:MPL262130 MZG262130:MZH262130 NJC262130:NJD262130 NSY262130:NSZ262130 OCU262130:OCV262130 OMQ262130:OMR262130 OWM262130:OWN262130 PGI262130:PGJ262130 PQE262130:PQF262130 QAA262130:QAB262130 QJW262130:QJX262130 QTS262130:QTT262130 RDO262130:RDP262130 RNK262130:RNL262130 RXG262130:RXH262130 SHC262130:SHD262130 SQY262130:SQZ262130 TAU262130:TAV262130 TKQ262130:TKR262130 TUM262130:TUN262130 UEI262130:UEJ262130 UOE262130:UOF262130 UYA262130:UYB262130 VHW262130:VHX262130 VRS262130:VRT262130 WBO262130:WBP262130 WLK262130:WLL262130 WVG262130:WVH262130 IU327666:IV327666 SQ327666:SR327666 ACM327666:ACN327666 AMI327666:AMJ327666 AWE327666:AWF327666 BGA327666:BGB327666 BPW327666:BPX327666 BZS327666:BZT327666 CJO327666:CJP327666 CTK327666:CTL327666 DDG327666:DDH327666 DNC327666:DND327666 DWY327666:DWZ327666 EGU327666:EGV327666 EQQ327666:EQR327666 FAM327666:FAN327666 FKI327666:FKJ327666 FUE327666:FUF327666 GEA327666:GEB327666 GNW327666:GNX327666 GXS327666:GXT327666 HHO327666:HHP327666 HRK327666:HRL327666 IBG327666:IBH327666 ILC327666:ILD327666 IUY327666:IUZ327666 JEU327666:JEV327666 JOQ327666:JOR327666 JYM327666:JYN327666 KII327666:KIJ327666 KSE327666:KSF327666 LCA327666:LCB327666 LLW327666:LLX327666 LVS327666:LVT327666 MFO327666:MFP327666 MPK327666:MPL327666 MZG327666:MZH327666 NJC327666:NJD327666 NSY327666:NSZ327666 OCU327666:OCV327666 OMQ327666:OMR327666 OWM327666:OWN327666 PGI327666:PGJ327666 PQE327666:PQF327666 QAA327666:QAB327666 QJW327666:QJX327666 QTS327666:QTT327666 RDO327666:RDP327666 RNK327666:RNL327666 RXG327666:RXH327666 SHC327666:SHD327666 SQY327666:SQZ327666 TAU327666:TAV327666 TKQ327666:TKR327666 TUM327666:TUN327666 UEI327666:UEJ327666 UOE327666:UOF327666 UYA327666:UYB327666 VHW327666:VHX327666 VRS327666:VRT327666 WBO327666:WBP327666 WLK327666:WLL327666 WVG327666:WVH327666 IU393202:IV393202 SQ393202:SR393202 ACM393202:ACN393202 AMI393202:AMJ393202 AWE393202:AWF393202 BGA393202:BGB393202 BPW393202:BPX393202 BZS393202:BZT393202 CJO393202:CJP393202 CTK393202:CTL393202 DDG393202:DDH393202 DNC393202:DND393202 DWY393202:DWZ393202 EGU393202:EGV393202 EQQ393202:EQR393202 FAM393202:FAN393202 FKI393202:FKJ393202 FUE393202:FUF393202 GEA393202:GEB393202 GNW393202:GNX393202 GXS393202:GXT393202 HHO393202:HHP393202 HRK393202:HRL393202 IBG393202:IBH393202 ILC393202:ILD393202 IUY393202:IUZ393202 JEU393202:JEV393202 JOQ393202:JOR393202 JYM393202:JYN393202 KII393202:KIJ393202 KSE393202:KSF393202 LCA393202:LCB393202 LLW393202:LLX393202 LVS393202:LVT393202 MFO393202:MFP393202 MPK393202:MPL393202 MZG393202:MZH393202 NJC393202:NJD393202 NSY393202:NSZ393202 OCU393202:OCV393202 OMQ393202:OMR393202 OWM393202:OWN393202 PGI393202:PGJ393202 PQE393202:PQF393202 QAA393202:QAB393202 QJW393202:QJX393202 QTS393202:QTT393202 RDO393202:RDP393202 RNK393202:RNL393202 RXG393202:RXH393202 SHC393202:SHD393202 SQY393202:SQZ393202 TAU393202:TAV393202 TKQ393202:TKR393202 TUM393202:TUN393202 UEI393202:UEJ393202 UOE393202:UOF393202 UYA393202:UYB393202 VHW393202:VHX393202 VRS393202:VRT393202 WBO393202:WBP393202 WLK393202:WLL393202 WVG393202:WVH393202 IU458738:IV458738 SQ458738:SR458738 ACM458738:ACN458738 AMI458738:AMJ458738 AWE458738:AWF458738 BGA458738:BGB458738 BPW458738:BPX458738 BZS458738:BZT458738 CJO458738:CJP458738 CTK458738:CTL458738 DDG458738:DDH458738 DNC458738:DND458738 DWY458738:DWZ458738 EGU458738:EGV458738 EQQ458738:EQR458738 FAM458738:FAN458738 FKI458738:FKJ458738 FUE458738:FUF458738 GEA458738:GEB458738 GNW458738:GNX458738 GXS458738:GXT458738 HHO458738:HHP458738 HRK458738:HRL458738 IBG458738:IBH458738 ILC458738:ILD458738 IUY458738:IUZ458738 JEU458738:JEV458738 JOQ458738:JOR458738 JYM458738:JYN458738 KII458738:KIJ458738 KSE458738:KSF458738 LCA458738:LCB458738 LLW458738:LLX458738 LVS458738:LVT458738 MFO458738:MFP458738 MPK458738:MPL458738 MZG458738:MZH458738 NJC458738:NJD458738 NSY458738:NSZ458738 OCU458738:OCV458738 OMQ458738:OMR458738 OWM458738:OWN458738 PGI458738:PGJ458738 PQE458738:PQF458738 QAA458738:QAB458738 QJW458738:QJX458738 QTS458738:QTT458738 RDO458738:RDP458738 RNK458738:RNL458738 RXG458738:RXH458738 SHC458738:SHD458738 SQY458738:SQZ458738 TAU458738:TAV458738 TKQ458738:TKR458738 TUM458738:TUN458738 UEI458738:UEJ458738 UOE458738:UOF458738 UYA458738:UYB458738 VHW458738:VHX458738 VRS458738:VRT458738 WBO458738:WBP458738 WLK458738:WLL458738 WVG458738:WVH458738 IU524274:IV524274 SQ524274:SR524274 ACM524274:ACN524274 AMI524274:AMJ524274 AWE524274:AWF524274 BGA524274:BGB524274 BPW524274:BPX524274 BZS524274:BZT524274 CJO524274:CJP524274 CTK524274:CTL524274 DDG524274:DDH524274 DNC524274:DND524274 DWY524274:DWZ524274 EGU524274:EGV524274 EQQ524274:EQR524274 FAM524274:FAN524274 FKI524274:FKJ524274 FUE524274:FUF524274 GEA524274:GEB524274 GNW524274:GNX524274 GXS524274:GXT524274 HHO524274:HHP524274 HRK524274:HRL524274 IBG524274:IBH524274 ILC524274:ILD524274 IUY524274:IUZ524274 JEU524274:JEV524274 JOQ524274:JOR524274 JYM524274:JYN524274 KII524274:KIJ524274 KSE524274:KSF524274 LCA524274:LCB524274 LLW524274:LLX524274 LVS524274:LVT524274 MFO524274:MFP524274 MPK524274:MPL524274 MZG524274:MZH524274 NJC524274:NJD524274 NSY524274:NSZ524274 OCU524274:OCV524274 OMQ524274:OMR524274 OWM524274:OWN524274 PGI524274:PGJ524274 PQE524274:PQF524274 QAA524274:QAB524274 QJW524274:QJX524274 QTS524274:QTT524274 RDO524274:RDP524274 RNK524274:RNL524274 RXG524274:RXH524274 SHC524274:SHD524274 SQY524274:SQZ524274 TAU524274:TAV524274 TKQ524274:TKR524274 TUM524274:TUN524274 UEI524274:UEJ524274 UOE524274:UOF524274 UYA524274:UYB524274 VHW524274:VHX524274 VRS524274:VRT524274 WBO524274:WBP524274 WLK524274:WLL524274 WVG524274:WVH524274 IU589810:IV589810 SQ589810:SR589810 ACM589810:ACN589810 AMI589810:AMJ589810 AWE589810:AWF589810 BGA589810:BGB589810 BPW589810:BPX589810 BZS589810:BZT589810 CJO589810:CJP589810 CTK589810:CTL589810 DDG589810:DDH589810 DNC589810:DND589810 DWY589810:DWZ589810 EGU589810:EGV589810 EQQ589810:EQR589810 FAM589810:FAN589810 FKI589810:FKJ589810 FUE589810:FUF589810 GEA589810:GEB589810 GNW589810:GNX589810 GXS589810:GXT589810 HHO589810:HHP589810 HRK589810:HRL589810 IBG589810:IBH589810 ILC589810:ILD589810 IUY589810:IUZ589810 JEU589810:JEV589810 JOQ589810:JOR589810 JYM589810:JYN589810 KII589810:KIJ589810 KSE589810:KSF589810 LCA589810:LCB589810 LLW589810:LLX589810 LVS589810:LVT589810 MFO589810:MFP589810 MPK589810:MPL589810 MZG589810:MZH589810 NJC589810:NJD589810 NSY589810:NSZ589810 OCU589810:OCV589810 OMQ589810:OMR589810 OWM589810:OWN589810 PGI589810:PGJ589810 PQE589810:PQF589810 QAA589810:QAB589810 QJW589810:QJX589810 QTS589810:QTT589810 RDO589810:RDP589810 RNK589810:RNL589810 RXG589810:RXH589810 SHC589810:SHD589810 SQY589810:SQZ589810 TAU589810:TAV589810 TKQ589810:TKR589810 TUM589810:TUN589810 UEI589810:UEJ589810 UOE589810:UOF589810 UYA589810:UYB589810 VHW589810:VHX589810 VRS589810:VRT589810 WBO589810:WBP589810 WLK589810:WLL589810 WVG589810:WVH589810 IU655346:IV655346 SQ655346:SR655346 ACM655346:ACN655346 AMI655346:AMJ655346 AWE655346:AWF655346 BGA655346:BGB655346 BPW655346:BPX655346 BZS655346:BZT655346 CJO655346:CJP655346 CTK655346:CTL655346 DDG655346:DDH655346 DNC655346:DND655346 DWY655346:DWZ655346 EGU655346:EGV655346 EQQ655346:EQR655346 FAM655346:FAN655346 FKI655346:FKJ655346 FUE655346:FUF655346 GEA655346:GEB655346 GNW655346:GNX655346 GXS655346:GXT655346 HHO655346:HHP655346 HRK655346:HRL655346 IBG655346:IBH655346 ILC655346:ILD655346 IUY655346:IUZ655346 JEU655346:JEV655346 JOQ655346:JOR655346 JYM655346:JYN655346 KII655346:KIJ655346 KSE655346:KSF655346 LCA655346:LCB655346 LLW655346:LLX655346 LVS655346:LVT655346 MFO655346:MFP655346 MPK655346:MPL655346 MZG655346:MZH655346 NJC655346:NJD655346 NSY655346:NSZ655346 OCU655346:OCV655346 OMQ655346:OMR655346 OWM655346:OWN655346 PGI655346:PGJ655346 PQE655346:PQF655346 QAA655346:QAB655346 QJW655346:QJX655346 QTS655346:QTT655346 RDO655346:RDP655346 RNK655346:RNL655346 RXG655346:RXH655346 SHC655346:SHD655346 SQY655346:SQZ655346 TAU655346:TAV655346 TKQ655346:TKR655346 TUM655346:TUN655346 UEI655346:UEJ655346 UOE655346:UOF655346 UYA655346:UYB655346 VHW655346:VHX655346 VRS655346:VRT655346 WBO655346:WBP655346 WLK655346:WLL655346 WVG655346:WVH655346 IU720882:IV720882 SQ720882:SR720882 ACM720882:ACN720882 AMI720882:AMJ720882 AWE720882:AWF720882 BGA720882:BGB720882 BPW720882:BPX720882 BZS720882:BZT720882 CJO720882:CJP720882 CTK720882:CTL720882 DDG720882:DDH720882 DNC720882:DND720882 DWY720882:DWZ720882 EGU720882:EGV720882 EQQ720882:EQR720882 FAM720882:FAN720882 FKI720882:FKJ720882 FUE720882:FUF720882 GEA720882:GEB720882 GNW720882:GNX720882 GXS720882:GXT720882 HHO720882:HHP720882 HRK720882:HRL720882 IBG720882:IBH720882 ILC720882:ILD720882 IUY720882:IUZ720882 JEU720882:JEV720882 JOQ720882:JOR720882 JYM720882:JYN720882 KII720882:KIJ720882 KSE720882:KSF720882 LCA720882:LCB720882 LLW720882:LLX720882 LVS720882:LVT720882 MFO720882:MFP720882 MPK720882:MPL720882 MZG720882:MZH720882 NJC720882:NJD720882 NSY720882:NSZ720882 OCU720882:OCV720882 OMQ720882:OMR720882 OWM720882:OWN720882 PGI720882:PGJ720882 PQE720882:PQF720882 QAA720882:QAB720882 QJW720882:QJX720882 QTS720882:QTT720882 RDO720882:RDP720882 RNK720882:RNL720882 RXG720882:RXH720882 SHC720882:SHD720882 SQY720882:SQZ720882 TAU720882:TAV720882 TKQ720882:TKR720882 TUM720882:TUN720882 UEI720882:UEJ720882 UOE720882:UOF720882 UYA720882:UYB720882 VHW720882:VHX720882 VRS720882:VRT720882 WBO720882:WBP720882 WLK720882:WLL720882 WVG720882:WVH720882 IU786418:IV786418 SQ786418:SR786418 ACM786418:ACN786418 AMI786418:AMJ786418 AWE786418:AWF786418 BGA786418:BGB786418 BPW786418:BPX786418 BZS786418:BZT786418 CJO786418:CJP786418 CTK786418:CTL786418 DDG786418:DDH786418 DNC786418:DND786418 DWY786418:DWZ786418 EGU786418:EGV786418 EQQ786418:EQR786418 FAM786418:FAN786418 FKI786418:FKJ786418 FUE786418:FUF786418 GEA786418:GEB786418 GNW786418:GNX786418 GXS786418:GXT786418 HHO786418:HHP786418 HRK786418:HRL786418 IBG786418:IBH786418 ILC786418:ILD786418 IUY786418:IUZ786418 JEU786418:JEV786418 JOQ786418:JOR786418 JYM786418:JYN786418 KII786418:KIJ786418 KSE786418:KSF786418 LCA786418:LCB786418 LLW786418:LLX786418 LVS786418:LVT786418 MFO786418:MFP786418 MPK786418:MPL786418 MZG786418:MZH786418 NJC786418:NJD786418 NSY786418:NSZ786418 OCU786418:OCV786418 OMQ786418:OMR786418 OWM786418:OWN786418 PGI786418:PGJ786418 PQE786418:PQF786418 QAA786418:QAB786418 QJW786418:QJX786418 QTS786418:QTT786418 RDO786418:RDP786418 RNK786418:RNL786418 RXG786418:RXH786418 SHC786418:SHD786418 SQY786418:SQZ786418 TAU786418:TAV786418 TKQ786418:TKR786418 TUM786418:TUN786418 UEI786418:UEJ786418 UOE786418:UOF786418 UYA786418:UYB786418 VHW786418:VHX786418 VRS786418:VRT786418 WBO786418:WBP786418 WLK786418:WLL786418 WVG786418:WVH786418 IU851954:IV851954 SQ851954:SR851954 ACM851954:ACN851954 AMI851954:AMJ851954 AWE851954:AWF851954 BGA851954:BGB851954 BPW851954:BPX851954 BZS851954:BZT851954 CJO851954:CJP851954 CTK851954:CTL851954 DDG851954:DDH851954 DNC851954:DND851954 DWY851954:DWZ851954 EGU851954:EGV851954 EQQ851954:EQR851954 FAM851954:FAN851954 FKI851954:FKJ851954 FUE851954:FUF851954 GEA851954:GEB851954 GNW851954:GNX851954 GXS851954:GXT851954 HHO851954:HHP851954 HRK851954:HRL851954 IBG851954:IBH851954 ILC851954:ILD851954 IUY851954:IUZ851954 JEU851954:JEV851954 JOQ851954:JOR851954 JYM851954:JYN851954 KII851954:KIJ851954 KSE851954:KSF851954 LCA851954:LCB851954 LLW851954:LLX851954 LVS851954:LVT851954 MFO851954:MFP851954 MPK851954:MPL851954 MZG851954:MZH851954 NJC851954:NJD851954 NSY851954:NSZ851954 OCU851954:OCV851954 OMQ851954:OMR851954 OWM851954:OWN851954 PGI851954:PGJ851954 PQE851954:PQF851954 QAA851954:QAB851954 QJW851954:QJX851954 QTS851954:QTT851954 RDO851954:RDP851954 RNK851954:RNL851954 RXG851954:RXH851954 SHC851954:SHD851954 SQY851954:SQZ851954 TAU851954:TAV851954 TKQ851954:TKR851954 TUM851954:TUN851954 UEI851954:UEJ851954 UOE851954:UOF851954 UYA851954:UYB851954 VHW851954:VHX851954 VRS851954:VRT851954 WBO851954:WBP851954 WLK851954:WLL851954 WVG851954:WVH851954 IU917490:IV917490 SQ917490:SR917490 ACM917490:ACN917490 AMI917490:AMJ917490 AWE917490:AWF917490 BGA917490:BGB917490 BPW917490:BPX917490 BZS917490:BZT917490 CJO917490:CJP917490 CTK917490:CTL917490 DDG917490:DDH917490 DNC917490:DND917490 DWY917490:DWZ917490 EGU917490:EGV917490 EQQ917490:EQR917490 FAM917490:FAN917490 FKI917490:FKJ917490 FUE917490:FUF917490 GEA917490:GEB917490 GNW917490:GNX917490 GXS917490:GXT917490 HHO917490:HHP917490 HRK917490:HRL917490 IBG917490:IBH917490 ILC917490:ILD917490 IUY917490:IUZ917490 JEU917490:JEV917490 JOQ917490:JOR917490 JYM917490:JYN917490 KII917490:KIJ917490 KSE917490:KSF917490 LCA917490:LCB917490 LLW917490:LLX917490 LVS917490:LVT917490 MFO917490:MFP917490 MPK917490:MPL917490 MZG917490:MZH917490 NJC917490:NJD917490 NSY917490:NSZ917490 OCU917490:OCV917490 OMQ917490:OMR917490 OWM917490:OWN917490 PGI917490:PGJ917490 PQE917490:PQF917490 QAA917490:QAB917490 QJW917490:QJX917490 QTS917490:QTT917490 RDO917490:RDP917490 RNK917490:RNL917490 RXG917490:RXH917490 SHC917490:SHD917490 SQY917490:SQZ917490 TAU917490:TAV917490 TKQ917490:TKR917490 TUM917490:TUN917490 UEI917490:UEJ917490 UOE917490:UOF917490 UYA917490:UYB917490 VHW917490:VHX917490 VRS917490:VRT917490 WBO917490:WBP917490 WLK917490:WLL917490 WVG917490:WVH917490 IU983026:IV983026 SQ983026:SR983026 ACM983026:ACN983026 AMI983026:AMJ983026 AWE983026:AWF983026 BGA983026:BGB983026 BPW983026:BPX983026 BZS983026:BZT983026 CJO983026:CJP983026 CTK983026:CTL983026 DDG983026:DDH983026 DNC983026:DND983026 DWY983026:DWZ983026 EGU983026:EGV983026 EQQ983026:EQR983026 FAM983026:FAN983026 FKI983026:FKJ983026 FUE983026:FUF983026 GEA983026:GEB983026 GNW983026:GNX983026 GXS983026:GXT983026 HHO983026:HHP983026 HRK983026:HRL983026 IBG983026:IBH983026 ILC983026:ILD983026 IUY983026:IUZ983026 JEU983026:JEV983026 JOQ983026:JOR983026 JYM983026:JYN983026 KII983026:KIJ983026 KSE983026:KSF983026 LCA983026:LCB983026 LLW983026:LLX983026 LVS983026:LVT983026 MFO983026:MFP983026 MPK983026:MPL983026 MZG983026:MZH983026 NJC983026:NJD983026 NSY983026:NSZ983026 OCU983026:OCV983026 OMQ983026:OMR983026 OWM983026:OWN983026 PGI983026:PGJ983026 PQE983026:PQF983026 QAA983026:QAB983026 QJW983026:QJX983026 QTS983026:QTT983026 RDO983026:RDP983026 RNK983026:RNL983026 RXG983026:RXH983026 SHC983026:SHD983026 SQY983026:SQZ983026 TAU983026:TAV983026 TKQ983026:TKR983026 TUM983026:TUN983026 UEI983026:UEJ983026 UOE983026:UOF983026 UYA983026:UYB983026 VHW983026:VHX983026 VRS983026:VRT983026 WBO983026:WBP983026 WLK983026:WLL983026 C65522:D65522 C131058:D131058 C196594:D196594 C262130:D262130 C327666:D327666 C393202:D393202 C458738:D458738 C524274:D524274 C589810:D589810 C655346:D655346 C720882:D720882 C786418:D786418 C851954:D851954 C917490:D917490 C983026:D983026 IU7:IV7 SQ7:SR7 ACM7:ACN7 AMI7:AMJ7 AWE7:AWF7 BGA7:BGB7 BPW7:BPX7 BZS7:BZT7 CJO7:CJP7 CTK7:CTL7 DDG7:DDH7 DNC7:DND7 DWY7:DWZ7 EGU7:EGV7 EQQ7:EQR7 FAM7:FAN7 FKI7:FKJ7 FUE7:FUF7 GEA7:GEB7 GNW7:GNX7 GXS7:GXT7 HHO7:HHP7 HRK7:HRL7 IBG7:IBH7 ILC7:ILD7 IUY7:IUZ7 JEU7:JEV7 JOQ7:JOR7 JYM7:JYN7 KII7:KIJ7 KSE7:KSF7 LCA7:LCB7 LLW7:LLX7 LVS7:LVT7 MFO7:MFP7 MPK7:MPL7 MZG7:MZH7 NJC7:NJD7 NSY7:NSZ7 OCU7:OCV7 OMQ7:OMR7 OWM7:OWN7 PGI7:PGJ7 PQE7:PQF7 QAA7:QAB7 QJW7:QJX7 QTS7:QTT7 RDO7:RDP7 RNK7:RNL7 RXG7:RXH7 SHC7:SHD7 SQY7:SQZ7 TAU7:TAV7 TKQ7:TKR7 TUM7:TUN7 UEI7:UEJ7 UOE7:UOF7 UYA7:UYB7 VHW7:VHX7 VRS7:VRT7 WBO7:WBP7 WLK7:WLL7 WVG7:WVH7">
      <formula1>NHSBOARDS11</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J118"/>
  <sheetViews>
    <sheetView workbookViewId="0">
      <selection activeCell="K19" sqref="K19"/>
    </sheetView>
  </sheetViews>
  <sheetFormatPr defaultRowHeight="15"/>
  <cols>
    <col min="1" max="1" width="18.28515625" style="6" customWidth="1"/>
    <col min="2" max="2" width="13.5703125" style="6" customWidth="1"/>
    <col min="3" max="3" width="15.140625" style="6" customWidth="1"/>
    <col min="4" max="5" width="12.85546875" style="6" customWidth="1"/>
    <col min="6" max="7" width="14.5703125" style="6" customWidth="1"/>
    <col min="8" max="252" width="9.140625" style="6"/>
    <col min="253" max="253" width="18.28515625" style="6" customWidth="1"/>
    <col min="254" max="254" width="13.5703125" style="6" customWidth="1"/>
    <col min="255" max="255" width="15.140625" style="6" customWidth="1"/>
    <col min="256" max="257" width="12.85546875" style="6" customWidth="1"/>
    <col min="258" max="258" width="12.5703125" style="6" customWidth="1"/>
    <col min="259" max="259" width="10.85546875" style="6" customWidth="1"/>
    <col min="260" max="262" width="14.5703125" style="6" customWidth="1"/>
    <col min="263" max="263" width="12.85546875" style="6" customWidth="1"/>
    <col min="264" max="508" width="9.140625" style="6"/>
    <col min="509" max="509" width="18.28515625" style="6" customWidth="1"/>
    <col min="510" max="510" width="13.5703125" style="6" customWidth="1"/>
    <col min="511" max="511" width="15.140625" style="6" customWidth="1"/>
    <col min="512" max="513" width="12.85546875" style="6" customWidth="1"/>
    <col min="514" max="514" width="12.5703125" style="6" customWidth="1"/>
    <col min="515" max="515" width="10.85546875" style="6" customWidth="1"/>
    <col min="516" max="518" width="14.5703125" style="6" customWidth="1"/>
    <col min="519" max="519" width="12.85546875" style="6" customWidth="1"/>
    <col min="520" max="764" width="9.140625" style="6"/>
    <col min="765" max="765" width="18.28515625" style="6" customWidth="1"/>
    <col min="766" max="766" width="13.5703125" style="6" customWidth="1"/>
    <col min="767" max="767" width="15.140625" style="6" customWidth="1"/>
    <col min="768" max="769" width="12.85546875" style="6" customWidth="1"/>
    <col min="770" max="770" width="12.5703125" style="6" customWidth="1"/>
    <col min="771" max="771" width="10.85546875" style="6" customWidth="1"/>
    <col min="772" max="774" width="14.5703125" style="6" customWidth="1"/>
    <col min="775" max="775" width="12.85546875" style="6" customWidth="1"/>
    <col min="776" max="1020" width="9.140625" style="6"/>
    <col min="1021" max="1021" width="18.28515625" style="6" customWidth="1"/>
    <col min="1022" max="1022" width="13.5703125" style="6" customWidth="1"/>
    <col min="1023" max="1023" width="15.140625" style="6" customWidth="1"/>
    <col min="1024" max="1025" width="12.85546875" style="6" customWidth="1"/>
    <col min="1026" max="1026" width="12.5703125" style="6" customWidth="1"/>
    <col min="1027" max="1027" width="10.85546875" style="6" customWidth="1"/>
    <col min="1028" max="1030" width="14.5703125" style="6" customWidth="1"/>
    <col min="1031" max="1031" width="12.85546875" style="6" customWidth="1"/>
    <col min="1032" max="1276" width="9.140625" style="6"/>
    <col min="1277" max="1277" width="18.28515625" style="6" customWidth="1"/>
    <col min="1278" max="1278" width="13.5703125" style="6" customWidth="1"/>
    <col min="1279" max="1279" width="15.140625" style="6" customWidth="1"/>
    <col min="1280" max="1281" width="12.85546875" style="6" customWidth="1"/>
    <col min="1282" max="1282" width="12.5703125" style="6" customWidth="1"/>
    <col min="1283" max="1283" width="10.85546875" style="6" customWidth="1"/>
    <col min="1284" max="1286" width="14.5703125" style="6" customWidth="1"/>
    <col min="1287" max="1287" width="12.85546875" style="6" customWidth="1"/>
    <col min="1288" max="1532" width="9.140625" style="6"/>
    <col min="1533" max="1533" width="18.28515625" style="6" customWidth="1"/>
    <col min="1534" max="1534" width="13.5703125" style="6" customWidth="1"/>
    <col min="1535" max="1535" width="15.140625" style="6" customWidth="1"/>
    <col min="1536" max="1537" width="12.85546875" style="6" customWidth="1"/>
    <col min="1538" max="1538" width="12.5703125" style="6" customWidth="1"/>
    <col min="1539" max="1539" width="10.85546875" style="6" customWidth="1"/>
    <col min="1540" max="1542" width="14.5703125" style="6" customWidth="1"/>
    <col min="1543" max="1543" width="12.85546875" style="6" customWidth="1"/>
    <col min="1544" max="1788" width="9.140625" style="6"/>
    <col min="1789" max="1789" width="18.28515625" style="6" customWidth="1"/>
    <col min="1790" max="1790" width="13.5703125" style="6" customWidth="1"/>
    <col min="1791" max="1791" width="15.140625" style="6" customWidth="1"/>
    <col min="1792" max="1793" width="12.85546875" style="6" customWidth="1"/>
    <col min="1794" max="1794" width="12.5703125" style="6" customWidth="1"/>
    <col min="1795" max="1795" width="10.85546875" style="6" customWidth="1"/>
    <col min="1796" max="1798" width="14.5703125" style="6" customWidth="1"/>
    <col min="1799" max="1799" width="12.85546875" style="6" customWidth="1"/>
    <col min="1800" max="2044" width="9.140625" style="6"/>
    <col min="2045" max="2045" width="18.28515625" style="6" customWidth="1"/>
    <col min="2046" max="2046" width="13.5703125" style="6" customWidth="1"/>
    <col min="2047" max="2047" width="15.140625" style="6" customWidth="1"/>
    <col min="2048" max="2049" width="12.85546875" style="6" customWidth="1"/>
    <col min="2050" max="2050" width="12.5703125" style="6" customWidth="1"/>
    <col min="2051" max="2051" width="10.85546875" style="6" customWidth="1"/>
    <col min="2052" max="2054" width="14.5703125" style="6" customWidth="1"/>
    <col min="2055" max="2055" width="12.85546875" style="6" customWidth="1"/>
    <col min="2056" max="2300" width="9.140625" style="6"/>
    <col min="2301" max="2301" width="18.28515625" style="6" customWidth="1"/>
    <col min="2302" max="2302" width="13.5703125" style="6" customWidth="1"/>
    <col min="2303" max="2303" width="15.140625" style="6" customWidth="1"/>
    <col min="2304" max="2305" width="12.85546875" style="6" customWidth="1"/>
    <col min="2306" max="2306" width="12.5703125" style="6" customWidth="1"/>
    <col min="2307" max="2307" width="10.85546875" style="6" customWidth="1"/>
    <col min="2308" max="2310" width="14.5703125" style="6" customWidth="1"/>
    <col min="2311" max="2311" width="12.85546875" style="6" customWidth="1"/>
    <col min="2312" max="2556" width="9.140625" style="6"/>
    <col min="2557" max="2557" width="18.28515625" style="6" customWidth="1"/>
    <col min="2558" max="2558" width="13.5703125" style="6" customWidth="1"/>
    <col min="2559" max="2559" width="15.140625" style="6" customWidth="1"/>
    <col min="2560" max="2561" width="12.85546875" style="6" customWidth="1"/>
    <col min="2562" max="2562" width="12.5703125" style="6" customWidth="1"/>
    <col min="2563" max="2563" width="10.85546875" style="6" customWidth="1"/>
    <col min="2564" max="2566" width="14.5703125" style="6" customWidth="1"/>
    <col min="2567" max="2567" width="12.85546875" style="6" customWidth="1"/>
    <col min="2568" max="2812" width="9.140625" style="6"/>
    <col min="2813" max="2813" width="18.28515625" style="6" customWidth="1"/>
    <col min="2814" max="2814" width="13.5703125" style="6" customWidth="1"/>
    <col min="2815" max="2815" width="15.140625" style="6" customWidth="1"/>
    <col min="2816" max="2817" width="12.85546875" style="6" customWidth="1"/>
    <col min="2818" max="2818" width="12.5703125" style="6" customWidth="1"/>
    <col min="2819" max="2819" width="10.85546875" style="6" customWidth="1"/>
    <col min="2820" max="2822" width="14.5703125" style="6" customWidth="1"/>
    <col min="2823" max="2823" width="12.85546875" style="6" customWidth="1"/>
    <col min="2824" max="3068" width="9.140625" style="6"/>
    <col min="3069" max="3069" width="18.28515625" style="6" customWidth="1"/>
    <col min="3070" max="3070" width="13.5703125" style="6" customWidth="1"/>
    <col min="3071" max="3071" width="15.140625" style="6" customWidth="1"/>
    <col min="3072" max="3073" width="12.85546875" style="6" customWidth="1"/>
    <col min="3074" max="3074" width="12.5703125" style="6" customWidth="1"/>
    <col min="3075" max="3075" width="10.85546875" style="6" customWidth="1"/>
    <col min="3076" max="3078" width="14.5703125" style="6" customWidth="1"/>
    <col min="3079" max="3079" width="12.85546875" style="6" customWidth="1"/>
    <col min="3080" max="3324" width="9.140625" style="6"/>
    <col min="3325" max="3325" width="18.28515625" style="6" customWidth="1"/>
    <col min="3326" max="3326" width="13.5703125" style="6" customWidth="1"/>
    <col min="3327" max="3327" width="15.140625" style="6" customWidth="1"/>
    <col min="3328" max="3329" width="12.85546875" style="6" customWidth="1"/>
    <col min="3330" max="3330" width="12.5703125" style="6" customWidth="1"/>
    <col min="3331" max="3331" width="10.85546875" style="6" customWidth="1"/>
    <col min="3332" max="3334" width="14.5703125" style="6" customWidth="1"/>
    <col min="3335" max="3335" width="12.85546875" style="6" customWidth="1"/>
    <col min="3336" max="3580" width="9.140625" style="6"/>
    <col min="3581" max="3581" width="18.28515625" style="6" customWidth="1"/>
    <col min="3582" max="3582" width="13.5703125" style="6" customWidth="1"/>
    <col min="3583" max="3583" width="15.140625" style="6" customWidth="1"/>
    <col min="3584" max="3585" width="12.85546875" style="6" customWidth="1"/>
    <col min="3586" max="3586" width="12.5703125" style="6" customWidth="1"/>
    <col min="3587" max="3587" width="10.85546875" style="6" customWidth="1"/>
    <col min="3588" max="3590" width="14.5703125" style="6" customWidth="1"/>
    <col min="3591" max="3591" width="12.85546875" style="6" customWidth="1"/>
    <col min="3592" max="3836" width="9.140625" style="6"/>
    <col min="3837" max="3837" width="18.28515625" style="6" customWidth="1"/>
    <col min="3838" max="3838" width="13.5703125" style="6" customWidth="1"/>
    <col min="3839" max="3839" width="15.140625" style="6" customWidth="1"/>
    <col min="3840" max="3841" width="12.85546875" style="6" customWidth="1"/>
    <col min="3842" max="3842" width="12.5703125" style="6" customWidth="1"/>
    <col min="3843" max="3843" width="10.85546875" style="6" customWidth="1"/>
    <col min="3844" max="3846" width="14.5703125" style="6" customWidth="1"/>
    <col min="3847" max="3847" width="12.85546875" style="6" customWidth="1"/>
    <col min="3848" max="4092" width="9.140625" style="6"/>
    <col min="4093" max="4093" width="18.28515625" style="6" customWidth="1"/>
    <col min="4094" max="4094" width="13.5703125" style="6" customWidth="1"/>
    <col min="4095" max="4095" width="15.140625" style="6" customWidth="1"/>
    <col min="4096" max="4097" width="12.85546875" style="6" customWidth="1"/>
    <col min="4098" max="4098" width="12.5703125" style="6" customWidth="1"/>
    <col min="4099" max="4099" width="10.85546875" style="6" customWidth="1"/>
    <col min="4100" max="4102" width="14.5703125" style="6" customWidth="1"/>
    <col min="4103" max="4103" width="12.85546875" style="6" customWidth="1"/>
    <col min="4104" max="4348" width="9.140625" style="6"/>
    <col min="4349" max="4349" width="18.28515625" style="6" customWidth="1"/>
    <col min="4350" max="4350" width="13.5703125" style="6" customWidth="1"/>
    <col min="4351" max="4351" width="15.140625" style="6" customWidth="1"/>
    <col min="4352" max="4353" width="12.85546875" style="6" customWidth="1"/>
    <col min="4354" max="4354" width="12.5703125" style="6" customWidth="1"/>
    <col min="4355" max="4355" width="10.85546875" style="6" customWidth="1"/>
    <col min="4356" max="4358" width="14.5703125" style="6" customWidth="1"/>
    <col min="4359" max="4359" width="12.85546875" style="6" customWidth="1"/>
    <col min="4360" max="4604" width="9.140625" style="6"/>
    <col min="4605" max="4605" width="18.28515625" style="6" customWidth="1"/>
    <col min="4606" max="4606" width="13.5703125" style="6" customWidth="1"/>
    <col min="4607" max="4607" width="15.140625" style="6" customWidth="1"/>
    <col min="4608" max="4609" width="12.85546875" style="6" customWidth="1"/>
    <col min="4610" max="4610" width="12.5703125" style="6" customWidth="1"/>
    <col min="4611" max="4611" width="10.85546875" style="6" customWidth="1"/>
    <col min="4612" max="4614" width="14.5703125" style="6" customWidth="1"/>
    <col min="4615" max="4615" width="12.85546875" style="6" customWidth="1"/>
    <col min="4616" max="4860" width="9.140625" style="6"/>
    <col min="4861" max="4861" width="18.28515625" style="6" customWidth="1"/>
    <col min="4862" max="4862" width="13.5703125" style="6" customWidth="1"/>
    <col min="4863" max="4863" width="15.140625" style="6" customWidth="1"/>
    <col min="4864" max="4865" width="12.85546875" style="6" customWidth="1"/>
    <col min="4866" max="4866" width="12.5703125" style="6" customWidth="1"/>
    <col min="4867" max="4867" width="10.85546875" style="6" customWidth="1"/>
    <col min="4868" max="4870" width="14.5703125" style="6" customWidth="1"/>
    <col min="4871" max="4871" width="12.85546875" style="6" customWidth="1"/>
    <col min="4872" max="5116" width="9.140625" style="6"/>
    <col min="5117" max="5117" width="18.28515625" style="6" customWidth="1"/>
    <col min="5118" max="5118" width="13.5703125" style="6" customWidth="1"/>
    <col min="5119" max="5119" width="15.140625" style="6" customWidth="1"/>
    <col min="5120" max="5121" width="12.85546875" style="6" customWidth="1"/>
    <col min="5122" max="5122" width="12.5703125" style="6" customWidth="1"/>
    <col min="5123" max="5123" width="10.85546875" style="6" customWidth="1"/>
    <col min="5124" max="5126" width="14.5703125" style="6" customWidth="1"/>
    <col min="5127" max="5127" width="12.85546875" style="6" customWidth="1"/>
    <col min="5128" max="5372" width="9.140625" style="6"/>
    <col min="5373" max="5373" width="18.28515625" style="6" customWidth="1"/>
    <col min="5374" max="5374" width="13.5703125" style="6" customWidth="1"/>
    <col min="5375" max="5375" width="15.140625" style="6" customWidth="1"/>
    <col min="5376" max="5377" width="12.85546875" style="6" customWidth="1"/>
    <col min="5378" max="5378" width="12.5703125" style="6" customWidth="1"/>
    <col min="5379" max="5379" width="10.85546875" style="6" customWidth="1"/>
    <col min="5380" max="5382" width="14.5703125" style="6" customWidth="1"/>
    <col min="5383" max="5383" width="12.85546875" style="6" customWidth="1"/>
    <col min="5384" max="5628" width="9.140625" style="6"/>
    <col min="5629" max="5629" width="18.28515625" style="6" customWidth="1"/>
    <col min="5630" max="5630" width="13.5703125" style="6" customWidth="1"/>
    <col min="5631" max="5631" width="15.140625" style="6" customWidth="1"/>
    <col min="5632" max="5633" width="12.85546875" style="6" customWidth="1"/>
    <col min="5634" max="5634" width="12.5703125" style="6" customWidth="1"/>
    <col min="5635" max="5635" width="10.85546875" style="6" customWidth="1"/>
    <col min="5636" max="5638" width="14.5703125" style="6" customWidth="1"/>
    <col min="5639" max="5639" width="12.85546875" style="6" customWidth="1"/>
    <col min="5640" max="5884" width="9.140625" style="6"/>
    <col min="5885" max="5885" width="18.28515625" style="6" customWidth="1"/>
    <col min="5886" max="5886" width="13.5703125" style="6" customWidth="1"/>
    <col min="5887" max="5887" width="15.140625" style="6" customWidth="1"/>
    <col min="5888" max="5889" width="12.85546875" style="6" customWidth="1"/>
    <col min="5890" max="5890" width="12.5703125" style="6" customWidth="1"/>
    <col min="5891" max="5891" width="10.85546875" style="6" customWidth="1"/>
    <col min="5892" max="5894" width="14.5703125" style="6" customWidth="1"/>
    <col min="5895" max="5895" width="12.85546875" style="6" customWidth="1"/>
    <col min="5896" max="6140" width="9.140625" style="6"/>
    <col min="6141" max="6141" width="18.28515625" style="6" customWidth="1"/>
    <col min="6142" max="6142" width="13.5703125" style="6" customWidth="1"/>
    <col min="6143" max="6143" width="15.140625" style="6" customWidth="1"/>
    <col min="6144" max="6145" width="12.85546875" style="6" customWidth="1"/>
    <col min="6146" max="6146" width="12.5703125" style="6" customWidth="1"/>
    <col min="6147" max="6147" width="10.85546875" style="6" customWidth="1"/>
    <col min="6148" max="6150" width="14.5703125" style="6" customWidth="1"/>
    <col min="6151" max="6151" width="12.85546875" style="6" customWidth="1"/>
    <col min="6152" max="6396" width="9.140625" style="6"/>
    <col min="6397" max="6397" width="18.28515625" style="6" customWidth="1"/>
    <col min="6398" max="6398" width="13.5703125" style="6" customWidth="1"/>
    <col min="6399" max="6399" width="15.140625" style="6" customWidth="1"/>
    <col min="6400" max="6401" width="12.85546875" style="6" customWidth="1"/>
    <col min="6402" max="6402" width="12.5703125" style="6" customWidth="1"/>
    <col min="6403" max="6403" width="10.85546875" style="6" customWidth="1"/>
    <col min="6404" max="6406" width="14.5703125" style="6" customWidth="1"/>
    <col min="6407" max="6407" width="12.85546875" style="6" customWidth="1"/>
    <col min="6408" max="6652" width="9.140625" style="6"/>
    <col min="6653" max="6653" width="18.28515625" style="6" customWidth="1"/>
    <col min="6654" max="6654" width="13.5703125" style="6" customWidth="1"/>
    <col min="6655" max="6655" width="15.140625" style="6" customWidth="1"/>
    <col min="6656" max="6657" width="12.85546875" style="6" customWidth="1"/>
    <col min="6658" max="6658" width="12.5703125" style="6" customWidth="1"/>
    <col min="6659" max="6659" width="10.85546875" style="6" customWidth="1"/>
    <col min="6660" max="6662" width="14.5703125" style="6" customWidth="1"/>
    <col min="6663" max="6663" width="12.85546875" style="6" customWidth="1"/>
    <col min="6664" max="6908" width="9.140625" style="6"/>
    <col min="6909" max="6909" width="18.28515625" style="6" customWidth="1"/>
    <col min="6910" max="6910" width="13.5703125" style="6" customWidth="1"/>
    <col min="6911" max="6911" width="15.140625" style="6" customWidth="1"/>
    <col min="6912" max="6913" width="12.85546875" style="6" customWidth="1"/>
    <col min="6914" max="6914" width="12.5703125" style="6" customWidth="1"/>
    <col min="6915" max="6915" width="10.85546875" style="6" customWidth="1"/>
    <col min="6916" max="6918" width="14.5703125" style="6" customWidth="1"/>
    <col min="6919" max="6919" width="12.85546875" style="6" customWidth="1"/>
    <col min="6920" max="7164" width="9.140625" style="6"/>
    <col min="7165" max="7165" width="18.28515625" style="6" customWidth="1"/>
    <col min="7166" max="7166" width="13.5703125" style="6" customWidth="1"/>
    <col min="7167" max="7167" width="15.140625" style="6" customWidth="1"/>
    <col min="7168" max="7169" width="12.85546875" style="6" customWidth="1"/>
    <col min="7170" max="7170" width="12.5703125" style="6" customWidth="1"/>
    <col min="7171" max="7171" width="10.85546875" style="6" customWidth="1"/>
    <col min="7172" max="7174" width="14.5703125" style="6" customWidth="1"/>
    <col min="7175" max="7175" width="12.85546875" style="6" customWidth="1"/>
    <col min="7176" max="7420" width="9.140625" style="6"/>
    <col min="7421" max="7421" width="18.28515625" style="6" customWidth="1"/>
    <col min="7422" max="7422" width="13.5703125" style="6" customWidth="1"/>
    <col min="7423" max="7423" width="15.140625" style="6" customWidth="1"/>
    <col min="7424" max="7425" width="12.85546875" style="6" customWidth="1"/>
    <col min="7426" max="7426" width="12.5703125" style="6" customWidth="1"/>
    <col min="7427" max="7427" width="10.85546875" style="6" customWidth="1"/>
    <col min="7428" max="7430" width="14.5703125" style="6" customWidth="1"/>
    <col min="7431" max="7431" width="12.85546875" style="6" customWidth="1"/>
    <col min="7432" max="7676" width="9.140625" style="6"/>
    <col min="7677" max="7677" width="18.28515625" style="6" customWidth="1"/>
    <col min="7678" max="7678" width="13.5703125" style="6" customWidth="1"/>
    <col min="7679" max="7679" width="15.140625" style="6" customWidth="1"/>
    <col min="7680" max="7681" width="12.85546875" style="6" customWidth="1"/>
    <col min="7682" max="7682" width="12.5703125" style="6" customWidth="1"/>
    <col min="7683" max="7683" width="10.85546875" style="6" customWidth="1"/>
    <col min="7684" max="7686" width="14.5703125" style="6" customWidth="1"/>
    <col min="7687" max="7687" width="12.85546875" style="6" customWidth="1"/>
    <col min="7688" max="7932" width="9.140625" style="6"/>
    <col min="7933" max="7933" width="18.28515625" style="6" customWidth="1"/>
    <col min="7934" max="7934" width="13.5703125" style="6" customWidth="1"/>
    <col min="7935" max="7935" width="15.140625" style="6" customWidth="1"/>
    <col min="7936" max="7937" width="12.85546875" style="6" customWidth="1"/>
    <col min="7938" max="7938" width="12.5703125" style="6" customWidth="1"/>
    <col min="7939" max="7939" width="10.85546875" style="6" customWidth="1"/>
    <col min="7940" max="7942" width="14.5703125" style="6" customWidth="1"/>
    <col min="7943" max="7943" width="12.85546875" style="6" customWidth="1"/>
    <col min="7944" max="8188" width="9.140625" style="6"/>
    <col min="8189" max="8189" width="18.28515625" style="6" customWidth="1"/>
    <col min="8190" max="8190" width="13.5703125" style="6" customWidth="1"/>
    <col min="8191" max="8191" width="15.140625" style="6" customWidth="1"/>
    <col min="8192" max="8193" width="12.85546875" style="6" customWidth="1"/>
    <col min="8194" max="8194" width="12.5703125" style="6" customWidth="1"/>
    <col min="8195" max="8195" width="10.85546875" style="6" customWidth="1"/>
    <col min="8196" max="8198" width="14.5703125" style="6" customWidth="1"/>
    <col min="8199" max="8199" width="12.85546875" style="6" customWidth="1"/>
    <col min="8200" max="8444" width="9.140625" style="6"/>
    <col min="8445" max="8445" width="18.28515625" style="6" customWidth="1"/>
    <col min="8446" max="8446" width="13.5703125" style="6" customWidth="1"/>
    <col min="8447" max="8447" width="15.140625" style="6" customWidth="1"/>
    <col min="8448" max="8449" width="12.85546875" style="6" customWidth="1"/>
    <col min="8450" max="8450" width="12.5703125" style="6" customWidth="1"/>
    <col min="8451" max="8451" width="10.85546875" style="6" customWidth="1"/>
    <col min="8452" max="8454" width="14.5703125" style="6" customWidth="1"/>
    <col min="8455" max="8455" width="12.85546875" style="6" customWidth="1"/>
    <col min="8456" max="8700" width="9.140625" style="6"/>
    <col min="8701" max="8701" width="18.28515625" style="6" customWidth="1"/>
    <col min="8702" max="8702" width="13.5703125" style="6" customWidth="1"/>
    <col min="8703" max="8703" width="15.140625" style="6" customWidth="1"/>
    <col min="8704" max="8705" width="12.85546875" style="6" customWidth="1"/>
    <col min="8706" max="8706" width="12.5703125" style="6" customWidth="1"/>
    <col min="8707" max="8707" width="10.85546875" style="6" customWidth="1"/>
    <col min="8708" max="8710" width="14.5703125" style="6" customWidth="1"/>
    <col min="8711" max="8711" width="12.85546875" style="6" customWidth="1"/>
    <col min="8712" max="8956" width="9.140625" style="6"/>
    <col min="8957" max="8957" width="18.28515625" style="6" customWidth="1"/>
    <col min="8958" max="8958" width="13.5703125" style="6" customWidth="1"/>
    <col min="8959" max="8959" width="15.140625" style="6" customWidth="1"/>
    <col min="8960" max="8961" width="12.85546875" style="6" customWidth="1"/>
    <col min="8962" max="8962" width="12.5703125" style="6" customWidth="1"/>
    <col min="8963" max="8963" width="10.85546875" style="6" customWidth="1"/>
    <col min="8964" max="8966" width="14.5703125" style="6" customWidth="1"/>
    <col min="8967" max="8967" width="12.85546875" style="6" customWidth="1"/>
    <col min="8968" max="9212" width="9.140625" style="6"/>
    <col min="9213" max="9213" width="18.28515625" style="6" customWidth="1"/>
    <col min="9214" max="9214" width="13.5703125" style="6" customWidth="1"/>
    <col min="9215" max="9215" width="15.140625" style="6" customWidth="1"/>
    <col min="9216" max="9217" width="12.85546875" style="6" customWidth="1"/>
    <col min="9218" max="9218" width="12.5703125" style="6" customWidth="1"/>
    <col min="9219" max="9219" width="10.85546875" style="6" customWidth="1"/>
    <col min="9220" max="9222" width="14.5703125" style="6" customWidth="1"/>
    <col min="9223" max="9223" width="12.85546875" style="6" customWidth="1"/>
    <col min="9224" max="9468" width="9.140625" style="6"/>
    <col min="9469" max="9469" width="18.28515625" style="6" customWidth="1"/>
    <col min="9470" max="9470" width="13.5703125" style="6" customWidth="1"/>
    <col min="9471" max="9471" width="15.140625" style="6" customWidth="1"/>
    <col min="9472" max="9473" width="12.85546875" style="6" customWidth="1"/>
    <col min="9474" max="9474" width="12.5703125" style="6" customWidth="1"/>
    <col min="9475" max="9475" width="10.85546875" style="6" customWidth="1"/>
    <col min="9476" max="9478" width="14.5703125" style="6" customWidth="1"/>
    <col min="9479" max="9479" width="12.85546875" style="6" customWidth="1"/>
    <col min="9480" max="9724" width="9.140625" style="6"/>
    <col min="9725" max="9725" width="18.28515625" style="6" customWidth="1"/>
    <col min="9726" max="9726" width="13.5703125" style="6" customWidth="1"/>
    <col min="9727" max="9727" width="15.140625" style="6" customWidth="1"/>
    <col min="9728" max="9729" width="12.85546875" style="6" customWidth="1"/>
    <col min="9730" max="9730" width="12.5703125" style="6" customWidth="1"/>
    <col min="9731" max="9731" width="10.85546875" style="6" customWidth="1"/>
    <col min="9732" max="9734" width="14.5703125" style="6" customWidth="1"/>
    <col min="9735" max="9735" width="12.85546875" style="6" customWidth="1"/>
    <col min="9736" max="9980" width="9.140625" style="6"/>
    <col min="9981" max="9981" width="18.28515625" style="6" customWidth="1"/>
    <col min="9982" max="9982" width="13.5703125" style="6" customWidth="1"/>
    <col min="9983" max="9983" width="15.140625" style="6" customWidth="1"/>
    <col min="9984" max="9985" width="12.85546875" style="6" customWidth="1"/>
    <col min="9986" max="9986" width="12.5703125" style="6" customWidth="1"/>
    <col min="9987" max="9987" width="10.85546875" style="6" customWidth="1"/>
    <col min="9988" max="9990" width="14.5703125" style="6" customWidth="1"/>
    <col min="9991" max="9991" width="12.85546875" style="6" customWidth="1"/>
    <col min="9992" max="10236" width="9.140625" style="6"/>
    <col min="10237" max="10237" width="18.28515625" style="6" customWidth="1"/>
    <col min="10238" max="10238" width="13.5703125" style="6" customWidth="1"/>
    <col min="10239" max="10239" width="15.140625" style="6" customWidth="1"/>
    <col min="10240" max="10241" width="12.85546875" style="6" customWidth="1"/>
    <col min="10242" max="10242" width="12.5703125" style="6" customWidth="1"/>
    <col min="10243" max="10243" width="10.85546875" style="6" customWidth="1"/>
    <col min="10244" max="10246" width="14.5703125" style="6" customWidth="1"/>
    <col min="10247" max="10247" width="12.85546875" style="6" customWidth="1"/>
    <col min="10248" max="10492" width="9.140625" style="6"/>
    <col min="10493" max="10493" width="18.28515625" style="6" customWidth="1"/>
    <col min="10494" max="10494" width="13.5703125" style="6" customWidth="1"/>
    <col min="10495" max="10495" width="15.140625" style="6" customWidth="1"/>
    <col min="10496" max="10497" width="12.85546875" style="6" customWidth="1"/>
    <col min="10498" max="10498" width="12.5703125" style="6" customWidth="1"/>
    <col min="10499" max="10499" width="10.85546875" style="6" customWidth="1"/>
    <col min="10500" max="10502" width="14.5703125" style="6" customWidth="1"/>
    <col min="10503" max="10503" width="12.85546875" style="6" customWidth="1"/>
    <col min="10504" max="10748" width="9.140625" style="6"/>
    <col min="10749" max="10749" width="18.28515625" style="6" customWidth="1"/>
    <col min="10750" max="10750" width="13.5703125" style="6" customWidth="1"/>
    <col min="10751" max="10751" width="15.140625" style="6" customWidth="1"/>
    <col min="10752" max="10753" width="12.85546875" style="6" customWidth="1"/>
    <col min="10754" max="10754" width="12.5703125" style="6" customWidth="1"/>
    <col min="10755" max="10755" width="10.85546875" style="6" customWidth="1"/>
    <col min="10756" max="10758" width="14.5703125" style="6" customWidth="1"/>
    <col min="10759" max="10759" width="12.85546875" style="6" customWidth="1"/>
    <col min="10760" max="11004" width="9.140625" style="6"/>
    <col min="11005" max="11005" width="18.28515625" style="6" customWidth="1"/>
    <col min="11006" max="11006" width="13.5703125" style="6" customWidth="1"/>
    <col min="11007" max="11007" width="15.140625" style="6" customWidth="1"/>
    <col min="11008" max="11009" width="12.85546875" style="6" customWidth="1"/>
    <col min="11010" max="11010" width="12.5703125" style="6" customWidth="1"/>
    <col min="11011" max="11011" width="10.85546875" style="6" customWidth="1"/>
    <col min="11012" max="11014" width="14.5703125" style="6" customWidth="1"/>
    <col min="11015" max="11015" width="12.85546875" style="6" customWidth="1"/>
    <col min="11016" max="11260" width="9.140625" style="6"/>
    <col min="11261" max="11261" width="18.28515625" style="6" customWidth="1"/>
    <col min="11262" max="11262" width="13.5703125" style="6" customWidth="1"/>
    <col min="11263" max="11263" width="15.140625" style="6" customWidth="1"/>
    <col min="11264" max="11265" width="12.85546875" style="6" customWidth="1"/>
    <col min="11266" max="11266" width="12.5703125" style="6" customWidth="1"/>
    <col min="11267" max="11267" width="10.85546875" style="6" customWidth="1"/>
    <col min="11268" max="11270" width="14.5703125" style="6" customWidth="1"/>
    <col min="11271" max="11271" width="12.85546875" style="6" customWidth="1"/>
    <col min="11272" max="11516" width="9.140625" style="6"/>
    <col min="11517" max="11517" width="18.28515625" style="6" customWidth="1"/>
    <col min="11518" max="11518" width="13.5703125" style="6" customWidth="1"/>
    <col min="11519" max="11519" width="15.140625" style="6" customWidth="1"/>
    <col min="11520" max="11521" width="12.85546875" style="6" customWidth="1"/>
    <col min="11522" max="11522" width="12.5703125" style="6" customWidth="1"/>
    <col min="11523" max="11523" width="10.85546875" style="6" customWidth="1"/>
    <col min="11524" max="11526" width="14.5703125" style="6" customWidth="1"/>
    <col min="11527" max="11527" width="12.85546875" style="6" customWidth="1"/>
    <col min="11528" max="11772" width="9.140625" style="6"/>
    <col min="11773" max="11773" width="18.28515625" style="6" customWidth="1"/>
    <col min="11774" max="11774" width="13.5703125" style="6" customWidth="1"/>
    <col min="11775" max="11775" width="15.140625" style="6" customWidth="1"/>
    <col min="11776" max="11777" width="12.85546875" style="6" customWidth="1"/>
    <col min="11778" max="11778" width="12.5703125" style="6" customWidth="1"/>
    <col min="11779" max="11779" width="10.85546875" style="6" customWidth="1"/>
    <col min="11780" max="11782" width="14.5703125" style="6" customWidth="1"/>
    <col min="11783" max="11783" width="12.85546875" style="6" customWidth="1"/>
    <col min="11784" max="12028" width="9.140625" style="6"/>
    <col min="12029" max="12029" width="18.28515625" style="6" customWidth="1"/>
    <col min="12030" max="12030" width="13.5703125" style="6" customWidth="1"/>
    <col min="12031" max="12031" width="15.140625" style="6" customWidth="1"/>
    <col min="12032" max="12033" width="12.85546875" style="6" customWidth="1"/>
    <col min="12034" max="12034" width="12.5703125" style="6" customWidth="1"/>
    <col min="12035" max="12035" width="10.85546875" style="6" customWidth="1"/>
    <col min="12036" max="12038" width="14.5703125" style="6" customWidth="1"/>
    <col min="12039" max="12039" width="12.85546875" style="6" customWidth="1"/>
    <col min="12040" max="12284" width="9.140625" style="6"/>
    <col min="12285" max="12285" width="18.28515625" style="6" customWidth="1"/>
    <col min="12286" max="12286" width="13.5703125" style="6" customWidth="1"/>
    <col min="12287" max="12287" width="15.140625" style="6" customWidth="1"/>
    <col min="12288" max="12289" width="12.85546875" style="6" customWidth="1"/>
    <col min="12290" max="12290" width="12.5703125" style="6" customWidth="1"/>
    <col min="12291" max="12291" width="10.85546875" style="6" customWidth="1"/>
    <col min="12292" max="12294" width="14.5703125" style="6" customWidth="1"/>
    <col min="12295" max="12295" width="12.85546875" style="6" customWidth="1"/>
    <col min="12296" max="12540" width="9.140625" style="6"/>
    <col min="12541" max="12541" width="18.28515625" style="6" customWidth="1"/>
    <col min="12542" max="12542" width="13.5703125" style="6" customWidth="1"/>
    <col min="12543" max="12543" width="15.140625" style="6" customWidth="1"/>
    <col min="12544" max="12545" width="12.85546875" style="6" customWidth="1"/>
    <col min="12546" max="12546" width="12.5703125" style="6" customWidth="1"/>
    <col min="12547" max="12547" width="10.85546875" style="6" customWidth="1"/>
    <col min="12548" max="12550" width="14.5703125" style="6" customWidth="1"/>
    <col min="12551" max="12551" width="12.85546875" style="6" customWidth="1"/>
    <col min="12552" max="12796" width="9.140625" style="6"/>
    <col min="12797" max="12797" width="18.28515625" style="6" customWidth="1"/>
    <col min="12798" max="12798" width="13.5703125" style="6" customWidth="1"/>
    <col min="12799" max="12799" width="15.140625" style="6" customWidth="1"/>
    <col min="12800" max="12801" width="12.85546875" style="6" customWidth="1"/>
    <col min="12802" max="12802" width="12.5703125" style="6" customWidth="1"/>
    <col min="12803" max="12803" width="10.85546875" style="6" customWidth="1"/>
    <col min="12804" max="12806" width="14.5703125" style="6" customWidth="1"/>
    <col min="12807" max="12807" width="12.85546875" style="6" customWidth="1"/>
    <col min="12808" max="13052" width="9.140625" style="6"/>
    <col min="13053" max="13053" width="18.28515625" style="6" customWidth="1"/>
    <col min="13054" max="13054" width="13.5703125" style="6" customWidth="1"/>
    <col min="13055" max="13055" width="15.140625" style="6" customWidth="1"/>
    <col min="13056" max="13057" width="12.85546875" style="6" customWidth="1"/>
    <col min="13058" max="13058" width="12.5703125" style="6" customWidth="1"/>
    <col min="13059" max="13059" width="10.85546875" style="6" customWidth="1"/>
    <col min="13060" max="13062" width="14.5703125" style="6" customWidth="1"/>
    <col min="13063" max="13063" width="12.85546875" style="6" customWidth="1"/>
    <col min="13064" max="13308" width="9.140625" style="6"/>
    <col min="13309" max="13309" width="18.28515625" style="6" customWidth="1"/>
    <col min="13310" max="13310" width="13.5703125" style="6" customWidth="1"/>
    <col min="13311" max="13311" width="15.140625" style="6" customWidth="1"/>
    <col min="13312" max="13313" width="12.85546875" style="6" customWidth="1"/>
    <col min="13314" max="13314" width="12.5703125" style="6" customWidth="1"/>
    <col min="13315" max="13315" width="10.85546875" style="6" customWidth="1"/>
    <col min="13316" max="13318" width="14.5703125" style="6" customWidth="1"/>
    <col min="13319" max="13319" width="12.85546875" style="6" customWidth="1"/>
    <col min="13320" max="13564" width="9.140625" style="6"/>
    <col min="13565" max="13565" width="18.28515625" style="6" customWidth="1"/>
    <col min="13566" max="13566" width="13.5703125" style="6" customWidth="1"/>
    <col min="13567" max="13567" width="15.140625" style="6" customWidth="1"/>
    <col min="13568" max="13569" width="12.85546875" style="6" customWidth="1"/>
    <col min="13570" max="13570" width="12.5703125" style="6" customWidth="1"/>
    <col min="13571" max="13571" width="10.85546875" style="6" customWidth="1"/>
    <col min="13572" max="13574" width="14.5703125" style="6" customWidth="1"/>
    <col min="13575" max="13575" width="12.85546875" style="6" customWidth="1"/>
    <col min="13576" max="13820" width="9.140625" style="6"/>
    <col min="13821" max="13821" width="18.28515625" style="6" customWidth="1"/>
    <col min="13822" max="13822" width="13.5703125" style="6" customWidth="1"/>
    <col min="13823" max="13823" width="15.140625" style="6" customWidth="1"/>
    <col min="13824" max="13825" width="12.85546875" style="6" customWidth="1"/>
    <col min="13826" max="13826" width="12.5703125" style="6" customWidth="1"/>
    <col min="13827" max="13827" width="10.85546875" style="6" customWidth="1"/>
    <col min="13828" max="13830" width="14.5703125" style="6" customWidth="1"/>
    <col min="13831" max="13831" width="12.85546875" style="6" customWidth="1"/>
    <col min="13832" max="14076" width="9.140625" style="6"/>
    <col min="14077" max="14077" width="18.28515625" style="6" customWidth="1"/>
    <col min="14078" max="14078" width="13.5703125" style="6" customWidth="1"/>
    <col min="14079" max="14079" width="15.140625" style="6" customWidth="1"/>
    <col min="14080" max="14081" width="12.85546875" style="6" customWidth="1"/>
    <col min="14082" max="14082" width="12.5703125" style="6" customWidth="1"/>
    <col min="14083" max="14083" width="10.85546875" style="6" customWidth="1"/>
    <col min="14084" max="14086" width="14.5703125" style="6" customWidth="1"/>
    <col min="14087" max="14087" width="12.85546875" style="6" customWidth="1"/>
    <col min="14088" max="14332" width="9.140625" style="6"/>
    <col min="14333" max="14333" width="18.28515625" style="6" customWidth="1"/>
    <col min="14334" max="14334" width="13.5703125" style="6" customWidth="1"/>
    <col min="14335" max="14335" width="15.140625" style="6" customWidth="1"/>
    <col min="14336" max="14337" width="12.85546875" style="6" customWidth="1"/>
    <col min="14338" max="14338" width="12.5703125" style="6" customWidth="1"/>
    <col min="14339" max="14339" width="10.85546875" style="6" customWidth="1"/>
    <col min="14340" max="14342" width="14.5703125" style="6" customWidth="1"/>
    <col min="14343" max="14343" width="12.85546875" style="6" customWidth="1"/>
    <col min="14344" max="14588" width="9.140625" style="6"/>
    <col min="14589" max="14589" width="18.28515625" style="6" customWidth="1"/>
    <col min="14590" max="14590" width="13.5703125" style="6" customWidth="1"/>
    <col min="14591" max="14591" width="15.140625" style="6" customWidth="1"/>
    <col min="14592" max="14593" width="12.85546875" style="6" customWidth="1"/>
    <col min="14594" max="14594" width="12.5703125" style="6" customWidth="1"/>
    <col min="14595" max="14595" width="10.85546875" style="6" customWidth="1"/>
    <col min="14596" max="14598" width="14.5703125" style="6" customWidth="1"/>
    <col min="14599" max="14599" width="12.85546875" style="6" customWidth="1"/>
    <col min="14600" max="14844" width="9.140625" style="6"/>
    <col min="14845" max="14845" width="18.28515625" style="6" customWidth="1"/>
    <col min="14846" max="14846" width="13.5703125" style="6" customWidth="1"/>
    <col min="14847" max="14847" width="15.140625" style="6" customWidth="1"/>
    <col min="14848" max="14849" width="12.85546875" style="6" customWidth="1"/>
    <col min="14850" max="14850" width="12.5703125" style="6" customWidth="1"/>
    <col min="14851" max="14851" width="10.85546875" style="6" customWidth="1"/>
    <col min="14852" max="14854" width="14.5703125" style="6" customWidth="1"/>
    <col min="14855" max="14855" width="12.85546875" style="6" customWidth="1"/>
    <col min="14856" max="15100" width="9.140625" style="6"/>
    <col min="15101" max="15101" width="18.28515625" style="6" customWidth="1"/>
    <col min="15102" max="15102" width="13.5703125" style="6" customWidth="1"/>
    <col min="15103" max="15103" width="15.140625" style="6" customWidth="1"/>
    <col min="15104" max="15105" width="12.85546875" style="6" customWidth="1"/>
    <col min="15106" max="15106" width="12.5703125" style="6" customWidth="1"/>
    <col min="15107" max="15107" width="10.85546875" style="6" customWidth="1"/>
    <col min="15108" max="15110" width="14.5703125" style="6" customWidth="1"/>
    <col min="15111" max="15111" width="12.85546875" style="6" customWidth="1"/>
    <col min="15112" max="15356" width="9.140625" style="6"/>
    <col min="15357" max="15357" width="18.28515625" style="6" customWidth="1"/>
    <col min="15358" max="15358" width="13.5703125" style="6" customWidth="1"/>
    <col min="15359" max="15359" width="15.140625" style="6" customWidth="1"/>
    <col min="15360" max="15361" width="12.85546875" style="6" customWidth="1"/>
    <col min="15362" max="15362" width="12.5703125" style="6" customWidth="1"/>
    <col min="15363" max="15363" width="10.85546875" style="6" customWidth="1"/>
    <col min="15364" max="15366" width="14.5703125" style="6" customWidth="1"/>
    <col min="15367" max="15367" width="12.85546875" style="6" customWidth="1"/>
    <col min="15368" max="15612" width="9.140625" style="6"/>
    <col min="15613" max="15613" width="18.28515625" style="6" customWidth="1"/>
    <col min="15614" max="15614" width="13.5703125" style="6" customWidth="1"/>
    <col min="15615" max="15615" width="15.140625" style="6" customWidth="1"/>
    <col min="15616" max="15617" width="12.85546875" style="6" customWidth="1"/>
    <col min="15618" max="15618" width="12.5703125" style="6" customWidth="1"/>
    <col min="15619" max="15619" width="10.85546875" style="6" customWidth="1"/>
    <col min="15620" max="15622" width="14.5703125" style="6" customWidth="1"/>
    <col min="15623" max="15623" width="12.85546875" style="6" customWidth="1"/>
    <col min="15624" max="15868" width="9.140625" style="6"/>
    <col min="15869" max="15869" width="18.28515625" style="6" customWidth="1"/>
    <col min="15870" max="15870" width="13.5703125" style="6" customWidth="1"/>
    <col min="15871" max="15871" width="15.140625" style="6" customWidth="1"/>
    <col min="15872" max="15873" width="12.85546875" style="6" customWidth="1"/>
    <col min="15874" max="15874" width="12.5703125" style="6" customWidth="1"/>
    <col min="15875" max="15875" width="10.85546875" style="6" customWidth="1"/>
    <col min="15876" max="15878" width="14.5703125" style="6" customWidth="1"/>
    <col min="15879" max="15879" width="12.85546875" style="6" customWidth="1"/>
    <col min="15880" max="16124" width="9.140625" style="6"/>
    <col min="16125" max="16125" width="18.28515625" style="6" customWidth="1"/>
    <col min="16126" max="16126" width="13.5703125" style="6" customWidth="1"/>
    <col min="16127" max="16127" width="15.140625" style="6" customWidth="1"/>
    <col min="16128" max="16129" width="12.85546875" style="6" customWidth="1"/>
    <col min="16130" max="16130" width="12.5703125" style="6" customWidth="1"/>
    <col min="16131" max="16131" width="10.85546875" style="6" customWidth="1"/>
    <col min="16132" max="16134" width="14.5703125" style="6" customWidth="1"/>
    <col min="16135" max="16135" width="12.85546875" style="6" customWidth="1"/>
    <col min="16136" max="16384" width="9.140625" style="6"/>
  </cols>
  <sheetData>
    <row r="1" spans="1:10" ht="15.75">
      <c r="A1" s="208" t="str">
        <f xml:space="preserve"> "Psychological Therapies Waiting Times - Number of patients aged 65 and over waiting at the end of the month by Health Board, "&amp;TEXT(A25,"mmm yyyy")&amp;" - "&amp;TEXT(A11,"mmm yyyy")</f>
        <v>Psychological Therapies Waiting Times - Number of patients aged 65 and over waiting at the end of the month by Health Board, Apr 2020 - Jun 2021</v>
      </c>
      <c r="B1" s="210"/>
      <c r="C1" s="210"/>
      <c r="D1" s="210"/>
    </row>
    <row r="2" spans="1:10" ht="15.75">
      <c r="A2" s="209"/>
      <c r="B2" s="205"/>
      <c r="C2" s="205"/>
      <c r="D2" s="205"/>
    </row>
    <row r="3" spans="1:10">
      <c r="A3" s="456" t="s">
        <v>458</v>
      </c>
      <c r="B3" s="457"/>
      <c r="C3" s="457"/>
      <c r="D3" s="457"/>
      <c r="E3" s="65"/>
      <c r="F3" s="65"/>
      <c r="G3" s="65"/>
    </row>
    <row r="4" spans="1:10">
      <c r="A4" s="66" t="str">
        <f>"Number of patients waiting at the end of the month by Health Board, "&amp;TEXT(A25,"mmm yyyy")&amp;" - "&amp;TEXT(A11,"mmm yyyy")</f>
        <v>Number of patients waiting at the end of the month by Health Board, Apr 2020 - Jun 2021</v>
      </c>
      <c r="B4" s="65"/>
      <c r="C4" s="65"/>
      <c r="D4" s="65"/>
      <c r="E4" s="65"/>
      <c r="F4" s="65"/>
      <c r="G4" s="65"/>
    </row>
    <row r="5" spans="1:10">
      <c r="A5" s="199" t="s">
        <v>453</v>
      </c>
      <c r="B5" s="65"/>
      <c r="C5" s="65"/>
      <c r="D5" s="65"/>
      <c r="E5" s="65"/>
      <c r="F5" s="65"/>
      <c r="G5" s="65"/>
    </row>
    <row r="6" spans="1:10" ht="15.75" thickBot="1">
      <c r="A6" s="458"/>
      <c r="B6" s="458"/>
      <c r="C6" s="458"/>
      <c r="D6" s="458"/>
      <c r="E6" s="67"/>
      <c r="F6" s="67"/>
      <c r="G6" s="67"/>
    </row>
    <row r="7" spans="1:10" ht="15.75" thickBot="1">
      <c r="A7" s="6" t="s">
        <v>180</v>
      </c>
      <c r="B7" s="9"/>
      <c r="C7" s="440" t="s">
        <v>28</v>
      </c>
      <c r="D7" s="441"/>
      <c r="E7" s="67"/>
      <c r="F7" s="67"/>
      <c r="G7" s="67"/>
    </row>
    <row r="8" spans="1:10">
      <c r="A8" s="220" t="s">
        <v>1301</v>
      </c>
      <c r="B8" s="33" t="s">
        <v>183</v>
      </c>
      <c r="C8" s="9"/>
      <c r="D8" s="9"/>
      <c r="E8" s="34"/>
      <c r="F8" s="34"/>
      <c r="G8" s="34"/>
      <c r="H8" s="28"/>
    </row>
    <row r="9" spans="1:10" ht="21.75" customHeight="1">
      <c r="A9" s="442" t="s">
        <v>31</v>
      </c>
      <c r="B9" s="444" t="s">
        <v>347</v>
      </c>
      <c r="C9" s="445" t="s">
        <v>193</v>
      </c>
      <c r="D9" s="446" t="s">
        <v>33</v>
      </c>
      <c r="E9" s="446"/>
      <c r="F9" s="449" t="s">
        <v>187</v>
      </c>
      <c r="G9" s="446"/>
      <c r="H9" s="20"/>
    </row>
    <row r="10" spans="1:10" ht="16.5" customHeight="1">
      <c r="A10" s="442"/>
      <c r="B10" s="444"/>
      <c r="C10" s="445"/>
      <c r="D10" s="151" t="s">
        <v>34</v>
      </c>
      <c r="E10" s="276" t="s">
        <v>362</v>
      </c>
      <c r="F10" s="164" t="s">
        <v>34</v>
      </c>
      <c r="G10" s="276" t="s">
        <v>362</v>
      </c>
      <c r="H10" s="93"/>
      <c r="I10" s="40"/>
    </row>
    <row r="11" spans="1:10">
      <c r="A11" s="359">
        <f>REPORT_raw_dataseen!R1</f>
        <v>44348</v>
      </c>
      <c r="B11" s="255" t="str">
        <f>IF(VLOOKUP($C$7,'Type of adjust'!$A$1:$P$18,MATCH($A11,'Type of adjust'!$A$1:$P$1,1),FALSE)="", "..", VLOOKUP($C$7,'Type of adjust'!$A$1:$P$18,MATCH($A11,'Type of adjust'!$A$1:$P$1,1),FALSE))</f>
        <v>..</v>
      </c>
      <c r="C11" s="260">
        <f>IF(VLOOKUP($C$7&amp;"Adjusted waiting over_65"&amp;$C$9,REPORT_raw_datawaiting!$A$1:$R$817,MATCH($A11,REPORT_raw_datawaiting!$D$1:$R$1,1)+3, FALSE)=0,"-",IF(VLOOKUP($C$7&amp;"Adjusted waiting over_65"&amp;$C$9,REPORT_raw_datawaiting!$A$1:$R$817,MATCH($A11,REPORT_raw_datawaiting!$D$1:$R$1,1)+3, FALSE)&lt;5,"*",VLOOKUP($C$7&amp;"Adjusted waiting over_65"&amp;$C$9,REPORT_raw_datawaiting!$A$1:$R$817,MATCH($A11,REPORT_raw_datawaiting!$D$1:$R$1,1)+3, FALSE)))</f>
        <v>1136</v>
      </c>
      <c r="D11" s="260">
        <f>IF(C11="*","*",IF(VLOOKUP($C$7&amp;"Adjusted waiting over_65"&amp;$D$10,REPORT_raw_datawaiting!$A$1:$R$817,MATCH($A11,REPORT_raw_datawaiting!$D$1:$R$1,1)+3, FALSE)=0,"-",VLOOKUP($C$7&amp;"Adjusted waiting over_65"&amp;$D$10,REPORT_raw_datawaiting!$A$1:$R$817,MATCH($A11,REPORT_raw_datawaiting!$D$1:$R$1,1)+3, FALSE)))</f>
        <v>879</v>
      </c>
      <c r="E11" s="260">
        <f>IF(C11="*","*",IF(D11="-",C11, IF((C11-D11)=0, "-",C11-D11)))</f>
        <v>257</v>
      </c>
      <c r="F11" s="263">
        <f>'3d (2)'!F11</f>
        <v>77.38</v>
      </c>
      <c r="G11" s="257">
        <f>'3d (2)'!G11</f>
        <v>22.62</v>
      </c>
      <c r="H11" s="94"/>
      <c r="I11" s="94"/>
      <c r="J11" s="94"/>
    </row>
    <row r="12" spans="1:10">
      <c r="A12" s="360">
        <f>DATE(YEAR(A11),MONTH(A11)-1,DAY(A11))</f>
        <v>44317</v>
      </c>
      <c r="B12" s="256" t="str">
        <f>IF(VLOOKUP($C$7,'Type of adjust'!$A$1:$P$18,MATCH($A12,'Type of adjust'!$A$1:$P$1,1),FALSE)="", "..", VLOOKUP($C$7,'Type of adjust'!$A$1:$P$18,MATCH($A12,'Type of adjust'!$A$1:$P$1,1),FALSE))</f>
        <v>..</v>
      </c>
      <c r="C12" s="261">
        <f>IF(VLOOKUP($C$7&amp;"Adjusted waiting over_65"&amp;$C$9,REPORT_raw_datawaiting!$A$1:$R$817,MATCH($A12,REPORT_raw_datawaiting!$D$1:$R$1,1)+3, FALSE)=0,"-",IF(VLOOKUP($C$7&amp;"Adjusted waiting over_65"&amp;$C$9,REPORT_raw_datawaiting!$A$1:$R$817,MATCH($A12,REPORT_raw_datawaiting!$D$1:$R$1,1)+3, FALSE)&lt;13,"*",VLOOKUP($C$7&amp;"Adjusted waiting over_65"&amp;$C$9,REPORT_raw_datawaiting!$A$1:$R$817,MATCH($A12,REPORT_raw_datawaiting!$D$1:$R$1,1)+3, FALSE)))</f>
        <v>1023</v>
      </c>
      <c r="D12" s="261">
        <f>IF(C12="*","*",IF(VLOOKUP($C$7&amp;"Adjusted waiting over_65"&amp;$D$10,REPORT_raw_datawaiting!$A$1:$R$817,MATCH($A12,REPORT_raw_datawaiting!$D$1:$R$1,1)+3, FALSE)=0,"-",VLOOKUP($C$7&amp;"Adjusted waiting over_65"&amp;$D$10,REPORT_raw_datawaiting!$A$1:$R$817,MATCH($A12,REPORT_raw_datawaiting!$D$1:$R$1,1)+3, FALSE)))</f>
        <v>745</v>
      </c>
      <c r="E12" s="261">
        <f>IF(C12="..","..",IF(C12="*","*",IF(D12="-",C12, IF((C12-D12)=0, "-",C12-D12))))</f>
        <v>278</v>
      </c>
      <c r="F12" s="264">
        <f>'3d (2)'!F12</f>
        <v>72.83</v>
      </c>
      <c r="G12" s="258">
        <f>'3d (2)'!G12</f>
        <v>27.17</v>
      </c>
      <c r="H12" s="94"/>
      <c r="I12" s="94"/>
      <c r="J12" s="94"/>
    </row>
    <row r="13" spans="1:10">
      <c r="A13" s="360">
        <f>DATE(YEAR(A12),MONTH(A12)-1,DAY(A12))</f>
        <v>44287</v>
      </c>
      <c r="B13" s="256" t="str">
        <f>IF(VLOOKUP($C$7,'Type of adjust'!$A$1:$P$18,MATCH($A13,'Type of adjust'!$A$1:$P$1,1),FALSE)="", "..", VLOOKUP($C$7,'Type of adjust'!$A$1:$P$18,MATCH($A13,'Type of adjust'!$A$1:$P$1,1),FALSE))</f>
        <v>..</v>
      </c>
      <c r="C13" s="261">
        <f>IF(VLOOKUP($C$7&amp;"Adjusted waiting over_65"&amp;$C$9,REPORT_raw_datawaiting!$A$1:$R$817,MATCH($A13,REPORT_raw_datawaiting!$D$1:$R$1,1)+3, FALSE)=0,"-",IF(VLOOKUP($C$7&amp;"Adjusted waiting over_65"&amp;$C$9,REPORT_raw_datawaiting!$A$1:$R$817,MATCH($A13,REPORT_raw_datawaiting!$D$1:$R$1,1)+3, FALSE)&lt;5,"*",VLOOKUP($C$7&amp;"Adjusted waiting over_65"&amp;$C$9,REPORT_raw_datawaiting!$A$1:$R$817,MATCH($A13,REPORT_raw_datawaiting!$D$1:$R$1,1)+3, FALSE)))</f>
        <v>966</v>
      </c>
      <c r="D13" s="261">
        <f>IF(C13="*","*",IF(VLOOKUP($C$7&amp;"Adjusted waiting over_65"&amp;$D$10,REPORT_raw_datawaiting!$A$1:$R$817,MATCH($A13,REPORT_raw_datawaiting!$D$1:$R$1,1)+3, FALSE)=0,"-",VLOOKUP($C$7&amp;"Adjusted waiting over_65"&amp;$D$10,REPORT_raw_datawaiting!$A$1:$R$817,MATCH($A13,REPORT_raw_datawaiting!$D$1:$R$1,1)+3, FALSE)))</f>
        <v>672</v>
      </c>
      <c r="E13" s="261">
        <f>IF(C13="*","*",IF(C13="..", "..",IF(D13="-",C13, IF((C13-D13)=0, "-",C13-D13))))</f>
        <v>294</v>
      </c>
      <c r="F13" s="264">
        <f>'3d (2)'!F13</f>
        <v>69.569999999999993</v>
      </c>
      <c r="G13" s="258">
        <f>'3d (2)'!G13</f>
        <v>30.43</v>
      </c>
      <c r="H13" s="94"/>
      <c r="I13" s="94"/>
      <c r="J13" s="94"/>
    </row>
    <row r="14" spans="1:10">
      <c r="A14" s="360">
        <f>DATE(YEAR(A13),MONTH(A13)-1,DAY(A13))</f>
        <v>44256</v>
      </c>
      <c r="B14" s="256" t="str">
        <f>IF(VLOOKUP($C$7,'Type of adjust'!$A$1:$P$18,MATCH($A14,'Type of adjust'!$A$1:$P$1,1),FALSE)="", "..", VLOOKUP($C$7,'Type of adjust'!$A$1:$P$18,MATCH($A14,'Type of adjust'!$A$1:$P$1,1),FALSE))</f>
        <v>..</v>
      </c>
      <c r="C14" s="261">
        <f>IF(VLOOKUP($C$7&amp;"Adjusted waiting over_65"&amp;$C$9,REPORT_raw_datawaiting!$A$1:$R$817,MATCH($A14,REPORT_raw_datawaiting!$D$1:$R$1,1)+3, FALSE)=0,"-",IF(VLOOKUP($C$7&amp;"Adjusted waiting over_65"&amp;$C$9,REPORT_raw_datawaiting!$A$1:$R$817,MATCH($A14,REPORT_raw_datawaiting!$D$1:$R$1,1)+3, FALSE)&lt;10,"*",VLOOKUP($C$7&amp;"Adjusted waiting over_65"&amp;$C$9,REPORT_raw_datawaiting!$A$1:$R$817,MATCH($A14,REPORT_raw_datawaiting!$D$1:$R$1,1)+3, FALSE)))</f>
        <v>918</v>
      </c>
      <c r="D14" s="261">
        <f>IF(C14="*","*",IF(VLOOKUP($C$7&amp;"Adjusted waiting over_65"&amp;$D$10,REPORT_raw_datawaiting!$A$1:$R$817,MATCH($A14,REPORT_raw_datawaiting!$D$1:$R$1,1)+3, FALSE)=0,"-",VLOOKUP($C$7&amp;"Adjusted waiting over_65"&amp;$D$10,REPORT_raw_datawaiting!$A$1:$R$817,MATCH($A14,REPORT_raw_datawaiting!$D$1:$R$1,1)+3, FALSE)))</f>
        <v>649</v>
      </c>
      <c r="E14" s="261">
        <f t="shared" ref="E14:E25" si="0">IF(C14="*","*",IF(D14="-",C14, IF((C14-D14)=0, "-",C14-D14)))</f>
        <v>269</v>
      </c>
      <c r="F14" s="264">
        <f>'3d (2)'!F14</f>
        <v>70.7</v>
      </c>
      <c r="G14" s="258">
        <f>'3d (2)'!G14</f>
        <v>29.3</v>
      </c>
      <c r="H14" s="94"/>
      <c r="I14" s="94"/>
      <c r="J14" s="94"/>
    </row>
    <row r="15" spans="1:10">
      <c r="A15" s="360">
        <f>DATE(YEAR(A14),MONTH(A14)-1,DAY(A14))</f>
        <v>44228</v>
      </c>
      <c r="B15" s="256" t="str">
        <f>IF(VLOOKUP($C$7,'Type of adjust'!$A$1:$P$18,MATCH($A15,'Type of adjust'!$A$1:$P$1,1),FALSE)="", "..", VLOOKUP($C$7,'Type of adjust'!$A$1:$P$18,MATCH($A15,'Type of adjust'!$A$1:$P$1,1),FALSE))</f>
        <v>..</v>
      </c>
      <c r="C15" s="261">
        <f>IF(VLOOKUP($C$7&amp;"Adjusted waiting over_65"&amp;$C$9,REPORT_raw_datawaiting!$A$1:$R$817,MATCH($A15,REPORT_raw_datawaiting!$D$1:$R$1,1)+3, FALSE)=0,"-",IF(VLOOKUP($C$7&amp;"Adjusted waiting over_65"&amp;$C$9,REPORT_raw_datawaiting!$A$1:$R$817,MATCH($A15,REPORT_raw_datawaiting!$D$1:$R$1,1)+3, FALSE)&lt;5,"*",VLOOKUP($C$7&amp;"Adjusted waiting over_65"&amp;$C$9,REPORT_raw_datawaiting!$A$1:$R$817,MATCH($A15,REPORT_raw_datawaiting!$D$1:$R$1,1)+3, FALSE)))</f>
        <v>850</v>
      </c>
      <c r="D15" s="261">
        <f>IF(C15="*","*",IF(VLOOKUP($C$7&amp;"Adjusted waiting over_65"&amp;$D$10,REPORT_raw_datawaiting!$A$1:$R$817,MATCH($A15,REPORT_raw_datawaiting!$D$1:$R$1,1)+3, FALSE)=0,"-",VLOOKUP($C$7&amp;"Adjusted waiting over_65"&amp;$D$10,REPORT_raw_datawaiting!$A$1:$R$817,MATCH($A15,REPORT_raw_datawaiting!$D$1:$R$1,1)+3, FALSE)))</f>
        <v>582</v>
      </c>
      <c r="E15" s="261">
        <f t="shared" si="0"/>
        <v>268</v>
      </c>
      <c r="F15" s="264">
        <f>'3d (2)'!F15</f>
        <v>68.47</v>
      </c>
      <c r="G15" s="258">
        <f>'3d (2)'!G15</f>
        <v>31.53</v>
      </c>
      <c r="H15" s="94"/>
      <c r="I15" s="94"/>
      <c r="J15" s="94"/>
    </row>
    <row r="16" spans="1:10">
      <c r="A16" s="360">
        <f>DATE(YEAR(A15),MONTH(A15)-1,DAY(A15))</f>
        <v>44197</v>
      </c>
      <c r="B16" s="256" t="str">
        <f>IF(VLOOKUP($C$7,'Type of adjust'!$A$1:$P$18,MATCH($A16,'Type of adjust'!$A$1:$P$1,1),FALSE)="", "..", VLOOKUP($C$7,'Type of adjust'!$A$1:$P$18,MATCH($A16,'Type of adjust'!$A$1:$P$1,1),FALSE))</f>
        <v>..</v>
      </c>
      <c r="C16" s="261">
        <f>IF(VLOOKUP($C$7&amp;"Adjusted waiting over_65"&amp;$C$9,REPORT_raw_datawaiting!$A$1:$R$817,MATCH($A16,REPORT_raw_datawaiting!$D$1:$R$1,1)+3, FALSE)=0,"-",IF(VLOOKUP($C$7&amp;"Adjusted waiting over_65"&amp;$C$9,REPORT_raw_datawaiting!$A$1:$R$817,MATCH($A16,REPORT_raw_datawaiting!$D$1:$R$1,1)+3, FALSE)&lt;5,"*",VLOOKUP($C$7&amp;"Adjusted waiting over_65"&amp;$C$9,REPORT_raw_datawaiting!$A$1:$R$817,MATCH($A16,REPORT_raw_datawaiting!$D$1:$R$1,1)+3, FALSE)))</f>
        <v>826</v>
      </c>
      <c r="D16" s="261">
        <f>IF(C16="*","*",IF(VLOOKUP($C$7&amp;"Adjusted waiting over_65"&amp;$D$10,REPORT_raw_datawaiting!$A$1:$R$817,MATCH($A16,REPORT_raw_datawaiting!$D$1:$R$1,1)+3, FALSE)=0,"-",VLOOKUP($C$7&amp;"Adjusted waiting over_65"&amp;$D$10,REPORT_raw_datawaiting!$A$1:$R$817,MATCH($A16,REPORT_raw_datawaiting!$D$1:$R$1,1)+3, FALSE)))</f>
        <v>543</v>
      </c>
      <c r="E16" s="261">
        <f>IF(C16="..","..",IF(C16="*","*",IF(D16="-",C16, IF((C16-D16)=0, "-",C16-D16))))</f>
        <v>283</v>
      </c>
      <c r="F16" s="264">
        <f>'3d (2)'!F16</f>
        <v>65.739999999999995</v>
      </c>
      <c r="G16" s="258">
        <f>'3d (2)'!G16</f>
        <v>34.26</v>
      </c>
      <c r="H16" s="94"/>
      <c r="I16" s="94"/>
      <c r="J16" s="94"/>
    </row>
    <row r="17" spans="1:10">
      <c r="A17" s="360">
        <f t="shared" ref="A17:A25" si="1">DATE(YEAR(A16),MONTH(A16)-1,DAY(A16))</f>
        <v>44166</v>
      </c>
      <c r="B17" s="256" t="str">
        <f>IF(VLOOKUP($C$7,'Type of adjust'!$A$1:$P$18,MATCH($A17,'Type of adjust'!$A$1:$P$1,1),FALSE)="", "..", VLOOKUP($C$7,'Type of adjust'!$A$1:$P$18,MATCH($A17,'Type of adjust'!$A$1:$P$1,1),FALSE))</f>
        <v>..</v>
      </c>
      <c r="C17" s="261">
        <f>IF(VLOOKUP($C$7&amp;"Adjusted waiting over_65"&amp;$C$9,REPORT_raw_datawaiting!$A$1:$R$817,MATCH($A17,REPORT_raw_datawaiting!$D$1:$R$1,1)+3, FALSE)=0,"-",IF(VLOOKUP($C$7&amp;"Adjusted waiting over_65"&amp;$C$9,REPORT_raw_datawaiting!$A$1:$R$817,MATCH($A17,REPORT_raw_datawaiting!$D$1:$R$1,1)+3, FALSE)&lt;5,"*",VLOOKUP($C$7&amp;"Adjusted waiting over_65"&amp;$C$9,REPORT_raw_datawaiting!$A$1:$R$817,MATCH($A17,REPORT_raw_datawaiting!$D$1:$R$1,1)+3, FALSE)))</f>
        <v>903</v>
      </c>
      <c r="D17" s="261">
        <f>IF(C17="*","*",IF(VLOOKUP($C$7&amp;"Adjusted waiting over_65"&amp;$D$10,REPORT_raw_datawaiting!$A$1:$R$817,MATCH($A17,REPORT_raw_datawaiting!$D$1:$R$1,1)+3, FALSE)=0,"-",VLOOKUP($C$7&amp;"Adjusted waiting over_65"&amp;$D$10,REPORT_raw_datawaiting!$A$1:$R$817,MATCH($A17,REPORT_raw_datawaiting!$D$1:$R$1,1)+3, FALSE)))</f>
        <v>578</v>
      </c>
      <c r="E17" s="261">
        <f t="shared" si="0"/>
        <v>325</v>
      </c>
      <c r="F17" s="264">
        <f>'3d (2)'!F17</f>
        <v>64.010000000000005</v>
      </c>
      <c r="G17" s="258">
        <f>'3d (2)'!G17</f>
        <v>35.99</v>
      </c>
      <c r="H17" s="94"/>
      <c r="I17" s="94"/>
      <c r="J17" s="94"/>
    </row>
    <row r="18" spans="1:10">
      <c r="A18" s="360">
        <f t="shared" si="1"/>
        <v>44136</v>
      </c>
      <c r="B18" s="256" t="str">
        <f>IF(VLOOKUP($C$7,'Type of adjust'!$A$1:$P$18,MATCH($A18,'Type of adjust'!$A$1:$P$1,1),FALSE)="", "..", VLOOKUP($C$7,'Type of adjust'!$A$1:$P$18,MATCH($A18,'Type of adjust'!$A$1:$P$1,1),FALSE))</f>
        <v>..</v>
      </c>
      <c r="C18" s="261">
        <f>IF(VLOOKUP($C$7&amp;"Adjusted waiting over_65"&amp;$C$9,REPORT_raw_datawaiting!$A$1:$R$817,MATCH($A18,REPORT_raw_datawaiting!$D$1:$R$1,1)+3, FALSE)=0,"-",IF(VLOOKUP($C$7&amp;"Adjusted waiting over_65"&amp;$C$9,REPORT_raw_datawaiting!$A$1:$R$817,MATCH($A18,REPORT_raw_datawaiting!$D$1:$R$1,1)+3, FALSE)&lt;13,"*",VLOOKUP($C$7&amp;"Adjusted waiting over_65"&amp;$C$9,REPORT_raw_datawaiting!$A$1:$R$817,MATCH($A18,REPORT_raw_datawaiting!$D$1:$R$1,1)+3, FALSE)))</f>
        <v>963</v>
      </c>
      <c r="D18" s="261">
        <f>IF(C18="*","*",IF(VLOOKUP($C$7&amp;"Adjusted waiting over_65"&amp;$D$10,REPORT_raw_datawaiting!$A$1:$R$817,MATCH($A18,REPORT_raw_datawaiting!$D$1:$R$1,1)+3, FALSE)=0,"-",VLOOKUP($C$7&amp;"Adjusted waiting over_65"&amp;$D$10,REPORT_raw_datawaiting!$A$1:$R$817,MATCH($A18,REPORT_raw_datawaiting!$D$1:$R$1,1)+3, FALSE)))</f>
        <v>587</v>
      </c>
      <c r="E18" s="261">
        <f t="shared" si="0"/>
        <v>376</v>
      </c>
      <c r="F18" s="264">
        <f>'3d (2)'!F18</f>
        <v>60.96</v>
      </c>
      <c r="G18" s="258">
        <f>'3d (2)'!G18</f>
        <v>39.04</v>
      </c>
      <c r="H18" s="94"/>
      <c r="I18" s="94"/>
      <c r="J18" s="94"/>
    </row>
    <row r="19" spans="1:10">
      <c r="A19" s="360">
        <f t="shared" si="1"/>
        <v>44105</v>
      </c>
      <c r="B19" s="256" t="str">
        <f>IF(VLOOKUP($C$7,'Type of adjust'!$A$1:$P$18,MATCH($A19,'Type of adjust'!$A$1:$P$1,1),FALSE)="", "..", VLOOKUP($C$7,'Type of adjust'!$A$1:$P$18,MATCH($A19,'Type of adjust'!$A$1:$P$1,1),FALSE))</f>
        <v>..</v>
      </c>
      <c r="C19" s="261">
        <f>IF(VLOOKUP($C$7&amp;"Adjusted waiting over_65"&amp;$C$9,REPORT_raw_datawaiting!$A$1:$R$817,MATCH($A19,REPORT_raw_datawaiting!$D$1:$R$1,1)+3, FALSE)=0,"-",IF(VLOOKUP($C$7&amp;"Adjusted waiting over_65"&amp;$C$9,REPORT_raw_datawaiting!$A$1:$R$817,MATCH($A19,REPORT_raw_datawaiting!$D$1:$R$1,1)+3, FALSE)&lt;5,"*",VLOOKUP($C$7&amp;"Adjusted waiting over_65"&amp;$C$9,REPORT_raw_datawaiting!$A$1:$R$817,MATCH($A19,REPORT_raw_datawaiting!$D$1:$R$1,1)+3, FALSE)))</f>
        <v>1075</v>
      </c>
      <c r="D19" s="261">
        <f>IF(C19="*","*",IF(VLOOKUP($C$7&amp;"Adjusted waiting over_65"&amp;$D$10,REPORT_raw_datawaiting!$A$1:$R$817,MATCH($A19,REPORT_raw_datawaiting!$D$1:$R$1,1)+3, FALSE)=0,"-",VLOOKUP($C$7&amp;"Adjusted waiting over_65"&amp;$D$10,REPORT_raw_datawaiting!$A$1:$R$817,MATCH($A19,REPORT_raw_datawaiting!$D$1:$R$1,1)+3, FALSE)))</f>
        <v>601</v>
      </c>
      <c r="E19" s="261">
        <f t="shared" si="0"/>
        <v>474</v>
      </c>
      <c r="F19" s="264">
        <f>'3d (2)'!F19</f>
        <v>55.91</v>
      </c>
      <c r="G19" s="258">
        <f>'3d (2)'!G19</f>
        <v>44.09</v>
      </c>
      <c r="H19" s="94"/>
      <c r="I19" s="94"/>
      <c r="J19" s="94"/>
    </row>
    <row r="20" spans="1:10">
      <c r="A20" s="360">
        <f t="shared" si="1"/>
        <v>44075</v>
      </c>
      <c r="B20" s="256" t="str">
        <f>IF(VLOOKUP($C$7,'Type of adjust'!$A$1:$P$18,MATCH($A20,'Type of adjust'!$A$1:$P$1,1),FALSE)="", "..", VLOOKUP($C$7,'Type of adjust'!$A$1:$P$18,MATCH($A20,'Type of adjust'!$A$1:$P$1,1),FALSE))</f>
        <v>..</v>
      </c>
      <c r="C20" s="261">
        <f>IF(VLOOKUP($C$7&amp;"Adjusted waiting over_65"&amp;$C$9,REPORT_raw_datawaiting!$A$1:$R$817,MATCH($A20,REPORT_raw_datawaiting!$D$1:$R$1,1)+3, FALSE)=0,"-",IF(VLOOKUP($C$7&amp;"Adjusted waiting over_65"&amp;$C$9,REPORT_raw_datawaiting!$A$1:$R$817,MATCH($A20,REPORT_raw_datawaiting!$D$1:$R$1,1)+3, FALSE)&lt;13,"*",VLOOKUP($C$7&amp;"Adjusted waiting over_65"&amp;$C$9,REPORT_raw_datawaiting!$A$1:$R$817,MATCH($A20,REPORT_raw_datawaiting!$D$1:$R$1,1)+3, FALSE)))</f>
        <v>1054</v>
      </c>
      <c r="D20" s="261">
        <f>IF(C20="*","*",IF(VLOOKUP($C$7&amp;"Adjusted waiting over_65"&amp;$D$10,REPORT_raw_datawaiting!$A$1:$R$817,MATCH($A20,REPORT_raw_datawaiting!$D$1:$R$1,1)+3, FALSE)=0,"-",VLOOKUP($C$7&amp;"Adjusted waiting over_65"&amp;$D$10,REPORT_raw_datawaiting!$A$1:$R$817,MATCH($A20,REPORT_raw_datawaiting!$D$1:$R$1,1)+3, FALSE)))</f>
        <v>541</v>
      </c>
      <c r="E20" s="261">
        <f t="shared" si="0"/>
        <v>513</v>
      </c>
      <c r="F20" s="264">
        <f>'3d (2)'!F20</f>
        <v>51.33</v>
      </c>
      <c r="G20" s="258">
        <f>'3d (2)'!G20</f>
        <v>48.67</v>
      </c>
      <c r="H20" s="94"/>
      <c r="I20" s="94"/>
      <c r="J20" s="94"/>
    </row>
    <row r="21" spans="1:10">
      <c r="A21" s="360">
        <f t="shared" si="1"/>
        <v>44044</v>
      </c>
      <c r="B21" s="256" t="str">
        <f>IF(VLOOKUP($C$7,'Type of adjust'!$A$1:$P$18,MATCH($A21,'Type of adjust'!$A$1:$P$1,1),FALSE)="", "..", VLOOKUP($C$7,'Type of adjust'!$A$1:$P$18,MATCH($A21,'Type of adjust'!$A$1:$P$1,1),FALSE))</f>
        <v>..</v>
      </c>
      <c r="C21" s="261">
        <f>IF(VLOOKUP($C$7&amp;"Adjusted waiting over_65"&amp;$C$9,REPORT_raw_datawaiting!$A$1:$R$817,MATCH($A21,REPORT_raw_datawaiting!$D$1:$R$1,1)+3, FALSE)=0,"-",IF(VLOOKUP($C$7&amp;"Adjusted waiting over_65"&amp;$C$9,REPORT_raw_datawaiting!$A$1:$R$817,MATCH($A21,REPORT_raw_datawaiting!$D$1:$R$1,1)+3, FALSE)&lt;5,"*",VLOOKUP($C$7&amp;"Adjusted waiting over_65"&amp;$C$9,REPORT_raw_datawaiting!$A$1:$R$817,MATCH($A21,REPORT_raw_datawaiting!$D$1:$R$1,1)+3, FALSE)))</f>
        <v>1012</v>
      </c>
      <c r="D21" s="261">
        <f>IF(C21="*","*",IF(VLOOKUP($C$7&amp;"Adjusted waiting over_65"&amp;$D$10,REPORT_raw_datawaiting!$A$1:$R$817,MATCH($A21,REPORT_raw_datawaiting!$D$1:$R$1,1)+3, FALSE)=0,"-",VLOOKUP($C$7&amp;"Adjusted waiting over_65"&amp;$D$10,REPORT_raw_datawaiting!$A$1:$R$817,MATCH($A21,REPORT_raw_datawaiting!$D$1:$R$1,1)+3, FALSE)))</f>
        <v>457</v>
      </c>
      <c r="E21" s="261">
        <f t="shared" si="0"/>
        <v>555</v>
      </c>
      <c r="F21" s="264">
        <f>'3d (2)'!F21</f>
        <v>45.16</v>
      </c>
      <c r="G21" s="258">
        <f>'3d (2)'!G21</f>
        <v>54.84</v>
      </c>
      <c r="H21" s="94"/>
      <c r="I21" s="94"/>
      <c r="J21" s="94"/>
    </row>
    <row r="22" spans="1:10">
      <c r="A22" s="360">
        <f t="shared" si="1"/>
        <v>44013</v>
      </c>
      <c r="B22" s="256" t="str">
        <f>IF(VLOOKUP($C$7,'Type of adjust'!$A$1:$P$18,MATCH($A22,'Type of adjust'!$A$1:$P$1,1),FALSE)="", "..", VLOOKUP($C$7,'Type of adjust'!$A$1:$P$18,MATCH($A22,'Type of adjust'!$A$1:$P$1,1),FALSE))</f>
        <v>..</v>
      </c>
      <c r="C22" s="261">
        <f>IF(VLOOKUP($C$7&amp;"Adjusted waiting over_65"&amp;$C$9,REPORT_raw_datawaiting!$A$1:$R$817,MATCH($A22,REPORT_raw_datawaiting!$D$1:$R$1,1)+3, FALSE)=0,"-",IF(VLOOKUP($C$7&amp;"Adjusted waiting over_65"&amp;$C$9,REPORT_raw_datawaiting!$A$1:$R$817,MATCH($A22,REPORT_raw_datawaiting!$D$1:$R$1,1)+3, FALSE)&lt;5,"*",VLOOKUP($C$7&amp;"Adjusted waiting over_65"&amp;$C$9,REPORT_raw_datawaiting!$A$1:$R$817,MATCH($A22,REPORT_raw_datawaiting!$D$1:$R$1,1)+3, FALSE)))</f>
        <v>1051</v>
      </c>
      <c r="D22" s="261">
        <f>IF(C22="*","*",IF(VLOOKUP($C$7&amp;"Adjusted waiting over_65"&amp;$D$10,REPORT_raw_datawaiting!$A$1:$R$817,MATCH($A22,REPORT_raw_datawaiting!$D$1:$R$1,1)+3, FALSE)=0,"-",VLOOKUP($C$7&amp;"Adjusted waiting over_65"&amp;$D$10,REPORT_raw_datawaiting!$A$1:$R$817,MATCH($A22,REPORT_raw_datawaiting!$D$1:$R$1,1)+3, FALSE)))</f>
        <v>425</v>
      </c>
      <c r="E22" s="261">
        <f t="shared" si="0"/>
        <v>626</v>
      </c>
      <c r="F22" s="264">
        <f>'3d (2)'!F22</f>
        <v>40.44</v>
      </c>
      <c r="G22" s="258">
        <f>'3d (2)'!G22</f>
        <v>59.56</v>
      </c>
      <c r="H22" s="94"/>
      <c r="I22" s="94"/>
      <c r="J22" s="94"/>
    </row>
    <row r="23" spans="1:10">
      <c r="A23" s="360">
        <f t="shared" si="1"/>
        <v>43983</v>
      </c>
      <c r="B23" s="256" t="str">
        <f>IF(VLOOKUP($C$7,'Type of adjust'!$A$1:$P$18,MATCH($A23,'Type of adjust'!$A$1:$P$1,1),FALSE)="", "..", VLOOKUP($C$7,'Type of adjust'!$A$1:$P$18,MATCH($A23,'Type of adjust'!$A$1:$P$1,1),FALSE))</f>
        <v>..</v>
      </c>
      <c r="C23" s="261">
        <f>IF(VLOOKUP($C$7&amp;"Adjusted waiting over_65"&amp;$C$9,REPORT_raw_datawaiting!$A$1:$R$817,MATCH($A23,REPORT_raw_datawaiting!$D$1:$R$1,1)+3, FALSE)=0,"-",IF(VLOOKUP($C$7&amp;"Adjusted waiting over_65"&amp;$C$9,REPORT_raw_datawaiting!$A$1:$R$817,MATCH($A23,REPORT_raw_datawaiting!$D$1:$R$1,1)+3, FALSE)&lt;5,"*",VLOOKUP($C$7&amp;"Adjusted waiting over_65"&amp;$C$9,REPORT_raw_datawaiting!$A$1:$R$817,MATCH($A23,REPORT_raw_datawaiting!$D$1:$R$1,1)+3, FALSE)))</f>
        <v>1072</v>
      </c>
      <c r="D23" s="261">
        <f>IF(C23="*","*",IF(VLOOKUP($C$7&amp;"Adjusted waiting over_65"&amp;$D$10,REPORT_raw_datawaiting!$A$1:$R$817,MATCH($A23,REPORT_raw_datawaiting!$D$1:$R$1,1)+3, FALSE)=0,"-",VLOOKUP($C$7&amp;"Adjusted waiting over_65"&amp;$D$10,REPORT_raw_datawaiting!$A$1:$R$817,MATCH($A23,REPORT_raw_datawaiting!$D$1:$R$1,1)+3, FALSE)))</f>
        <v>486</v>
      </c>
      <c r="E23" s="261">
        <f t="shared" si="0"/>
        <v>586</v>
      </c>
      <c r="F23" s="264">
        <f>'3d (2)'!F23</f>
        <v>45.34</v>
      </c>
      <c r="G23" s="258">
        <f>'3d (2)'!G23</f>
        <v>54.66</v>
      </c>
      <c r="H23" s="94"/>
      <c r="I23" s="94"/>
      <c r="J23" s="94"/>
    </row>
    <row r="24" spans="1:10">
      <c r="A24" s="360">
        <f t="shared" si="1"/>
        <v>43952</v>
      </c>
      <c r="B24" s="256" t="str">
        <f>IF(VLOOKUP($C$7,'Type of adjust'!$A$1:$P$18,MATCH($A24,'Type of adjust'!$A$1:$P$1,1),FALSE)="", "..", VLOOKUP($C$7,'Type of adjust'!$A$1:$P$18,MATCH($A24,'Type of adjust'!$A$1:$P$1,1),FALSE))</f>
        <v>..</v>
      </c>
      <c r="C24" s="261">
        <f>IF(VLOOKUP($C$7&amp;"Adjusted waiting over_65"&amp;$C$9,REPORT_raw_datawaiting!$A$1:$R$817,MATCH($A24,REPORT_raw_datawaiting!$D$1:$R$1,1)+3, FALSE)=0,"-",IF(VLOOKUP($C$7&amp;"Adjusted waiting over_65"&amp;$C$9,REPORT_raw_datawaiting!$A$1:$R$817,MATCH($A24,REPORT_raw_datawaiting!$D$1:$R$1,1)+3, FALSE)&lt;5,"*",VLOOKUP($C$7&amp;"Adjusted waiting over_65"&amp;$C$9,REPORT_raw_datawaiting!$A$1:$R$817,MATCH($A24,REPORT_raw_datawaiting!$D$1:$R$1,1)+3, FALSE)))</f>
        <v>1084</v>
      </c>
      <c r="D24" s="261">
        <f>IF(C24="*","*",IF(VLOOKUP($C$7&amp;"Adjusted waiting over_65"&amp;$D$10,REPORT_raw_datawaiting!$A$1:$R$817,MATCH($A24,REPORT_raw_datawaiting!$D$1:$R$1,1)+3, FALSE)=0,"-",VLOOKUP($C$7&amp;"Adjusted waiting over_65"&amp;$D$10,REPORT_raw_datawaiting!$A$1:$R$817,MATCH($A24,REPORT_raw_datawaiting!$D$1:$R$1,1)+3, FALSE)))</f>
        <v>622</v>
      </c>
      <c r="E24" s="261">
        <f t="shared" si="0"/>
        <v>462</v>
      </c>
      <c r="F24" s="264">
        <f>'3d (2)'!F24</f>
        <v>57.38</v>
      </c>
      <c r="G24" s="258">
        <f>'3d (2)'!G24</f>
        <v>42.62</v>
      </c>
      <c r="H24" s="94"/>
      <c r="I24" s="94"/>
      <c r="J24" s="94"/>
    </row>
    <row r="25" spans="1:10">
      <c r="A25" s="361">
        <f t="shared" si="1"/>
        <v>43922</v>
      </c>
      <c r="B25" s="254" t="str">
        <f>IF(VLOOKUP($C$7,'Type of adjust'!$A$1:$P$18,MATCH($A25,'Type of adjust'!$A$1:$P$1,1),FALSE)="", "..", VLOOKUP($C$7,'Type of adjust'!$A$1:$P$18,MATCH($A25,'Type of adjust'!$A$1:$P$1,1),FALSE))</f>
        <v>..</v>
      </c>
      <c r="C25" s="262">
        <f>IF(VLOOKUP($C$7&amp;"Adjusted waiting over_65"&amp;$C$9,REPORT_raw_datawaiting!$A$1:$R$817,MATCH($A25,REPORT_raw_datawaiting!$D$1:$R$1,1)+3, FALSE)=0,"-",IF(VLOOKUP($C$7&amp;"Adjusted waiting over_65"&amp;$C$9,REPORT_raw_datawaiting!$A$1:$R$817,MATCH($A25,REPORT_raw_datawaiting!$D$1:$R$1,1)+3, FALSE)&lt;5,"*",VLOOKUP($C$7&amp;"Adjusted waiting over_65"&amp;$C$9,REPORT_raw_datawaiting!$A$1:$R$817,MATCH($A25,REPORT_raw_datawaiting!$D$1:$R$1,1)+3, FALSE)))</f>
        <v>1140</v>
      </c>
      <c r="D25" s="262">
        <f>IF(C25="*","*",IF(VLOOKUP($C$7&amp;"Adjusted waiting over_65"&amp;$D$10,REPORT_raw_datawaiting!$A$1:$R$817,MATCH($A25,REPORT_raw_datawaiting!$D$1:$R$1,1)+3, FALSE)=0,"-",VLOOKUP($C$7&amp;"Adjusted waiting over_65"&amp;$D$10,REPORT_raw_datawaiting!$A$1:$R$817,MATCH($A25,REPORT_raw_datawaiting!$D$1:$R$1,1)+3, FALSE)))</f>
        <v>769</v>
      </c>
      <c r="E25" s="262">
        <f t="shared" si="0"/>
        <v>371</v>
      </c>
      <c r="F25" s="265">
        <f>'3d (2)'!F25</f>
        <v>67.459999999999994</v>
      </c>
      <c r="G25" s="259">
        <f>'3d (2)'!G25</f>
        <v>32.54</v>
      </c>
      <c r="H25" s="94"/>
      <c r="I25" s="94"/>
      <c r="J25" s="94"/>
    </row>
    <row r="26" spans="1:10">
      <c r="B26" s="16"/>
      <c r="C26" s="16"/>
      <c r="D26" s="16"/>
      <c r="E26" s="16"/>
      <c r="F26" s="17"/>
      <c r="G26" s="17"/>
    </row>
    <row r="27" spans="1:10">
      <c r="A27" s="6" t="str">
        <f>+IF(VLOOKUP($C$7,[6]NotesWaiting!A$2:I$18,6)=0,"",VLOOKUP($C$7,[6]NotesWaiting!A$2:I$18,6))</f>
        <v>NHS Lanarkshire does not include data from CamGlen from November 2016 due to the migration of patient management systems within NHS Greater Glasgow &amp; Clyde</v>
      </c>
      <c r="B27" s="16"/>
      <c r="C27" s="16"/>
      <c r="D27" s="16"/>
      <c r="E27" s="16"/>
      <c r="F27" s="17"/>
      <c r="G27" s="17"/>
    </row>
    <row r="28" spans="1:10">
      <c r="A28" s="8"/>
      <c r="B28" s="16"/>
      <c r="C28" s="16"/>
      <c r="D28" s="16"/>
      <c r="E28" s="16"/>
      <c r="F28" s="17"/>
      <c r="G28" s="17"/>
    </row>
    <row r="29" spans="1:10" ht="20.25">
      <c r="A29" s="76" t="s">
        <v>337</v>
      </c>
      <c r="B29" s="16"/>
      <c r="C29" s="16"/>
      <c r="D29" s="16"/>
      <c r="E29" s="16"/>
      <c r="F29" s="17"/>
      <c r="G29" s="17"/>
    </row>
    <row r="30" spans="1:10">
      <c r="A30" s="77" t="s">
        <v>338</v>
      </c>
      <c r="B30" s="77" t="s">
        <v>339</v>
      </c>
      <c r="C30" s="78"/>
      <c r="D30" s="450" t="s">
        <v>340</v>
      </c>
      <c r="E30" s="450"/>
      <c r="F30" s="450"/>
      <c r="G30" s="450"/>
    </row>
    <row r="31" spans="1:10">
      <c r="A31" s="79" t="s">
        <v>55</v>
      </c>
      <c r="B31" s="80" t="s">
        <v>341</v>
      </c>
      <c r="C31" s="81"/>
      <c r="D31" s="451" t="s">
        <v>342</v>
      </c>
      <c r="E31" s="451"/>
      <c r="F31" s="451"/>
      <c r="G31" s="451"/>
    </row>
    <row r="32" spans="1:10" ht="51">
      <c r="A32" s="82" t="s">
        <v>343</v>
      </c>
      <c r="B32" s="83" t="s">
        <v>344</v>
      </c>
      <c r="C32" s="84"/>
      <c r="D32" s="452" t="s">
        <v>345</v>
      </c>
      <c r="E32" s="452"/>
      <c r="F32" s="452"/>
      <c r="G32" s="452"/>
    </row>
    <row r="33" spans="1:7">
      <c r="A33" s="85" t="s">
        <v>27</v>
      </c>
      <c r="B33" s="86"/>
      <c r="C33" s="87"/>
      <c r="D33" s="439" t="s">
        <v>346</v>
      </c>
      <c r="E33" s="439"/>
      <c r="F33" s="439"/>
      <c r="G33" s="439"/>
    </row>
    <row r="34" spans="1:7">
      <c r="A34" s="88"/>
      <c r="B34" s="89"/>
      <c r="C34" s="89"/>
      <c r="D34" s="19"/>
      <c r="E34" s="89"/>
      <c r="F34" s="90"/>
      <c r="G34" s="15"/>
    </row>
    <row r="35" spans="1:7">
      <c r="A35" s="88"/>
      <c r="B35" s="89"/>
      <c r="C35" s="89"/>
      <c r="D35" s="19"/>
      <c r="E35" s="89"/>
      <c r="F35" s="90"/>
      <c r="G35" s="15"/>
    </row>
    <row r="36" spans="1:7">
      <c r="A36" s="88"/>
      <c r="B36" s="89"/>
      <c r="C36" s="89"/>
      <c r="D36" s="19"/>
      <c r="E36" s="89"/>
      <c r="F36" s="90"/>
      <c r="G36" s="15"/>
    </row>
    <row r="37" spans="1:7">
      <c r="A37" s="91" t="s">
        <v>190</v>
      </c>
      <c r="B37" s="89"/>
      <c r="C37" s="89"/>
      <c r="D37" s="89"/>
      <c r="E37" s="89"/>
      <c r="F37" s="90"/>
      <c r="G37" s="15"/>
    </row>
    <row r="38" spans="1:7">
      <c r="A38" s="91" t="s">
        <v>191</v>
      </c>
      <c r="B38" s="89"/>
      <c r="C38" s="89"/>
      <c r="D38" s="89"/>
      <c r="E38" s="89"/>
      <c r="F38" s="90"/>
      <c r="G38" s="15"/>
    </row>
    <row r="39" spans="1:7">
      <c r="B39" s="16"/>
      <c r="C39" s="16"/>
      <c r="D39" s="16"/>
      <c r="E39" s="16"/>
      <c r="F39" s="18"/>
      <c r="G39" s="18"/>
    </row>
    <row r="40" spans="1:7">
      <c r="A40" s="43" t="s">
        <v>410</v>
      </c>
      <c r="B40" s="12"/>
      <c r="C40" s="12"/>
      <c r="D40" s="12"/>
      <c r="E40" s="12"/>
      <c r="F40" s="13"/>
      <c r="G40" s="13"/>
    </row>
    <row r="41" spans="1:7">
      <c r="B41" s="7"/>
      <c r="C41" s="7"/>
      <c r="D41" s="7"/>
      <c r="E41" s="7"/>
      <c r="F41" s="14"/>
      <c r="G41" s="14"/>
    </row>
    <row r="42" spans="1:7">
      <c r="A42" s="8"/>
      <c r="B42" s="7"/>
      <c r="C42" s="7"/>
      <c r="D42" s="7"/>
      <c r="E42" s="7"/>
      <c r="F42" s="15"/>
      <c r="G42" s="15"/>
    </row>
    <row r="43" spans="1:7">
      <c r="B43" s="16"/>
      <c r="C43" s="16"/>
      <c r="D43" s="16"/>
      <c r="E43" s="16"/>
      <c r="F43" s="18"/>
      <c r="G43" s="18"/>
    </row>
    <row r="44" spans="1:7">
      <c r="B44" s="12"/>
      <c r="C44" s="12"/>
      <c r="D44" s="12"/>
      <c r="E44" s="12"/>
      <c r="F44" s="13"/>
      <c r="G44" s="13"/>
    </row>
    <row r="45" spans="1:7">
      <c r="B45" s="12"/>
      <c r="C45" s="12"/>
      <c r="D45" s="7"/>
      <c r="E45" s="7"/>
      <c r="F45" s="14"/>
      <c r="G45" s="14"/>
    </row>
    <row r="46" spans="1:7">
      <c r="B46" s="12"/>
      <c r="C46" s="12"/>
      <c r="D46" s="7"/>
      <c r="E46" s="7"/>
      <c r="F46" s="15"/>
      <c r="G46" s="15"/>
    </row>
    <row r="47" spans="1:7">
      <c r="B47" s="16"/>
      <c r="C47" s="16"/>
      <c r="D47" s="7"/>
      <c r="E47" s="7"/>
      <c r="F47" s="15"/>
      <c r="G47" s="15"/>
    </row>
    <row r="48" spans="1:7">
      <c r="A48" s="29" t="str">
        <f>"Percentage of patients waiting less than 18 weeks for adjusted waits - "&amp;C7</f>
        <v>Percentage of patients waiting less than 18 weeks for adjusted waits - Scotland</v>
      </c>
      <c r="B48" s="16"/>
      <c r="C48" s="16"/>
      <c r="D48" s="16"/>
      <c r="E48" s="16"/>
      <c r="F48" s="15"/>
      <c r="G48" s="15"/>
    </row>
    <row r="49" spans="1:7">
      <c r="A49" s="28"/>
      <c r="B49" s="16"/>
      <c r="C49" s="16"/>
      <c r="D49" s="16"/>
      <c r="E49" s="16"/>
      <c r="F49" s="18"/>
      <c r="G49" s="18"/>
    </row>
    <row r="50" spans="1:7">
      <c r="B50" s="12"/>
      <c r="C50" s="12"/>
      <c r="D50" s="12"/>
      <c r="E50" s="12"/>
      <c r="F50" s="13"/>
      <c r="G50" s="13"/>
    </row>
    <row r="51" spans="1:7">
      <c r="B51" s="7"/>
      <c r="C51" s="7"/>
      <c r="D51" s="7"/>
      <c r="E51" s="7"/>
      <c r="F51" s="14"/>
      <c r="G51" s="14"/>
    </row>
    <row r="52" spans="1:7">
      <c r="A52" s="29" t="str">
        <f>"Patients waiting - adjusted waits - "&amp;C7</f>
        <v>Patients waiting - adjusted waits - Scotland</v>
      </c>
      <c r="B52" s="16"/>
      <c r="C52" s="16"/>
      <c r="D52" s="16"/>
      <c r="E52" s="16"/>
      <c r="F52" s="15"/>
      <c r="G52" s="15"/>
    </row>
    <row r="53" spans="1:7">
      <c r="A53" s="29" t="str">
        <f>"Percentage of patients waiting 0-18 weeks - adjusted waits - "&amp;C7</f>
        <v>Percentage of patients waiting 0-18 weeks - adjusted waits - Scotland</v>
      </c>
      <c r="B53" s="16"/>
      <c r="C53" s="16"/>
      <c r="D53" s="16"/>
      <c r="E53" s="16"/>
      <c r="F53" s="15"/>
      <c r="G53" s="15"/>
    </row>
    <row r="54" spans="1:7">
      <c r="A54" s="29" t="str">
        <f>"Percentage of patients waiting - adjusted waits - "&amp;C7</f>
        <v>Percentage of patients waiting - adjusted waits - Scotland</v>
      </c>
      <c r="B54" s="16"/>
      <c r="C54" s="16"/>
      <c r="D54" s="16"/>
      <c r="E54" s="16"/>
      <c r="F54" s="17"/>
      <c r="G54" s="17"/>
    </row>
    <row r="55" spans="1:7">
      <c r="B55" s="12"/>
      <c r="C55" s="12"/>
      <c r="D55" s="12"/>
      <c r="E55" s="12"/>
      <c r="F55" s="13"/>
      <c r="G55" s="13"/>
    </row>
    <row r="56" spans="1:7" s="20" customFormat="1">
      <c r="B56" s="21"/>
      <c r="C56" s="21"/>
      <c r="D56" s="21"/>
      <c r="E56" s="21"/>
      <c r="F56" s="22"/>
      <c r="G56" s="22"/>
    </row>
    <row r="57" spans="1:7">
      <c r="B57" s="8"/>
      <c r="C57" s="8"/>
      <c r="D57" s="8"/>
      <c r="E57" s="8"/>
      <c r="F57" s="24"/>
      <c r="G57" s="24"/>
    </row>
    <row r="58" spans="1:7">
      <c r="B58" s="8"/>
      <c r="C58" s="8"/>
      <c r="D58" s="8"/>
      <c r="E58" s="8"/>
      <c r="F58" s="24"/>
      <c r="G58" s="24"/>
    </row>
    <row r="59" spans="1:7">
      <c r="B59" s="8"/>
      <c r="C59" s="8"/>
      <c r="D59" s="8"/>
      <c r="E59" s="8"/>
      <c r="F59" s="24"/>
      <c r="G59" s="24"/>
    </row>
    <row r="60" spans="1:7">
      <c r="A60" s="16"/>
      <c r="B60" s="16"/>
      <c r="C60" s="16"/>
      <c r="D60" s="16"/>
      <c r="E60" s="16"/>
      <c r="F60" s="26"/>
      <c r="G60" s="26"/>
    </row>
    <row r="61" spans="1:7">
      <c r="B61" s="16"/>
      <c r="C61" s="16"/>
      <c r="D61" s="16"/>
      <c r="E61" s="16"/>
      <c r="F61" s="18"/>
      <c r="G61" s="18"/>
    </row>
    <row r="62" spans="1:7">
      <c r="B62" s="12"/>
      <c r="C62" s="12"/>
      <c r="D62" s="12"/>
      <c r="E62" s="12"/>
      <c r="F62" s="13"/>
      <c r="G62" s="13"/>
    </row>
    <row r="63" spans="1:7">
      <c r="B63" s="7"/>
      <c r="C63" s="7"/>
      <c r="D63" s="7"/>
      <c r="E63" s="7"/>
      <c r="F63" s="14"/>
      <c r="G63" s="14"/>
    </row>
    <row r="64" spans="1:7">
      <c r="B64" s="7"/>
      <c r="C64" s="7"/>
      <c r="D64" s="7"/>
      <c r="E64" s="7"/>
      <c r="F64" s="15"/>
      <c r="G64" s="15"/>
    </row>
    <row r="65" spans="2:7">
      <c r="B65" s="7"/>
      <c r="C65" s="7"/>
      <c r="D65" s="7"/>
      <c r="E65" s="7"/>
      <c r="F65" s="15"/>
      <c r="G65" s="15"/>
    </row>
    <row r="66" spans="2:7">
      <c r="B66" s="16"/>
      <c r="C66" s="16"/>
      <c r="D66" s="16"/>
      <c r="E66" s="16"/>
      <c r="F66" s="18"/>
      <c r="G66" s="18"/>
    </row>
    <row r="67" spans="2:7">
      <c r="B67" s="27"/>
      <c r="C67" s="27"/>
      <c r="D67" s="27"/>
      <c r="E67" s="27"/>
      <c r="F67" s="13"/>
      <c r="G67" s="13"/>
    </row>
    <row r="68" spans="2:7">
      <c r="B68" s="28"/>
      <c r="C68" s="28"/>
      <c r="D68" s="28"/>
      <c r="E68" s="28"/>
      <c r="F68" s="14"/>
      <c r="G68" s="14"/>
    </row>
    <row r="69" spans="2:7">
      <c r="F69" s="15"/>
      <c r="G69" s="15"/>
    </row>
    <row r="70" spans="2:7">
      <c r="F70" s="15"/>
      <c r="G70" s="15"/>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8"/>
      <c r="B91" s="28"/>
      <c r="C91" s="28"/>
      <c r="D91" s="28"/>
    </row>
    <row r="92" spans="1:4">
      <c r="A92" s="29"/>
      <c r="B92" s="29"/>
      <c r="C92" s="29"/>
      <c r="D92" s="29"/>
    </row>
    <row r="93" spans="1:4">
      <c r="A93" s="29"/>
      <c r="B93" s="29"/>
      <c r="C93" s="29"/>
      <c r="D93" s="29"/>
    </row>
    <row r="94" spans="1:4">
      <c r="A94" s="29"/>
      <c r="B94" s="29"/>
      <c r="C94" s="29"/>
      <c r="D94" s="29"/>
    </row>
    <row r="95" spans="1:4">
      <c r="A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sheetData>
  <sheetProtection algorithmName="SHA-512" hashValue="0QUmnNQJsil1a3GlOi5gRr8vm3nAlcHqLUd2BGmknL/cNEq5p6oe+2QP7H52fLwF0ZqGP406ZCR3WR/j4zkfHA==" saltValue="AGJTs0dCKUdRG/95e2vPgQ==" spinCount="100000" sheet="1" objects="1" scenarios="1"/>
  <mergeCells count="12">
    <mergeCell ref="A3:D3"/>
    <mergeCell ref="D33:G33"/>
    <mergeCell ref="A6:D6"/>
    <mergeCell ref="C7:D7"/>
    <mergeCell ref="A9:A10"/>
    <mergeCell ref="B9:B10"/>
    <mergeCell ref="C9:C10"/>
    <mergeCell ref="D9:E9"/>
    <mergeCell ref="F9:G9"/>
    <mergeCell ref="D30:G30"/>
    <mergeCell ref="D31:G31"/>
    <mergeCell ref="D32:G32"/>
  </mergeCells>
  <dataValidations count="2">
    <dataValidation type="list" allowBlank="1" showInputMessage="1" showErrorMessage="1" sqref="WVG983023:WVH983023 IU65519:IV65519 SQ65519:SR65519 ACM65519:ACN65519 AMI65519:AMJ65519 AWE65519:AWF65519 BGA65519:BGB65519 BPW65519:BPX65519 BZS65519:BZT65519 CJO65519:CJP65519 CTK65519:CTL65519 DDG65519:DDH65519 DNC65519:DND65519 DWY65519:DWZ65519 EGU65519:EGV65519 EQQ65519:EQR65519 FAM65519:FAN65519 FKI65519:FKJ65519 FUE65519:FUF65519 GEA65519:GEB65519 GNW65519:GNX65519 GXS65519:GXT65519 HHO65519:HHP65519 HRK65519:HRL65519 IBG65519:IBH65519 ILC65519:ILD65519 IUY65519:IUZ65519 JEU65519:JEV65519 JOQ65519:JOR65519 JYM65519:JYN65519 KII65519:KIJ65519 KSE65519:KSF65519 LCA65519:LCB65519 LLW65519:LLX65519 LVS65519:LVT65519 MFO65519:MFP65519 MPK65519:MPL65519 MZG65519:MZH65519 NJC65519:NJD65519 NSY65519:NSZ65519 OCU65519:OCV65519 OMQ65519:OMR65519 OWM65519:OWN65519 PGI65519:PGJ65519 PQE65519:PQF65519 QAA65519:QAB65519 QJW65519:QJX65519 QTS65519:QTT65519 RDO65519:RDP65519 RNK65519:RNL65519 RXG65519:RXH65519 SHC65519:SHD65519 SQY65519:SQZ65519 TAU65519:TAV65519 TKQ65519:TKR65519 TUM65519:TUN65519 UEI65519:UEJ65519 UOE65519:UOF65519 UYA65519:UYB65519 VHW65519:VHX65519 VRS65519:VRT65519 WBO65519:WBP65519 WLK65519:WLL65519 WVG65519:WVH65519 IU131055:IV131055 SQ131055:SR131055 ACM131055:ACN131055 AMI131055:AMJ131055 AWE131055:AWF131055 BGA131055:BGB131055 BPW131055:BPX131055 BZS131055:BZT131055 CJO131055:CJP131055 CTK131055:CTL131055 DDG131055:DDH131055 DNC131055:DND131055 DWY131055:DWZ131055 EGU131055:EGV131055 EQQ131055:EQR131055 FAM131055:FAN131055 FKI131055:FKJ131055 FUE131055:FUF131055 GEA131055:GEB131055 GNW131055:GNX131055 GXS131055:GXT131055 HHO131055:HHP131055 HRK131055:HRL131055 IBG131055:IBH131055 ILC131055:ILD131055 IUY131055:IUZ131055 JEU131055:JEV131055 JOQ131055:JOR131055 JYM131055:JYN131055 KII131055:KIJ131055 KSE131055:KSF131055 LCA131055:LCB131055 LLW131055:LLX131055 LVS131055:LVT131055 MFO131055:MFP131055 MPK131055:MPL131055 MZG131055:MZH131055 NJC131055:NJD131055 NSY131055:NSZ131055 OCU131055:OCV131055 OMQ131055:OMR131055 OWM131055:OWN131055 PGI131055:PGJ131055 PQE131055:PQF131055 QAA131055:QAB131055 QJW131055:QJX131055 QTS131055:QTT131055 RDO131055:RDP131055 RNK131055:RNL131055 RXG131055:RXH131055 SHC131055:SHD131055 SQY131055:SQZ131055 TAU131055:TAV131055 TKQ131055:TKR131055 TUM131055:TUN131055 UEI131055:UEJ131055 UOE131055:UOF131055 UYA131055:UYB131055 VHW131055:VHX131055 VRS131055:VRT131055 WBO131055:WBP131055 WLK131055:WLL131055 WVG131055:WVH131055 IU196591:IV196591 SQ196591:SR196591 ACM196591:ACN196591 AMI196591:AMJ196591 AWE196591:AWF196591 BGA196591:BGB196591 BPW196591:BPX196591 BZS196591:BZT196591 CJO196591:CJP196591 CTK196591:CTL196591 DDG196591:DDH196591 DNC196591:DND196591 DWY196591:DWZ196591 EGU196591:EGV196591 EQQ196591:EQR196591 FAM196591:FAN196591 FKI196591:FKJ196591 FUE196591:FUF196591 GEA196591:GEB196591 GNW196591:GNX196591 GXS196591:GXT196591 HHO196591:HHP196591 HRK196591:HRL196591 IBG196591:IBH196591 ILC196591:ILD196591 IUY196591:IUZ196591 JEU196591:JEV196591 JOQ196591:JOR196591 JYM196591:JYN196591 KII196591:KIJ196591 KSE196591:KSF196591 LCA196591:LCB196591 LLW196591:LLX196591 LVS196591:LVT196591 MFO196591:MFP196591 MPK196591:MPL196591 MZG196591:MZH196591 NJC196591:NJD196591 NSY196591:NSZ196591 OCU196591:OCV196591 OMQ196591:OMR196591 OWM196591:OWN196591 PGI196591:PGJ196591 PQE196591:PQF196591 QAA196591:QAB196591 QJW196591:QJX196591 QTS196591:QTT196591 RDO196591:RDP196591 RNK196591:RNL196591 RXG196591:RXH196591 SHC196591:SHD196591 SQY196591:SQZ196591 TAU196591:TAV196591 TKQ196591:TKR196591 TUM196591:TUN196591 UEI196591:UEJ196591 UOE196591:UOF196591 UYA196591:UYB196591 VHW196591:VHX196591 VRS196591:VRT196591 WBO196591:WBP196591 WLK196591:WLL196591 WVG196591:WVH196591 IU262127:IV262127 SQ262127:SR262127 ACM262127:ACN262127 AMI262127:AMJ262127 AWE262127:AWF262127 BGA262127:BGB262127 BPW262127:BPX262127 BZS262127:BZT262127 CJO262127:CJP262127 CTK262127:CTL262127 DDG262127:DDH262127 DNC262127:DND262127 DWY262127:DWZ262127 EGU262127:EGV262127 EQQ262127:EQR262127 FAM262127:FAN262127 FKI262127:FKJ262127 FUE262127:FUF262127 GEA262127:GEB262127 GNW262127:GNX262127 GXS262127:GXT262127 HHO262127:HHP262127 HRK262127:HRL262127 IBG262127:IBH262127 ILC262127:ILD262127 IUY262127:IUZ262127 JEU262127:JEV262127 JOQ262127:JOR262127 JYM262127:JYN262127 KII262127:KIJ262127 KSE262127:KSF262127 LCA262127:LCB262127 LLW262127:LLX262127 LVS262127:LVT262127 MFO262127:MFP262127 MPK262127:MPL262127 MZG262127:MZH262127 NJC262127:NJD262127 NSY262127:NSZ262127 OCU262127:OCV262127 OMQ262127:OMR262127 OWM262127:OWN262127 PGI262127:PGJ262127 PQE262127:PQF262127 QAA262127:QAB262127 QJW262127:QJX262127 QTS262127:QTT262127 RDO262127:RDP262127 RNK262127:RNL262127 RXG262127:RXH262127 SHC262127:SHD262127 SQY262127:SQZ262127 TAU262127:TAV262127 TKQ262127:TKR262127 TUM262127:TUN262127 UEI262127:UEJ262127 UOE262127:UOF262127 UYA262127:UYB262127 VHW262127:VHX262127 VRS262127:VRT262127 WBO262127:WBP262127 WLK262127:WLL262127 WVG262127:WVH262127 IU327663:IV327663 SQ327663:SR327663 ACM327663:ACN327663 AMI327663:AMJ327663 AWE327663:AWF327663 BGA327663:BGB327663 BPW327663:BPX327663 BZS327663:BZT327663 CJO327663:CJP327663 CTK327663:CTL327663 DDG327663:DDH327663 DNC327663:DND327663 DWY327663:DWZ327663 EGU327663:EGV327663 EQQ327663:EQR327663 FAM327663:FAN327663 FKI327663:FKJ327663 FUE327663:FUF327663 GEA327663:GEB327663 GNW327663:GNX327663 GXS327663:GXT327663 HHO327663:HHP327663 HRK327663:HRL327663 IBG327663:IBH327663 ILC327663:ILD327663 IUY327663:IUZ327663 JEU327663:JEV327663 JOQ327663:JOR327663 JYM327663:JYN327663 KII327663:KIJ327663 KSE327663:KSF327663 LCA327663:LCB327663 LLW327663:LLX327663 LVS327663:LVT327663 MFO327663:MFP327663 MPK327663:MPL327663 MZG327663:MZH327663 NJC327663:NJD327663 NSY327663:NSZ327663 OCU327663:OCV327663 OMQ327663:OMR327663 OWM327663:OWN327663 PGI327663:PGJ327663 PQE327663:PQF327663 QAA327663:QAB327663 QJW327663:QJX327663 QTS327663:QTT327663 RDO327663:RDP327663 RNK327663:RNL327663 RXG327663:RXH327663 SHC327663:SHD327663 SQY327663:SQZ327663 TAU327663:TAV327663 TKQ327663:TKR327663 TUM327663:TUN327663 UEI327663:UEJ327663 UOE327663:UOF327663 UYA327663:UYB327663 VHW327663:VHX327663 VRS327663:VRT327663 WBO327663:WBP327663 WLK327663:WLL327663 WVG327663:WVH327663 IU393199:IV393199 SQ393199:SR393199 ACM393199:ACN393199 AMI393199:AMJ393199 AWE393199:AWF393199 BGA393199:BGB393199 BPW393199:BPX393199 BZS393199:BZT393199 CJO393199:CJP393199 CTK393199:CTL393199 DDG393199:DDH393199 DNC393199:DND393199 DWY393199:DWZ393199 EGU393199:EGV393199 EQQ393199:EQR393199 FAM393199:FAN393199 FKI393199:FKJ393199 FUE393199:FUF393199 GEA393199:GEB393199 GNW393199:GNX393199 GXS393199:GXT393199 HHO393199:HHP393199 HRK393199:HRL393199 IBG393199:IBH393199 ILC393199:ILD393199 IUY393199:IUZ393199 JEU393199:JEV393199 JOQ393199:JOR393199 JYM393199:JYN393199 KII393199:KIJ393199 KSE393199:KSF393199 LCA393199:LCB393199 LLW393199:LLX393199 LVS393199:LVT393199 MFO393199:MFP393199 MPK393199:MPL393199 MZG393199:MZH393199 NJC393199:NJD393199 NSY393199:NSZ393199 OCU393199:OCV393199 OMQ393199:OMR393199 OWM393199:OWN393199 PGI393199:PGJ393199 PQE393199:PQF393199 QAA393199:QAB393199 QJW393199:QJX393199 QTS393199:QTT393199 RDO393199:RDP393199 RNK393199:RNL393199 RXG393199:RXH393199 SHC393199:SHD393199 SQY393199:SQZ393199 TAU393199:TAV393199 TKQ393199:TKR393199 TUM393199:TUN393199 UEI393199:UEJ393199 UOE393199:UOF393199 UYA393199:UYB393199 VHW393199:VHX393199 VRS393199:VRT393199 WBO393199:WBP393199 WLK393199:WLL393199 WVG393199:WVH393199 IU458735:IV458735 SQ458735:SR458735 ACM458735:ACN458735 AMI458735:AMJ458735 AWE458735:AWF458735 BGA458735:BGB458735 BPW458735:BPX458735 BZS458735:BZT458735 CJO458735:CJP458735 CTK458735:CTL458735 DDG458735:DDH458735 DNC458735:DND458735 DWY458735:DWZ458735 EGU458735:EGV458735 EQQ458735:EQR458735 FAM458735:FAN458735 FKI458735:FKJ458735 FUE458735:FUF458735 GEA458735:GEB458735 GNW458735:GNX458735 GXS458735:GXT458735 HHO458735:HHP458735 HRK458735:HRL458735 IBG458735:IBH458735 ILC458735:ILD458735 IUY458735:IUZ458735 JEU458735:JEV458735 JOQ458735:JOR458735 JYM458735:JYN458735 KII458735:KIJ458735 KSE458735:KSF458735 LCA458735:LCB458735 LLW458735:LLX458735 LVS458735:LVT458735 MFO458735:MFP458735 MPK458735:MPL458735 MZG458735:MZH458735 NJC458735:NJD458735 NSY458735:NSZ458735 OCU458735:OCV458735 OMQ458735:OMR458735 OWM458735:OWN458735 PGI458735:PGJ458735 PQE458735:PQF458735 QAA458735:QAB458735 QJW458735:QJX458735 QTS458735:QTT458735 RDO458735:RDP458735 RNK458735:RNL458735 RXG458735:RXH458735 SHC458735:SHD458735 SQY458735:SQZ458735 TAU458735:TAV458735 TKQ458735:TKR458735 TUM458735:TUN458735 UEI458735:UEJ458735 UOE458735:UOF458735 UYA458735:UYB458735 VHW458735:VHX458735 VRS458735:VRT458735 WBO458735:WBP458735 WLK458735:WLL458735 WVG458735:WVH458735 IU524271:IV524271 SQ524271:SR524271 ACM524271:ACN524271 AMI524271:AMJ524271 AWE524271:AWF524271 BGA524271:BGB524271 BPW524271:BPX524271 BZS524271:BZT524271 CJO524271:CJP524271 CTK524271:CTL524271 DDG524271:DDH524271 DNC524271:DND524271 DWY524271:DWZ524271 EGU524271:EGV524271 EQQ524271:EQR524271 FAM524271:FAN524271 FKI524271:FKJ524271 FUE524271:FUF524271 GEA524271:GEB524271 GNW524271:GNX524271 GXS524271:GXT524271 HHO524271:HHP524271 HRK524271:HRL524271 IBG524271:IBH524271 ILC524271:ILD524271 IUY524271:IUZ524271 JEU524271:JEV524271 JOQ524271:JOR524271 JYM524271:JYN524271 KII524271:KIJ524271 KSE524271:KSF524271 LCA524271:LCB524271 LLW524271:LLX524271 LVS524271:LVT524271 MFO524271:MFP524271 MPK524271:MPL524271 MZG524271:MZH524271 NJC524271:NJD524271 NSY524271:NSZ524271 OCU524271:OCV524271 OMQ524271:OMR524271 OWM524271:OWN524271 PGI524271:PGJ524271 PQE524271:PQF524271 QAA524271:QAB524271 QJW524271:QJX524271 QTS524271:QTT524271 RDO524271:RDP524271 RNK524271:RNL524271 RXG524271:RXH524271 SHC524271:SHD524271 SQY524271:SQZ524271 TAU524271:TAV524271 TKQ524271:TKR524271 TUM524271:TUN524271 UEI524271:UEJ524271 UOE524271:UOF524271 UYA524271:UYB524271 VHW524271:VHX524271 VRS524271:VRT524271 WBO524271:WBP524271 WLK524271:WLL524271 WVG524271:WVH524271 IU589807:IV589807 SQ589807:SR589807 ACM589807:ACN589807 AMI589807:AMJ589807 AWE589807:AWF589807 BGA589807:BGB589807 BPW589807:BPX589807 BZS589807:BZT589807 CJO589807:CJP589807 CTK589807:CTL589807 DDG589807:DDH589807 DNC589807:DND589807 DWY589807:DWZ589807 EGU589807:EGV589807 EQQ589807:EQR589807 FAM589807:FAN589807 FKI589807:FKJ589807 FUE589807:FUF589807 GEA589807:GEB589807 GNW589807:GNX589807 GXS589807:GXT589807 HHO589807:HHP589807 HRK589807:HRL589807 IBG589807:IBH589807 ILC589807:ILD589807 IUY589807:IUZ589807 JEU589807:JEV589807 JOQ589807:JOR589807 JYM589807:JYN589807 KII589807:KIJ589807 KSE589807:KSF589807 LCA589807:LCB589807 LLW589807:LLX589807 LVS589807:LVT589807 MFO589807:MFP589807 MPK589807:MPL589807 MZG589807:MZH589807 NJC589807:NJD589807 NSY589807:NSZ589807 OCU589807:OCV589807 OMQ589807:OMR589807 OWM589807:OWN589807 PGI589807:PGJ589807 PQE589807:PQF589807 QAA589807:QAB589807 QJW589807:QJX589807 QTS589807:QTT589807 RDO589807:RDP589807 RNK589807:RNL589807 RXG589807:RXH589807 SHC589807:SHD589807 SQY589807:SQZ589807 TAU589807:TAV589807 TKQ589807:TKR589807 TUM589807:TUN589807 UEI589807:UEJ589807 UOE589807:UOF589807 UYA589807:UYB589807 VHW589807:VHX589807 VRS589807:VRT589807 WBO589807:WBP589807 WLK589807:WLL589807 WVG589807:WVH589807 IU655343:IV655343 SQ655343:SR655343 ACM655343:ACN655343 AMI655343:AMJ655343 AWE655343:AWF655343 BGA655343:BGB655343 BPW655343:BPX655343 BZS655343:BZT655343 CJO655343:CJP655343 CTK655343:CTL655343 DDG655343:DDH655343 DNC655343:DND655343 DWY655343:DWZ655343 EGU655343:EGV655343 EQQ655343:EQR655343 FAM655343:FAN655343 FKI655343:FKJ655343 FUE655343:FUF655343 GEA655343:GEB655343 GNW655343:GNX655343 GXS655343:GXT655343 HHO655343:HHP655343 HRK655343:HRL655343 IBG655343:IBH655343 ILC655343:ILD655343 IUY655343:IUZ655343 JEU655343:JEV655343 JOQ655343:JOR655343 JYM655343:JYN655343 KII655343:KIJ655343 KSE655343:KSF655343 LCA655343:LCB655343 LLW655343:LLX655343 LVS655343:LVT655343 MFO655343:MFP655343 MPK655343:MPL655343 MZG655343:MZH655343 NJC655343:NJD655343 NSY655343:NSZ655343 OCU655343:OCV655343 OMQ655343:OMR655343 OWM655343:OWN655343 PGI655343:PGJ655343 PQE655343:PQF655343 QAA655343:QAB655343 QJW655343:QJX655343 QTS655343:QTT655343 RDO655343:RDP655343 RNK655343:RNL655343 RXG655343:RXH655343 SHC655343:SHD655343 SQY655343:SQZ655343 TAU655343:TAV655343 TKQ655343:TKR655343 TUM655343:TUN655343 UEI655343:UEJ655343 UOE655343:UOF655343 UYA655343:UYB655343 VHW655343:VHX655343 VRS655343:VRT655343 WBO655343:WBP655343 WLK655343:WLL655343 WVG655343:WVH655343 IU720879:IV720879 SQ720879:SR720879 ACM720879:ACN720879 AMI720879:AMJ720879 AWE720879:AWF720879 BGA720879:BGB720879 BPW720879:BPX720879 BZS720879:BZT720879 CJO720879:CJP720879 CTK720879:CTL720879 DDG720879:DDH720879 DNC720879:DND720879 DWY720879:DWZ720879 EGU720879:EGV720879 EQQ720879:EQR720879 FAM720879:FAN720879 FKI720879:FKJ720879 FUE720879:FUF720879 GEA720879:GEB720879 GNW720879:GNX720879 GXS720879:GXT720879 HHO720879:HHP720879 HRK720879:HRL720879 IBG720879:IBH720879 ILC720879:ILD720879 IUY720879:IUZ720879 JEU720879:JEV720879 JOQ720879:JOR720879 JYM720879:JYN720879 KII720879:KIJ720879 KSE720879:KSF720879 LCA720879:LCB720879 LLW720879:LLX720879 LVS720879:LVT720879 MFO720879:MFP720879 MPK720879:MPL720879 MZG720879:MZH720879 NJC720879:NJD720879 NSY720879:NSZ720879 OCU720879:OCV720879 OMQ720879:OMR720879 OWM720879:OWN720879 PGI720879:PGJ720879 PQE720879:PQF720879 QAA720879:QAB720879 QJW720879:QJX720879 QTS720879:QTT720879 RDO720879:RDP720879 RNK720879:RNL720879 RXG720879:RXH720879 SHC720879:SHD720879 SQY720879:SQZ720879 TAU720879:TAV720879 TKQ720879:TKR720879 TUM720879:TUN720879 UEI720879:UEJ720879 UOE720879:UOF720879 UYA720879:UYB720879 VHW720879:VHX720879 VRS720879:VRT720879 WBO720879:WBP720879 WLK720879:WLL720879 WVG720879:WVH720879 IU786415:IV786415 SQ786415:SR786415 ACM786415:ACN786415 AMI786415:AMJ786415 AWE786415:AWF786415 BGA786415:BGB786415 BPW786415:BPX786415 BZS786415:BZT786415 CJO786415:CJP786415 CTK786415:CTL786415 DDG786415:DDH786415 DNC786415:DND786415 DWY786415:DWZ786415 EGU786415:EGV786415 EQQ786415:EQR786415 FAM786415:FAN786415 FKI786415:FKJ786415 FUE786415:FUF786415 GEA786415:GEB786415 GNW786415:GNX786415 GXS786415:GXT786415 HHO786415:HHP786415 HRK786415:HRL786415 IBG786415:IBH786415 ILC786415:ILD786415 IUY786415:IUZ786415 JEU786415:JEV786415 JOQ786415:JOR786415 JYM786415:JYN786415 KII786415:KIJ786415 KSE786415:KSF786415 LCA786415:LCB786415 LLW786415:LLX786415 LVS786415:LVT786415 MFO786415:MFP786415 MPK786415:MPL786415 MZG786415:MZH786415 NJC786415:NJD786415 NSY786415:NSZ786415 OCU786415:OCV786415 OMQ786415:OMR786415 OWM786415:OWN786415 PGI786415:PGJ786415 PQE786415:PQF786415 QAA786415:QAB786415 QJW786415:QJX786415 QTS786415:QTT786415 RDO786415:RDP786415 RNK786415:RNL786415 RXG786415:RXH786415 SHC786415:SHD786415 SQY786415:SQZ786415 TAU786415:TAV786415 TKQ786415:TKR786415 TUM786415:TUN786415 UEI786415:UEJ786415 UOE786415:UOF786415 UYA786415:UYB786415 VHW786415:VHX786415 VRS786415:VRT786415 WBO786415:WBP786415 WLK786415:WLL786415 WVG786415:WVH786415 IU851951:IV851951 SQ851951:SR851951 ACM851951:ACN851951 AMI851951:AMJ851951 AWE851951:AWF851951 BGA851951:BGB851951 BPW851951:BPX851951 BZS851951:BZT851951 CJO851951:CJP851951 CTK851951:CTL851951 DDG851951:DDH851951 DNC851951:DND851951 DWY851951:DWZ851951 EGU851951:EGV851951 EQQ851951:EQR851951 FAM851951:FAN851951 FKI851951:FKJ851951 FUE851951:FUF851951 GEA851951:GEB851951 GNW851951:GNX851951 GXS851951:GXT851951 HHO851951:HHP851951 HRK851951:HRL851951 IBG851951:IBH851951 ILC851951:ILD851951 IUY851951:IUZ851951 JEU851951:JEV851951 JOQ851951:JOR851951 JYM851951:JYN851951 KII851951:KIJ851951 KSE851951:KSF851951 LCA851951:LCB851951 LLW851951:LLX851951 LVS851951:LVT851951 MFO851951:MFP851951 MPK851951:MPL851951 MZG851951:MZH851951 NJC851951:NJD851951 NSY851951:NSZ851951 OCU851951:OCV851951 OMQ851951:OMR851951 OWM851951:OWN851951 PGI851951:PGJ851951 PQE851951:PQF851951 QAA851951:QAB851951 QJW851951:QJX851951 QTS851951:QTT851951 RDO851951:RDP851951 RNK851951:RNL851951 RXG851951:RXH851951 SHC851951:SHD851951 SQY851951:SQZ851951 TAU851951:TAV851951 TKQ851951:TKR851951 TUM851951:TUN851951 UEI851951:UEJ851951 UOE851951:UOF851951 UYA851951:UYB851951 VHW851951:VHX851951 VRS851951:VRT851951 WBO851951:WBP851951 WLK851951:WLL851951 WVG851951:WVH851951 IU917487:IV917487 SQ917487:SR917487 ACM917487:ACN917487 AMI917487:AMJ917487 AWE917487:AWF917487 BGA917487:BGB917487 BPW917487:BPX917487 BZS917487:BZT917487 CJO917487:CJP917487 CTK917487:CTL917487 DDG917487:DDH917487 DNC917487:DND917487 DWY917487:DWZ917487 EGU917487:EGV917487 EQQ917487:EQR917487 FAM917487:FAN917487 FKI917487:FKJ917487 FUE917487:FUF917487 GEA917487:GEB917487 GNW917487:GNX917487 GXS917487:GXT917487 HHO917487:HHP917487 HRK917487:HRL917487 IBG917487:IBH917487 ILC917487:ILD917487 IUY917487:IUZ917487 JEU917487:JEV917487 JOQ917487:JOR917487 JYM917487:JYN917487 KII917487:KIJ917487 KSE917487:KSF917487 LCA917487:LCB917487 LLW917487:LLX917487 LVS917487:LVT917487 MFO917487:MFP917487 MPK917487:MPL917487 MZG917487:MZH917487 NJC917487:NJD917487 NSY917487:NSZ917487 OCU917487:OCV917487 OMQ917487:OMR917487 OWM917487:OWN917487 PGI917487:PGJ917487 PQE917487:PQF917487 QAA917487:QAB917487 QJW917487:QJX917487 QTS917487:QTT917487 RDO917487:RDP917487 RNK917487:RNL917487 RXG917487:RXH917487 SHC917487:SHD917487 SQY917487:SQZ917487 TAU917487:TAV917487 TKQ917487:TKR917487 TUM917487:TUN917487 UEI917487:UEJ917487 UOE917487:UOF917487 UYA917487:UYB917487 VHW917487:VHX917487 VRS917487:VRT917487 WBO917487:WBP917487 WLK917487:WLL917487 WVG917487:WVH917487 IU983023:IV983023 SQ983023:SR983023 ACM983023:ACN983023 AMI983023:AMJ983023 AWE983023:AWF983023 BGA983023:BGB983023 BPW983023:BPX983023 BZS983023:BZT983023 CJO983023:CJP983023 CTK983023:CTL983023 DDG983023:DDH983023 DNC983023:DND983023 DWY983023:DWZ983023 EGU983023:EGV983023 EQQ983023:EQR983023 FAM983023:FAN983023 FKI983023:FKJ983023 FUE983023:FUF983023 GEA983023:GEB983023 GNW983023:GNX983023 GXS983023:GXT983023 HHO983023:HHP983023 HRK983023:HRL983023 IBG983023:IBH983023 ILC983023:ILD983023 IUY983023:IUZ983023 JEU983023:JEV983023 JOQ983023:JOR983023 JYM983023:JYN983023 KII983023:KIJ983023 KSE983023:KSF983023 LCA983023:LCB983023 LLW983023:LLX983023 LVS983023:LVT983023 MFO983023:MFP983023 MPK983023:MPL983023 MZG983023:MZH983023 NJC983023:NJD983023 NSY983023:NSZ983023 OCU983023:OCV983023 OMQ983023:OMR983023 OWM983023:OWN983023 PGI983023:PGJ983023 PQE983023:PQF983023 QAA983023:QAB983023 QJW983023:QJX983023 QTS983023:QTT983023 RDO983023:RDP983023 RNK983023:RNL983023 RXG983023:RXH983023 SHC983023:SHD983023 SQY983023:SQZ983023 TAU983023:TAV983023 TKQ983023:TKR983023 TUM983023:TUN983023 UEI983023:UEJ983023 UOE983023:UOF983023 UYA983023:UYB983023 VHW983023:VHX983023 VRS983023:VRT983023 WBO983023:WBP983023 WLK983023:WLL983023 C65519:D65519 C131055:D131055 C196591:D196591 C262127:D262127 C327663:D327663 C393199:D393199 C458735:D458735 C524271:D524271 C589807:D589807 C655343:D655343 C720879:D720879 C786415:D786415 C851951:D851951 C917487:D917487 C983023:D983023 WVG7:WVH7 WLK7:WLL7 WBO7:WBP7 VRS7:VRT7 VHW7:VHX7 UYA7:UYB7 UOE7:UOF7 UEI7:UEJ7 TUM7:TUN7 TKQ7:TKR7 TAU7:TAV7 SQY7:SQZ7 SHC7:SHD7 RXG7:RXH7 RNK7:RNL7 RDO7:RDP7 QTS7:QTT7 QJW7:QJX7 QAA7:QAB7 PQE7:PQF7 PGI7:PGJ7 OWM7:OWN7 OMQ7:OMR7 OCU7:OCV7 NSY7:NSZ7 NJC7:NJD7 MZG7:MZH7 MPK7:MPL7 MFO7:MFP7 LVS7:LVT7 LLW7:LLX7 LCA7:LCB7 KSE7:KSF7 KII7:KIJ7 JYM7:JYN7 JOQ7:JOR7 JEU7:JEV7 IUY7:IUZ7 ILC7:ILD7 IBG7:IBH7 HRK7:HRL7 HHO7:HHP7 GXS7:GXT7 GNW7:GNX7 GEA7:GEB7 FUE7:FUF7 FKI7:FKJ7 FAM7:FAN7 EQQ7:EQR7 EGU7:EGV7 DWY7:DWZ7 DNC7:DND7 DDG7:DDH7 CTK7:CTL7 CJO7:CJP7 BZS7:BZT7 BPW7:BPX7 BGA7:BGB7 AWE7:AWF7 AMI7:AMJ7 ACM7:ACN7 SQ7:SR7 IU7:IV7">
      <formula1>NHSBOARDS</formula1>
    </dataValidation>
    <dataValidation type="list" allowBlank="1" showInputMessage="1" showErrorMessage="1" sqref="C7:D7">
      <formula1>ISLANDBOARDS</formula1>
    </dataValidation>
  </dataValidations>
  <hyperlinks>
    <hyperlink ref="A5" r:id="rId1"/>
  </hyperlinks>
  <pageMargins left="0.7" right="0.7" top="0.75" bottom="0.75" header="0.3" footer="0.3"/>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AF160"/>
  <sheetViews>
    <sheetView topLeftCell="A23" workbookViewId="0">
      <selection activeCell="Q35" sqref="Q35"/>
    </sheetView>
  </sheetViews>
  <sheetFormatPr defaultRowHeight="15"/>
  <cols>
    <col min="1" max="1" width="30.42578125" style="6" customWidth="1"/>
    <col min="2" max="2" width="13.42578125" style="6" customWidth="1"/>
    <col min="3" max="3" width="13.28515625" style="6" customWidth="1"/>
    <col min="4" max="4" width="3.7109375" style="6" customWidth="1"/>
    <col min="5" max="5" width="12.140625" style="6" customWidth="1"/>
    <col min="6" max="6" width="11.85546875" style="6" customWidth="1"/>
    <col min="7" max="7" width="1.85546875" style="6" customWidth="1"/>
    <col min="8" max="8" width="12.140625" style="6" customWidth="1"/>
    <col min="9" max="9" width="10.85546875" style="6" customWidth="1"/>
    <col min="10" max="10" width="1.42578125" style="6" customWidth="1"/>
    <col min="11" max="11" width="13.5703125" style="6" customWidth="1"/>
    <col min="12" max="12" width="13.28515625" style="6" customWidth="1"/>
    <col min="13" max="13" width="2" style="6" customWidth="1"/>
    <col min="14" max="14" width="9.140625" style="6"/>
    <col min="15" max="15" width="11.5703125" style="6" customWidth="1"/>
    <col min="16" max="20" width="9.140625" style="6"/>
    <col min="21" max="21" width="12.28515625" style="6" customWidth="1"/>
    <col min="22" max="22" width="11.42578125" style="6" customWidth="1"/>
    <col min="23" max="254" width="9.140625" style="6"/>
    <col min="255" max="255" width="30.42578125" style="6" customWidth="1"/>
    <col min="256" max="256" width="13.5703125" style="6" customWidth="1"/>
    <col min="257" max="257" width="15.140625" style="6" customWidth="1"/>
    <col min="258" max="258" width="13.42578125" style="6" customWidth="1"/>
    <col min="259" max="259" width="17.140625" style="6" customWidth="1"/>
    <col min="260" max="260" width="7.28515625" style="6" customWidth="1"/>
    <col min="261" max="261" width="3.28515625" style="6" customWidth="1"/>
    <col min="262" max="262" width="7.5703125" style="6" bestFit="1" customWidth="1"/>
    <col min="263" max="263" width="8.7109375" style="6" bestFit="1" customWidth="1"/>
    <col min="264" max="264" width="9.140625" style="6"/>
    <col min="265" max="265" width="10.140625" style="6" bestFit="1" customWidth="1"/>
    <col min="266" max="510" width="9.140625" style="6"/>
    <col min="511" max="511" width="30.42578125" style="6" customWidth="1"/>
    <col min="512" max="512" width="13.5703125" style="6" customWidth="1"/>
    <col min="513" max="513" width="15.140625" style="6" customWidth="1"/>
    <col min="514" max="514" width="13.42578125" style="6" customWidth="1"/>
    <col min="515" max="515" width="17.140625" style="6" customWidth="1"/>
    <col min="516" max="516" width="7.28515625" style="6" customWidth="1"/>
    <col min="517" max="517" width="3.28515625" style="6" customWidth="1"/>
    <col min="518" max="518" width="7.5703125" style="6" bestFit="1" customWidth="1"/>
    <col min="519" max="519" width="8.7109375" style="6" bestFit="1" customWidth="1"/>
    <col min="520" max="520" width="9.140625" style="6"/>
    <col min="521" max="521" width="10.140625" style="6" bestFit="1" customWidth="1"/>
    <col min="522" max="766" width="9.140625" style="6"/>
    <col min="767" max="767" width="30.42578125" style="6" customWidth="1"/>
    <col min="768" max="768" width="13.5703125" style="6" customWidth="1"/>
    <col min="769" max="769" width="15.140625" style="6" customWidth="1"/>
    <col min="770" max="770" width="13.42578125" style="6" customWidth="1"/>
    <col min="771" max="771" width="17.140625" style="6" customWidth="1"/>
    <col min="772" max="772" width="7.28515625" style="6" customWidth="1"/>
    <col min="773" max="773" width="3.28515625" style="6" customWidth="1"/>
    <col min="774" max="774" width="7.5703125" style="6" bestFit="1" customWidth="1"/>
    <col min="775" max="775" width="8.7109375" style="6" bestFit="1" customWidth="1"/>
    <col min="776" max="776" width="9.140625" style="6"/>
    <col min="777" max="777" width="10.140625" style="6" bestFit="1" customWidth="1"/>
    <col min="778" max="1022" width="9.140625" style="6"/>
    <col min="1023" max="1023" width="30.42578125" style="6" customWidth="1"/>
    <col min="1024" max="1024" width="13.5703125" style="6" customWidth="1"/>
    <col min="1025" max="1025" width="15.140625" style="6" customWidth="1"/>
    <col min="1026" max="1026" width="13.42578125" style="6" customWidth="1"/>
    <col min="1027" max="1027" width="17.140625" style="6" customWidth="1"/>
    <col min="1028" max="1028" width="7.28515625" style="6" customWidth="1"/>
    <col min="1029" max="1029" width="3.28515625" style="6" customWidth="1"/>
    <col min="1030" max="1030" width="7.5703125" style="6" bestFit="1" customWidth="1"/>
    <col min="1031" max="1031" width="8.7109375" style="6" bestFit="1" customWidth="1"/>
    <col min="1032" max="1032" width="9.140625" style="6"/>
    <col min="1033" max="1033" width="10.140625" style="6" bestFit="1" customWidth="1"/>
    <col min="1034" max="1278" width="9.140625" style="6"/>
    <col min="1279" max="1279" width="30.42578125" style="6" customWidth="1"/>
    <col min="1280" max="1280" width="13.5703125" style="6" customWidth="1"/>
    <col min="1281" max="1281" width="15.140625" style="6" customWidth="1"/>
    <col min="1282" max="1282" width="13.42578125" style="6" customWidth="1"/>
    <col min="1283" max="1283" width="17.140625" style="6" customWidth="1"/>
    <col min="1284" max="1284" width="7.28515625" style="6" customWidth="1"/>
    <col min="1285" max="1285" width="3.28515625" style="6" customWidth="1"/>
    <col min="1286" max="1286" width="7.5703125" style="6" bestFit="1" customWidth="1"/>
    <col min="1287" max="1287" width="8.7109375" style="6" bestFit="1" customWidth="1"/>
    <col min="1288" max="1288" width="9.140625" style="6"/>
    <col min="1289" max="1289" width="10.140625" style="6" bestFit="1" customWidth="1"/>
    <col min="1290" max="1534" width="9.140625" style="6"/>
    <col min="1535" max="1535" width="30.42578125" style="6" customWidth="1"/>
    <col min="1536" max="1536" width="13.5703125" style="6" customWidth="1"/>
    <col min="1537" max="1537" width="15.140625" style="6" customWidth="1"/>
    <col min="1538" max="1538" width="13.42578125" style="6" customWidth="1"/>
    <col min="1539" max="1539" width="17.140625" style="6" customWidth="1"/>
    <col min="1540" max="1540" width="7.28515625" style="6" customWidth="1"/>
    <col min="1541" max="1541" width="3.28515625" style="6" customWidth="1"/>
    <col min="1542" max="1542" width="7.5703125" style="6" bestFit="1" customWidth="1"/>
    <col min="1543" max="1543" width="8.7109375" style="6" bestFit="1" customWidth="1"/>
    <col min="1544" max="1544" width="9.140625" style="6"/>
    <col min="1545" max="1545" width="10.140625" style="6" bestFit="1" customWidth="1"/>
    <col min="1546" max="1790" width="9.140625" style="6"/>
    <col min="1791" max="1791" width="30.42578125" style="6" customWidth="1"/>
    <col min="1792" max="1792" width="13.5703125" style="6" customWidth="1"/>
    <col min="1793" max="1793" width="15.140625" style="6" customWidth="1"/>
    <col min="1794" max="1794" width="13.42578125" style="6" customWidth="1"/>
    <col min="1795" max="1795" width="17.140625" style="6" customWidth="1"/>
    <col min="1796" max="1796" width="7.28515625" style="6" customWidth="1"/>
    <col min="1797" max="1797" width="3.28515625" style="6" customWidth="1"/>
    <col min="1798" max="1798" width="7.5703125" style="6" bestFit="1" customWidth="1"/>
    <col min="1799" max="1799" width="8.7109375" style="6" bestFit="1" customWidth="1"/>
    <col min="1800" max="1800" width="9.140625" style="6"/>
    <col min="1801" max="1801" width="10.140625" style="6" bestFit="1" customWidth="1"/>
    <col min="1802" max="2046" width="9.140625" style="6"/>
    <col min="2047" max="2047" width="30.42578125" style="6" customWidth="1"/>
    <col min="2048" max="2048" width="13.5703125" style="6" customWidth="1"/>
    <col min="2049" max="2049" width="15.140625" style="6" customWidth="1"/>
    <col min="2050" max="2050" width="13.42578125" style="6" customWidth="1"/>
    <col min="2051" max="2051" width="17.140625" style="6" customWidth="1"/>
    <col min="2052" max="2052" width="7.28515625" style="6" customWidth="1"/>
    <col min="2053" max="2053" width="3.28515625" style="6" customWidth="1"/>
    <col min="2054" max="2054" width="7.5703125" style="6" bestFit="1" customWidth="1"/>
    <col min="2055" max="2055" width="8.7109375" style="6" bestFit="1" customWidth="1"/>
    <col min="2056" max="2056" width="9.140625" style="6"/>
    <col min="2057" max="2057" width="10.140625" style="6" bestFit="1" customWidth="1"/>
    <col min="2058" max="2302" width="9.140625" style="6"/>
    <col min="2303" max="2303" width="30.42578125" style="6" customWidth="1"/>
    <col min="2304" max="2304" width="13.5703125" style="6" customWidth="1"/>
    <col min="2305" max="2305" width="15.140625" style="6" customWidth="1"/>
    <col min="2306" max="2306" width="13.42578125" style="6" customWidth="1"/>
    <col min="2307" max="2307" width="17.140625" style="6" customWidth="1"/>
    <col min="2308" max="2308" width="7.28515625" style="6" customWidth="1"/>
    <col min="2309" max="2309" width="3.28515625" style="6" customWidth="1"/>
    <col min="2310" max="2310" width="7.5703125" style="6" bestFit="1" customWidth="1"/>
    <col min="2311" max="2311" width="8.7109375" style="6" bestFit="1" customWidth="1"/>
    <col min="2312" max="2312" width="9.140625" style="6"/>
    <col min="2313" max="2313" width="10.140625" style="6" bestFit="1" customWidth="1"/>
    <col min="2314" max="2558" width="9.140625" style="6"/>
    <col min="2559" max="2559" width="30.42578125" style="6" customWidth="1"/>
    <col min="2560" max="2560" width="13.5703125" style="6" customWidth="1"/>
    <col min="2561" max="2561" width="15.140625" style="6" customWidth="1"/>
    <col min="2562" max="2562" width="13.42578125" style="6" customWidth="1"/>
    <col min="2563" max="2563" width="17.140625" style="6" customWidth="1"/>
    <col min="2564" max="2564" width="7.28515625" style="6" customWidth="1"/>
    <col min="2565" max="2565" width="3.28515625" style="6" customWidth="1"/>
    <col min="2566" max="2566" width="7.5703125" style="6" bestFit="1" customWidth="1"/>
    <col min="2567" max="2567" width="8.7109375" style="6" bestFit="1" customWidth="1"/>
    <col min="2568" max="2568" width="9.140625" style="6"/>
    <col min="2569" max="2569" width="10.140625" style="6" bestFit="1" customWidth="1"/>
    <col min="2570" max="2814" width="9.140625" style="6"/>
    <col min="2815" max="2815" width="30.42578125" style="6" customWidth="1"/>
    <col min="2816" max="2816" width="13.5703125" style="6" customWidth="1"/>
    <col min="2817" max="2817" width="15.140625" style="6" customWidth="1"/>
    <col min="2818" max="2818" width="13.42578125" style="6" customWidth="1"/>
    <col min="2819" max="2819" width="17.140625" style="6" customWidth="1"/>
    <col min="2820" max="2820" width="7.28515625" style="6" customWidth="1"/>
    <col min="2821" max="2821" width="3.28515625" style="6" customWidth="1"/>
    <col min="2822" max="2822" width="7.5703125" style="6" bestFit="1" customWidth="1"/>
    <col min="2823" max="2823" width="8.7109375" style="6" bestFit="1" customWidth="1"/>
    <col min="2824" max="2824" width="9.140625" style="6"/>
    <col min="2825" max="2825" width="10.140625" style="6" bestFit="1" customWidth="1"/>
    <col min="2826" max="3070" width="9.140625" style="6"/>
    <col min="3071" max="3071" width="30.42578125" style="6" customWidth="1"/>
    <col min="3072" max="3072" width="13.5703125" style="6" customWidth="1"/>
    <col min="3073" max="3073" width="15.140625" style="6" customWidth="1"/>
    <col min="3074" max="3074" width="13.42578125" style="6" customWidth="1"/>
    <col min="3075" max="3075" width="17.140625" style="6" customWidth="1"/>
    <col min="3076" max="3076" width="7.28515625" style="6" customWidth="1"/>
    <col min="3077" max="3077" width="3.28515625" style="6" customWidth="1"/>
    <col min="3078" max="3078" width="7.5703125" style="6" bestFit="1" customWidth="1"/>
    <col min="3079" max="3079" width="8.7109375" style="6" bestFit="1" customWidth="1"/>
    <col min="3080" max="3080" width="9.140625" style="6"/>
    <col min="3081" max="3081" width="10.140625" style="6" bestFit="1" customWidth="1"/>
    <col min="3082" max="3326" width="9.140625" style="6"/>
    <col min="3327" max="3327" width="30.42578125" style="6" customWidth="1"/>
    <col min="3328" max="3328" width="13.5703125" style="6" customWidth="1"/>
    <col min="3329" max="3329" width="15.140625" style="6" customWidth="1"/>
    <col min="3330" max="3330" width="13.42578125" style="6" customWidth="1"/>
    <col min="3331" max="3331" width="17.140625" style="6" customWidth="1"/>
    <col min="3332" max="3332" width="7.28515625" style="6" customWidth="1"/>
    <col min="3333" max="3333" width="3.28515625" style="6" customWidth="1"/>
    <col min="3334" max="3334" width="7.5703125" style="6" bestFit="1" customWidth="1"/>
    <col min="3335" max="3335" width="8.7109375" style="6" bestFit="1" customWidth="1"/>
    <col min="3336" max="3336" width="9.140625" style="6"/>
    <col min="3337" max="3337" width="10.140625" style="6" bestFit="1" customWidth="1"/>
    <col min="3338" max="3582" width="9.140625" style="6"/>
    <col min="3583" max="3583" width="30.42578125" style="6" customWidth="1"/>
    <col min="3584" max="3584" width="13.5703125" style="6" customWidth="1"/>
    <col min="3585" max="3585" width="15.140625" style="6" customWidth="1"/>
    <col min="3586" max="3586" width="13.42578125" style="6" customWidth="1"/>
    <col min="3587" max="3587" width="17.140625" style="6" customWidth="1"/>
    <col min="3588" max="3588" width="7.28515625" style="6" customWidth="1"/>
    <col min="3589" max="3589" width="3.28515625" style="6" customWidth="1"/>
    <col min="3590" max="3590" width="7.5703125" style="6" bestFit="1" customWidth="1"/>
    <col min="3591" max="3591" width="8.7109375" style="6" bestFit="1" customWidth="1"/>
    <col min="3592" max="3592" width="9.140625" style="6"/>
    <col min="3593" max="3593" width="10.140625" style="6" bestFit="1" customWidth="1"/>
    <col min="3594" max="3838" width="9.140625" style="6"/>
    <col min="3839" max="3839" width="30.42578125" style="6" customWidth="1"/>
    <col min="3840" max="3840" width="13.5703125" style="6" customWidth="1"/>
    <col min="3841" max="3841" width="15.140625" style="6" customWidth="1"/>
    <col min="3842" max="3842" width="13.42578125" style="6" customWidth="1"/>
    <col min="3843" max="3843" width="17.140625" style="6" customWidth="1"/>
    <col min="3844" max="3844" width="7.28515625" style="6" customWidth="1"/>
    <col min="3845" max="3845" width="3.28515625" style="6" customWidth="1"/>
    <col min="3846" max="3846" width="7.5703125" style="6" bestFit="1" customWidth="1"/>
    <col min="3847" max="3847" width="8.7109375" style="6" bestFit="1" customWidth="1"/>
    <col min="3848" max="3848" width="9.140625" style="6"/>
    <col min="3849" max="3849" width="10.140625" style="6" bestFit="1" customWidth="1"/>
    <col min="3850" max="4094" width="9.140625" style="6"/>
    <col min="4095" max="4095" width="30.42578125" style="6" customWidth="1"/>
    <col min="4096" max="4096" width="13.5703125" style="6" customWidth="1"/>
    <col min="4097" max="4097" width="15.140625" style="6" customWidth="1"/>
    <col min="4098" max="4098" width="13.42578125" style="6" customWidth="1"/>
    <col min="4099" max="4099" width="17.140625" style="6" customWidth="1"/>
    <col min="4100" max="4100" width="7.28515625" style="6" customWidth="1"/>
    <col min="4101" max="4101" width="3.28515625" style="6" customWidth="1"/>
    <col min="4102" max="4102" width="7.5703125" style="6" bestFit="1" customWidth="1"/>
    <col min="4103" max="4103" width="8.7109375" style="6" bestFit="1" customWidth="1"/>
    <col min="4104" max="4104" width="9.140625" style="6"/>
    <col min="4105" max="4105" width="10.140625" style="6" bestFit="1" customWidth="1"/>
    <col min="4106" max="4350" width="9.140625" style="6"/>
    <col min="4351" max="4351" width="30.42578125" style="6" customWidth="1"/>
    <col min="4352" max="4352" width="13.5703125" style="6" customWidth="1"/>
    <col min="4353" max="4353" width="15.140625" style="6" customWidth="1"/>
    <col min="4354" max="4354" width="13.42578125" style="6" customWidth="1"/>
    <col min="4355" max="4355" width="17.140625" style="6" customWidth="1"/>
    <col min="4356" max="4356" width="7.28515625" style="6" customWidth="1"/>
    <col min="4357" max="4357" width="3.28515625" style="6" customWidth="1"/>
    <col min="4358" max="4358" width="7.5703125" style="6" bestFit="1" customWidth="1"/>
    <col min="4359" max="4359" width="8.7109375" style="6" bestFit="1" customWidth="1"/>
    <col min="4360" max="4360" width="9.140625" style="6"/>
    <col min="4361" max="4361" width="10.140625" style="6" bestFit="1" customWidth="1"/>
    <col min="4362" max="4606" width="9.140625" style="6"/>
    <col min="4607" max="4607" width="30.42578125" style="6" customWidth="1"/>
    <col min="4608" max="4608" width="13.5703125" style="6" customWidth="1"/>
    <col min="4609" max="4609" width="15.140625" style="6" customWidth="1"/>
    <col min="4610" max="4610" width="13.42578125" style="6" customWidth="1"/>
    <col min="4611" max="4611" width="17.140625" style="6" customWidth="1"/>
    <col min="4612" max="4612" width="7.28515625" style="6" customWidth="1"/>
    <col min="4613" max="4613" width="3.28515625" style="6" customWidth="1"/>
    <col min="4614" max="4614" width="7.5703125" style="6" bestFit="1" customWidth="1"/>
    <col min="4615" max="4615" width="8.7109375" style="6" bestFit="1" customWidth="1"/>
    <col min="4616" max="4616" width="9.140625" style="6"/>
    <col min="4617" max="4617" width="10.140625" style="6" bestFit="1" customWidth="1"/>
    <col min="4618" max="4862" width="9.140625" style="6"/>
    <col min="4863" max="4863" width="30.42578125" style="6" customWidth="1"/>
    <col min="4864" max="4864" width="13.5703125" style="6" customWidth="1"/>
    <col min="4865" max="4865" width="15.140625" style="6" customWidth="1"/>
    <col min="4866" max="4866" width="13.42578125" style="6" customWidth="1"/>
    <col min="4867" max="4867" width="17.140625" style="6" customWidth="1"/>
    <col min="4868" max="4868" width="7.28515625" style="6" customWidth="1"/>
    <col min="4869" max="4869" width="3.28515625" style="6" customWidth="1"/>
    <col min="4870" max="4870" width="7.5703125" style="6" bestFit="1" customWidth="1"/>
    <col min="4871" max="4871" width="8.7109375" style="6" bestFit="1" customWidth="1"/>
    <col min="4872" max="4872" width="9.140625" style="6"/>
    <col min="4873" max="4873" width="10.140625" style="6" bestFit="1" customWidth="1"/>
    <col min="4874" max="5118" width="9.140625" style="6"/>
    <col min="5119" max="5119" width="30.42578125" style="6" customWidth="1"/>
    <col min="5120" max="5120" width="13.5703125" style="6" customWidth="1"/>
    <col min="5121" max="5121" width="15.140625" style="6" customWidth="1"/>
    <col min="5122" max="5122" width="13.42578125" style="6" customWidth="1"/>
    <col min="5123" max="5123" width="17.140625" style="6" customWidth="1"/>
    <col min="5124" max="5124" width="7.28515625" style="6" customWidth="1"/>
    <col min="5125" max="5125" width="3.28515625" style="6" customWidth="1"/>
    <col min="5126" max="5126" width="7.5703125" style="6" bestFit="1" customWidth="1"/>
    <col min="5127" max="5127" width="8.7109375" style="6" bestFit="1" customWidth="1"/>
    <col min="5128" max="5128" width="9.140625" style="6"/>
    <col min="5129" max="5129" width="10.140625" style="6" bestFit="1" customWidth="1"/>
    <col min="5130" max="5374" width="9.140625" style="6"/>
    <col min="5375" max="5375" width="30.42578125" style="6" customWidth="1"/>
    <col min="5376" max="5376" width="13.5703125" style="6" customWidth="1"/>
    <col min="5377" max="5377" width="15.140625" style="6" customWidth="1"/>
    <col min="5378" max="5378" width="13.42578125" style="6" customWidth="1"/>
    <col min="5379" max="5379" width="17.140625" style="6" customWidth="1"/>
    <col min="5380" max="5380" width="7.28515625" style="6" customWidth="1"/>
    <col min="5381" max="5381" width="3.28515625" style="6" customWidth="1"/>
    <col min="5382" max="5382" width="7.5703125" style="6" bestFit="1" customWidth="1"/>
    <col min="5383" max="5383" width="8.7109375" style="6" bestFit="1" customWidth="1"/>
    <col min="5384" max="5384" width="9.140625" style="6"/>
    <col min="5385" max="5385" width="10.140625" style="6" bestFit="1" customWidth="1"/>
    <col min="5386" max="5630" width="9.140625" style="6"/>
    <col min="5631" max="5631" width="30.42578125" style="6" customWidth="1"/>
    <col min="5632" max="5632" width="13.5703125" style="6" customWidth="1"/>
    <col min="5633" max="5633" width="15.140625" style="6" customWidth="1"/>
    <col min="5634" max="5634" width="13.42578125" style="6" customWidth="1"/>
    <col min="5635" max="5635" width="17.140625" style="6" customWidth="1"/>
    <col min="5636" max="5636" width="7.28515625" style="6" customWidth="1"/>
    <col min="5637" max="5637" width="3.28515625" style="6" customWidth="1"/>
    <col min="5638" max="5638" width="7.5703125" style="6" bestFit="1" customWidth="1"/>
    <col min="5639" max="5639" width="8.7109375" style="6" bestFit="1" customWidth="1"/>
    <col min="5640" max="5640" width="9.140625" style="6"/>
    <col min="5641" max="5641" width="10.140625" style="6" bestFit="1" customWidth="1"/>
    <col min="5642" max="5886" width="9.140625" style="6"/>
    <col min="5887" max="5887" width="30.42578125" style="6" customWidth="1"/>
    <col min="5888" max="5888" width="13.5703125" style="6" customWidth="1"/>
    <col min="5889" max="5889" width="15.140625" style="6" customWidth="1"/>
    <col min="5890" max="5890" width="13.42578125" style="6" customWidth="1"/>
    <col min="5891" max="5891" width="17.140625" style="6" customWidth="1"/>
    <col min="5892" max="5892" width="7.28515625" style="6" customWidth="1"/>
    <col min="5893" max="5893" width="3.28515625" style="6" customWidth="1"/>
    <col min="5894" max="5894" width="7.5703125" style="6" bestFit="1" customWidth="1"/>
    <col min="5895" max="5895" width="8.7109375" style="6" bestFit="1" customWidth="1"/>
    <col min="5896" max="5896" width="9.140625" style="6"/>
    <col min="5897" max="5897" width="10.140625" style="6" bestFit="1" customWidth="1"/>
    <col min="5898" max="6142" width="9.140625" style="6"/>
    <col min="6143" max="6143" width="30.42578125" style="6" customWidth="1"/>
    <col min="6144" max="6144" width="13.5703125" style="6" customWidth="1"/>
    <col min="6145" max="6145" width="15.140625" style="6" customWidth="1"/>
    <col min="6146" max="6146" width="13.42578125" style="6" customWidth="1"/>
    <col min="6147" max="6147" width="17.140625" style="6" customWidth="1"/>
    <col min="6148" max="6148" width="7.28515625" style="6" customWidth="1"/>
    <col min="6149" max="6149" width="3.28515625" style="6" customWidth="1"/>
    <col min="6150" max="6150" width="7.5703125" style="6" bestFit="1" customWidth="1"/>
    <col min="6151" max="6151" width="8.7109375" style="6" bestFit="1" customWidth="1"/>
    <col min="6152" max="6152" width="9.140625" style="6"/>
    <col min="6153" max="6153" width="10.140625" style="6" bestFit="1" customWidth="1"/>
    <col min="6154" max="6398" width="9.140625" style="6"/>
    <col min="6399" max="6399" width="30.42578125" style="6" customWidth="1"/>
    <col min="6400" max="6400" width="13.5703125" style="6" customWidth="1"/>
    <col min="6401" max="6401" width="15.140625" style="6" customWidth="1"/>
    <col min="6402" max="6402" width="13.42578125" style="6" customWidth="1"/>
    <col min="6403" max="6403" width="17.140625" style="6" customWidth="1"/>
    <col min="6404" max="6404" width="7.28515625" style="6" customWidth="1"/>
    <col min="6405" max="6405" width="3.28515625" style="6" customWidth="1"/>
    <col min="6406" max="6406" width="7.5703125" style="6" bestFit="1" customWidth="1"/>
    <col min="6407" max="6407" width="8.7109375" style="6" bestFit="1" customWidth="1"/>
    <col min="6408" max="6408" width="9.140625" style="6"/>
    <col min="6409" max="6409" width="10.140625" style="6" bestFit="1" customWidth="1"/>
    <col min="6410" max="6654" width="9.140625" style="6"/>
    <col min="6655" max="6655" width="30.42578125" style="6" customWidth="1"/>
    <col min="6656" max="6656" width="13.5703125" style="6" customWidth="1"/>
    <col min="6657" max="6657" width="15.140625" style="6" customWidth="1"/>
    <col min="6658" max="6658" width="13.42578125" style="6" customWidth="1"/>
    <col min="6659" max="6659" width="17.140625" style="6" customWidth="1"/>
    <col min="6660" max="6660" width="7.28515625" style="6" customWidth="1"/>
    <col min="6661" max="6661" width="3.28515625" style="6" customWidth="1"/>
    <col min="6662" max="6662" width="7.5703125" style="6" bestFit="1" customWidth="1"/>
    <col min="6663" max="6663" width="8.7109375" style="6" bestFit="1" customWidth="1"/>
    <col min="6664" max="6664" width="9.140625" style="6"/>
    <col min="6665" max="6665" width="10.140625" style="6" bestFit="1" customWidth="1"/>
    <col min="6666" max="6910" width="9.140625" style="6"/>
    <col min="6911" max="6911" width="30.42578125" style="6" customWidth="1"/>
    <col min="6912" max="6912" width="13.5703125" style="6" customWidth="1"/>
    <col min="6913" max="6913" width="15.140625" style="6" customWidth="1"/>
    <col min="6914" max="6914" width="13.42578125" style="6" customWidth="1"/>
    <col min="6915" max="6915" width="17.140625" style="6" customWidth="1"/>
    <col min="6916" max="6916" width="7.28515625" style="6" customWidth="1"/>
    <col min="6917" max="6917" width="3.28515625" style="6" customWidth="1"/>
    <col min="6918" max="6918" width="7.5703125" style="6" bestFit="1" customWidth="1"/>
    <col min="6919" max="6919" width="8.7109375" style="6" bestFit="1" customWidth="1"/>
    <col min="6920" max="6920" width="9.140625" style="6"/>
    <col min="6921" max="6921" width="10.140625" style="6" bestFit="1" customWidth="1"/>
    <col min="6922" max="7166" width="9.140625" style="6"/>
    <col min="7167" max="7167" width="30.42578125" style="6" customWidth="1"/>
    <col min="7168" max="7168" width="13.5703125" style="6" customWidth="1"/>
    <col min="7169" max="7169" width="15.140625" style="6" customWidth="1"/>
    <col min="7170" max="7170" width="13.42578125" style="6" customWidth="1"/>
    <col min="7171" max="7171" width="17.140625" style="6" customWidth="1"/>
    <col min="7172" max="7172" width="7.28515625" style="6" customWidth="1"/>
    <col min="7173" max="7173" width="3.28515625" style="6" customWidth="1"/>
    <col min="7174" max="7174" width="7.5703125" style="6" bestFit="1" customWidth="1"/>
    <col min="7175" max="7175" width="8.7109375" style="6" bestFit="1" customWidth="1"/>
    <col min="7176" max="7176" width="9.140625" style="6"/>
    <col min="7177" max="7177" width="10.140625" style="6" bestFit="1" customWidth="1"/>
    <col min="7178" max="7422" width="9.140625" style="6"/>
    <col min="7423" max="7423" width="30.42578125" style="6" customWidth="1"/>
    <col min="7424" max="7424" width="13.5703125" style="6" customWidth="1"/>
    <col min="7425" max="7425" width="15.140625" style="6" customWidth="1"/>
    <col min="7426" max="7426" width="13.42578125" style="6" customWidth="1"/>
    <col min="7427" max="7427" width="17.140625" style="6" customWidth="1"/>
    <col min="7428" max="7428" width="7.28515625" style="6" customWidth="1"/>
    <col min="7429" max="7429" width="3.28515625" style="6" customWidth="1"/>
    <col min="7430" max="7430" width="7.5703125" style="6" bestFit="1" customWidth="1"/>
    <col min="7431" max="7431" width="8.7109375" style="6" bestFit="1" customWidth="1"/>
    <col min="7432" max="7432" width="9.140625" style="6"/>
    <col min="7433" max="7433" width="10.140625" style="6" bestFit="1" customWidth="1"/>
    <col min="7434" max="7678" width="9.140625" style="6"/>
    <col min="7679" max="7679" width="30.42578125" style="6" customWidth="1"/>
    <col min="7680" max="7680" width="13.5703125" style="6" customWidth="1"/>
    <col min="7681" max="7681" width="15.140625" style="6" customWidth="1"/>
    <col min="7682" max="7682" width="13.42578125" style="6" customWidth="1"/>
    <col min="7683" max="7683" width="17.140625" style="6" customWidth="1"/>
    <col min="7684" max="7684" width="7.28515625" style="6" customWidth="1"/>
    <col min="7685" max="7685" width="3.28515625" style="6" customWidth="1"/>
    <col min="7686" max="7686" width="7.5703125" style="6" bestFit="1" customWidth="1"/>
    <col min="7687" max="7687" width="8.7109375" style="6" bestFit="1" customWidth="1"/>
    <col min="7688" max="7688" width="9.140625" style="6"/>
    <col min="7689" max="7689" width="10.140625" style="6" bestFit="1" customWidth="1"/>
    <col min="7690" max="7934" width="9.140625" style="6"/>
    <col min="7935" max="7935" width="30.42578125" style="6" customWidth="1"/>
    <col min="7936" max="7936" width="13.5703125" style="6" customWidth="1"/>
    <col min="7937" max="7937" width="15.140625" style="6" customWidth="1"/>
    <col min="7938" max="7938" width="13.42578125" style="6" customWidth="1"/>
    <col min="7939" max="7939" width="17.140625" style="6" customWidth="1"/>
    <col min="7940" max="7940" width="7.28515625" style="6" customWidth="1"/>
    <col min="7941" max="7941" width="3.28515625" style="6" customWidth="1"/>
    <col min="7942" max="7942" width="7.5703125" style="6" bestFit="1" customWidth="1"/>
    <col min="7943" max="7943" width="8.7109375" style="6" bestFit="1" customWidth="1"/>
    <col min="7944" max="7944" width="9.140625" style="6"/>
    <col min="7945" max="7945" width="10.140625" style="6" bestFit="1" customWidth="1"/>
    <col min="7946" max="8190" width="9.140625" style="6"/>
    <col min="8191" max="8191" width="30.42578125" style="6" customWidth="1"/>
    <col min="8192" max="8192" width="13.5703125" style="6" customWidth="1"/>
    <col min="8193" max="8193" width="15.140625" style="6" customWidth="1"/>
    <col min="8194" max="8194" width="13.42578125" style="6" customWidth="1"/>
    <col min="8195" max="8195" width="17.140625" style="6" customWidth="1"/>
    <col min="8196" max="8196" width="7.28515625" style="6" customWidth="1"/>
    <col min="8197" max="8197" width="3.28515625" style="6" customWidth="1"/>
    <col min="8198" max="8198" width="7.5703125" style="6" bestFit="1" customWidth="1"/>
    <col min="8199" max="8199" width="8.7109375" style="6" bestFit="1" customWidth="1"/>
    <col min="8200" max="8200" width="9.140625" style="6"/>
    <col min="8201" max="8201" width="10.140625" style="6" bestFit="1" customWidth="1"/>
    <col min="8202" max="8446" width="9.140625" style="6"/>
    <col min="8447" max="8447" width="30.42578125" style="6" customWidth="1"/>
    <col min="8448" max="8448" width="13.5703125" style="6" customWidth="1"/>
    <col min="8449" max="8449" width="15.140625" style="6" customWidth="1"/>
    <col min="8450" max="8450" width="13.42578125" style="6" customWidth="1"/>
    <col min="8451" max="8451" width="17.140625" style="6" customWidth="1"/>
    <col min="8452" max="8452" width="7.28515625" style="6" customWidth="1"/>
    <col min="8453" max="8453" width="3.28515625" style="6" customWidth="1"/>
    <col min="8454" max="8454" width="7.5703125" style="6" bestFit="1" customWidth="1"/>
    <col min="8455" max="8455" width="8.7109375" style="6" bestFit="1" customWidth="1"/>
    <col min="8456" max="8456" width="9.140625" style="6"/>
    <col min="8457" max="8457" width="10.140625" style="6" bestFit="1" customWidth="1"/>
    <col min="8458" max="8702" width="9.140625" style="6"/>
    <col min="8703" max="8703" width="30.42578125" style="6" customWidth="1"/>
    <col min="8704" max="8704" width="13.5703125" style="6" customWidth="1"/>
    <col min="8705" max="8705" width="15.140625" style="6" customWidth="1"/>
    <col min="8706" max="8706" width="13.42578125" style="6" customWidth="1"/>
    <col min="8707" max="8707" width="17.140625" style="6" customWidth="1"/>
    <col min="8708" max="8708" width="7.28515625" style="6" customWidth="1"/>
    <col min="8709" max="8709" width="3.28515625" style="6" customWidth="1"/>
    <col min="8710" max="8710" width="7.5703125" style="6" bestFit="1" customWidth="1"/>
    <col min="8711" max="8711" width="8.7109375" style="6" bestFit="1" customWidth="1"/>
    <col min="8712" max="8712" width="9.140625" style="6"/>
    <col min="8713" max="8713" width="10.140625" style="6" bestFit="1" customWidth="1"/>
    <col min="8714" max="8958" width="9.140625" style="6"/>
    <col min="8959" max="8959" width="30.42578125" style="6" customWidth="1"/>
    <col min="8960" max="8960" width="13.5703125" style="6" customWidth="1"/>
    <col min="8961" max="8961" width="15.140625" style="6" customWidth="1"/>
    <col min="8962" max="8962" width="13.42578125" style="6" customWidth="1"/>
    <col min="8963" max="8963" width="17.140625" style="6" customWidth="1"/>
    <col min="8964" max="8964" width="7.28515625" style="6" customWidth="1"/>
    <col min="8965" max="8965" width="3.28515625" style="6" customWidth="1"/>
    <col min="8966" max="8966" width="7.5703125" style="6" bestFit="1" customWidth="1"/>
    <col min="8967" max="8967" width="8.7109375" style="6" bestFit="1" customWidth="1"/>
    <col min="8968" max="8968" width="9.140625" style="6"/>
    <col min="8969" max="8969" width="10.140625" style="6" bestFit="1" customWidth="1"/>
    <col min="8970" max="9214" width="9.140625" style="6"/>
    <col min="9215" max="9215" width="30.42578125" style="6" customWidth="1"/>
    <col min="9216" max="9216" width="13.5703125" style="6" customWidth="1"/>
    <col min="9217" max="9217" width="15.140625" style="6" customWidth="1"/>
    <col min="9218" max="9218" width="13.42578125" style="6" customWidth="1"/>
    <col min="9219" max="9219" width="17.140625" style="6" customWidth="1"/>
    <col min="9220" max="9220" width="7.28515625" style="6" customWidth="1"/>
    <col min="9221" max="9221" width="3.28515625" style="6" customWidth="1"/>
    <col min="9222" max="9222" width="7.5703125" style="6" bestFit="1" customWidth="1"/>
    <col min="9223" max="9223" width="8.7109375" style="6" bestFit="1" customWidth="1"/>
    <col min="9224" max="9224" width="9.140625" style="6"/>
    <col min="9225" max="9225" width="10.140625" style="6" bestFit="1" customWidth="1"/>
    <col min="9226" max="9470" width="9.140625" style="6"/>
    <col min="9471" max="9471" width="30.42578125" style="6" customWidth="1"/>
    <col min="9472" max="9472" width="13.5703125" style="6" customWidth="1"/>
    <col min="9473" max="9473" width="15.140625" style="6" customWidth="1"/>
    <col min="9474" max="9474" width="13.42578125" style="6" customWidth="1"/>
    <col min="9475" max="9475" width="17.140625" style="6" customWidth="1"/>
    <col min="9476" max="9476" width="7.28515625" style="6" customWidth="1"/>
    <col min="9477" max="9477" width="3.28515625" style="6" customWidth="1"/>
    <col min="9478" max="9478" width="7.5703125" style="6" bestFit="1" customWidth="1"/>
    <col min="9479" max="9479" width="8.7109375" style="6" bestFit="1" customWidth="1"/>
    <col min="9480" max="9480" width="9.140625" style="6"/>
    <col min="9481" max="9481" width="10.140625" style="6" bestFit="1" customWidth="1"/>
    <col min="9482" max="9726" width="9.140625" style="6"/>
    <col min="9727" max="9727" width="30.42578125" style="6" customWidth="1"/>
    <col min="9728" max="9728" width="13.5703125" style="6" customWidth="1"/>
    <col min="9729" max="9729" width="15.140625" style="6" customWidth="1"/>
    <col min="9730" max="9730" width="13.42578125" style="6" customWidth="1"/>
    <col min="9731" max="9731" width="17.140625" style="6" customWidth="1"/>
    <col min="9732" max="9732" width="7.28515625" style="6" customWidth="1"/>
    <col min="9733" max="9733" width="3.28515625" style="6" customWidth="1"/>
    <col min="9734" max="9734" width="7.5703125" style="6" bestFit="1" customWidth="1"/>
    <col min="9735" max="9735" width="8.7109375" style="6" bestFit="1" customWidth="1"/>
    <col min="9736" max="9736" width="9.140625" style="6"/>
    <col min="9737" max="9737" width="10.140625" style="6" bestFit="1" customWidth="1"/>
    <col min="9738" max="9982" width="9.140625" style="6"/>
    <col min="9983" max="9983" width="30.42578125" style="6" customWidth="1"/>
    <col min="9984" max="9984" width="13.5703125" style="6" customWidth="1"/>
    <col min="9985" max="9985" width="15.140625" style="6" customWidth="1"/>
    <col min="9986" max="9986" width="13.42578125" style="6" customWidth="1"/>
    <col min="9987" max="9987" width="17.140625" style="6" customWidth="1"/>
    <col min="9988" max="9988" width="7.28515625" style="6" customWidth="1"/>
    <col min="9989" max="9989" width="3.28515625" style="6" customWidth="1"/>
    <col min="9990" max="9990" width="7.5703125" style="6" bestFit="1" customWidth="1"/>
    <col min="9991" max="9991" width="8.7109375" style="6" bestFit="1" customWidth="1"/>
    <col min="9992" max="9992" width="9.140625" style="6"/>
    <col min="9993" max="9993" width="10.140625" style="6" bestFit="1" customWidth="1"/>
    <col min="9994" max="10238" width="9.140625" style="6"/>
    <col min="10239" max="10239" width="30.42578125" style="6" customWidth="1"/>
    <col min="10240" max="10240" width="13.5703125" style="6" customWidth="1"/>
    <col min="10241" max="10241" width="15.140625" style="6" customWidth="1"/>
    <col min="10242" max="10242" width="13.42578125" style="6" customWidth="1"/>
    <col min="10243" max="10243" width="17.140625" style="6" customWidth="1"/>
    <col min="10244" max="10244" width="7.28515625" style="6" customWidth="1"/>
    <col min="10245" max="10245" width="3.28515625" style="6" customWidth="1"/>
    <col min="10246" max="10246" width="7.5703125" style="6" bestFit="1" customWidth="1"/>
    <col min="10247" max="10247" width="8.7109375" style="6" bestFit="1" customWidth="1"/>
    <col min="10248" max="10248" width="9.140625" style="6"/>
    <col min="10249" max="10249" width="10.140625" style="6" bestFit="1" customWidth="1"/>
    <col min="10250" max="10494" width="9.140625" style="6"/>
    <col min="10495" max="10495" width="30.42578125" style="6" customWidth="1"/>
    <col min="10496" max="10496" width="13.5703125" style="6" customWidth="1"/>
    <col min="10497" max="10497" width="15.140625" style="6" customWidth="1"/>
    <col min="10498" max="10498" width="13.42578125" style="6" customWidth="1"/>
    <col min="10499" max="10499" width="17.140625" style="6" customWidth="1"/>
    <col min="10500" max="10500" width="7.28515625" style="6" customWidth="1"/>
    <col min="10501" max="10501" width="3.28515625" style="6" customWidth="1"/>
    <col min="10502" max="10502" width="7.5703125" style="6" bestFit="1" customWidth="1"/>
    <col min="10503" max="10503" width="8.7109375" style="6" bestFit="1" customWidth="1"/>
    <col min="10504" max="10504" width="9.140625" style="6"/>
    <col min="10505" max="10505" width="10.140625" style="6" bestFit="1" customWidth="1"/>
    <col min="10506" max="10750" width="9.140625" style="6"/>
    <col min="10751" max="10751" width="30.42578125" style="6" customWidth="1"/>
    <col min="10752" max="10752" width="13.5703125" style="6" customWidth="1"/>
    <col min="10753" max="10753" width="15.140625" style="6" customWidth="1"/>
    <col min="10754" max="10754" width="13.42578125" style="6" customWidth="1"/>
    <col min="10755" max="10755" width="17.140625" style="6" customWidth="1"/>
    <col min="10756" max="10756" width="7.28515625" style="6" customWidth="1"/>
    <col min="10757" max="10757" width="3.28515625" style="6" customWidth="1"/>
    <col min="10758" max="10758" width="7.5703125" style="6" bestFit="1" customWidth="1"/>
    <col min="10759" max="10759" width="8.7109375" style="6" bestFit="1" customWidth="1"/>
    <col min="10760" max="10760" width="9.140625" style="6"/>
    <col min="10761" max="10761" width="10.140625" style="6" bestFit="1" customWidth="1"/>
    <col min="10762" max="11006" width="9.140625" style="6"/>
    <col min="11007" max="11007" width="30.42578125" style="6" customWidth="1"/>
    <col min="11008" max="11008" width="13.5703125" style="6" customWidth="1"/>
    <col min="11009" max="11009" width="15.140625" style="6" customWidth="1"/>
    <col min="11010" max="11010" width="13.42578125" style="6" customWidth="1"/>
    <col min="11011" max="11011" width="17.140625" style="6" customWidth="1"/>
    <col min="11012" max="11012" width="7.28515625" style="6" customWidth="1"/>
    <col min="11013" max="11013" width="3.28515625" style="6" customWidth="1"/>
    <col min="11014" max="11014" width="7.5703125" style="6" bestFit="1" customWidth="1"/>
    <col min="11015" max="11015" width="8.7109375" style="6" bestFit="1" customWidth="1"/>
    <col min="11016" max="11016" width="9.140625" style="6"/>
    <col min="11017" max="11017" width="10.140625" style="6" bestFit="1" customWidth="1"/>
    <col min="11018" max="11262" width="9.140625" style="6"/>
    <col min="11263" max="11263" width="30.42578125" style="6" customWidth="1"/>
    <col min="11264" max="11264" width="13.5703125" style="6" customWidth="1"/>
    <col min="11265" max="11265" width="15.140625" style="6" customWidth="1"/>
    <col min="11266" max="11266" width="13.42578125" style="6" customWidth="1"/>
    <col min="11267" max="11267" width="17.140625" style="6" customWidth="1"/>
    <col min="11268" max="11268" width="7.28515625" style="6" customWidth="1"/>
    <col min="11269" max="11269" width="3.28515625" style="6" customWidth="1"/>
    <col min="11270" max="11270" width="7.5703125" style="6" bestFit="1" customWidth="1"/>
    <col min="11271" max="11271" width="8.7109375" style="6" bestFit="1" customWidth="1"/>
    <col min="11272" max="11272" width="9.140625" style="6"/>
    <col min="11273" max="11273" width="10.140625" style="6" bestFit="1" customWidth="1"/>
    <col min="11274" max="11518" width="9.140625" style="6"/>
    <col min="11519" max="11519" width="30.42578125" style="6" customWidth="1"/>
    <col min="11520" max="11520" width="13.5703125" style="6" customWidth="1"/>
    <col min="11521" max="11521" width="15.140625" style="6" customWidth="1"/>
    <col min="11522" max="11522" width="13.42578125" style="6" customWidth="1"/>
    <col min="11523" max="11523" width="17.140625" style="6" customWidth="1"/>
    <col min="11524" max="11524" width="7.28515625" style="6" customWidth="1"/>
    <col min="11525" max="11525" width="3.28515625" style="6" customWidth="1"/>
    <col min="11526" max="11526" width="7.5703125" style="6" bestFit="1" customWidth="1"/>
    <col min="11527" max="11527" width="8.7109375" style="6" bestFit="1" customWidth="1"/>
    <col min="11528" max="11528" width="9.140625" style="6"/>
    <col min="11529" max="11529" width="10.140625" style="6" bestFit="1" customWidth="1"/>
    <col min="11530" max="11774" width="9.140625" style="6"/>
    <col min="11775" max="11775" width="30.42578125" style="6" customWidth="1"/>
    <col min="11776" max="11776" width="13.5703125" style="6" customWidth="1"/>
    <col min="11777" max="11777" width="15.140625" style="6" customWidth="1"/>
    <col min="11778" max="11778" width="13.42578125" style="6" customWidth="1"/>
    <col min="11779" max="11779" width="17.140625" style="6" customWidth="1"/>
    <col min="11780" max="11780" width="7.28515625" style="6" customWidth="1"/>
    <col min="11781" max="11781" width="3.28515625" style="6" customWidth="1"/>
    <col min="11782" max="11782" width="7.5703125" style="6" bestFit="1" customWidth="1"/>
    <col min="11783" max="11783" width="8.7109375" style="6" bestFit="1" customWidth="1"/>
    <col min="11784" max="11784" width="9.140625" style="6"/>
    <col min="11785" max="11785" width="10.140625" style="6" bestFit="1" customWidth="1"/>
    <col min="11786" max="12030" width="9.140625" style="6"/>
    <col min="12031" max="12031" width="30.42578125" style="6" customWidth="1"/>
    <col min="12032" max="12032" width="13.5703125" style="6" customWidth="1"/>
    <col min="12033" max="12033" width="15.140625" style="6" customWidth="1"/>
    <col min="12034" max="12034" width="13.42578125" style="6" customWidth="1"/>
    <col min="12035" max="12035" width="17.140625" style="6" customWidth="1"/>
    <col min="12036" max="12036" width="7.28515625" style="6" customWidth="1"/>
    <col min="12037" max="12037" width="3.28515625" style="6" customWidth="1"/>
    <col min="12038" max="12038" width="7.5703125" style="6" bestFit="1" customWidth="1"/>
    <col min="12039" max="12039" width="8.7109375" style="6" bestFit="1" customWidth="1"/>
    <col min="12040" max="12040" width="9.140625" style="6"/>
    <col min="12041" max="12041" width="10.140625" style="6" bestFit="1" customWidth="1"/>
    <col min="12042" max="12286" width="9.140625" style="6"/>
    <col min="12287" max="12287" width="30.42578125" style="6" customWidth="1"/>
    <col min="12288" max="12288" width="13.5703125" style="6" customWidth="1"/>
    <col min="12289" max="12289" width="15.140625" style="6" customWidth="1"/>
    <col min="12290" max="12290" width="13.42578125" style="6" customWidth="1"/>
    <col min="12291" max="12291" width="17.140625" style="6" customWidth="1"/>
    <col min="12292" max="12292" width="7.28515625" style="6" customWidth="1"/>
    <col min="12293" max="12293" width="3.28515625" style="6" customWidth="1"/>
    <col min="12294" max="12294" width="7.5703125" style="6" bestFit="1" customWidth="1"/>
    <col min="12295" max="12295" width="8.7109375" style="6" bestFit="1" customWidth="1"/>
    <col min="12296" max="12296" width="9.140625" style="6"/>
    <col min="12297" max="12297" width="10.140625" style="6" bestFit="1" customWidth="1"/>
    <col min="12298" max="12542" width="9.140625" style="6"/>
    <col min="12543" max="12543" width="30.42578125" style="6" customWidth="1"/>
    <col min="12544" max="12544" width="13.5703125" style="6" customWidth="1"/>
    <col min="12545" max="12545" width="15.140625" style="6" customWidth="1"/>
    <col min="12546" max="12546" width="13.42578125" style="6" customWidth="1"/>
    <col min="12547" max="12547" width="17.140625" style="6" customWidth="1"/>
    <col min="12548" max="12548" width="7.28515625" style="6" customWidth="1"/>
    <col min="12549" max="12549" width="3.28515625" style="6" customWidth="1"/>
    <col min="12550" max="12550" width="7.5703125" style="6" bestFit="1" customWidth="1"/>
    <col min="12551" max="12551" width="8.7109375" style="6" bestFit="1" customWidth="1"/>
    <col min="12552" max="12552" width="9.140625" style="6"/>
    <col min="12553" max="12553" width="10.140625" style="6" bestFit="1" customWidth="1"/>
    <col min="12554" max="12798" width="9.140625" style="6"/>
    <col min="12799" max="12799" width="30.42578125" style="6" customWidth="1"/>
    <col min="12800" max="12800" width="13.5703125" style="6" customWidth="1"/>
    <col min="12801" max="12801" width="15.140625" style="6" customWidth="1"/>
    <col min="12802" max="12802" width="13.42578125" style="6" customWidth="1"/>
    <col min="12803" max="12803" width="17.140625" style="6" customWidth="1"/>
    <col min="12804" max="12804" width="7.28515625" style="6" customWidth="1"/>
    <col min="12805" max="12805" width="3.28515625" style="6" customWidth="1"/>
    <col min="12806" max="12806" width="7.5703125" style="6" bestFit="1" customWidth="1"/>
    <col min="12807" max="12807" width="8.7109375" style="6" bestFit="1" customWidth="1"/>
    <col min="12808" max="12808" width="9.140625" style="6"/>
    <col min="12809" max="12809" width="10.140625" style="6" bestFit="1" customWidth="1"/>
    <col min="12810" max="13054" width="9.140625" style="6"/>
    <col min="13055" max="13055" width="30.42578125" style="6" customWidth="1"/>
    <col min="13056" max="13056" width="13.5703125" style="6" customWidth="1"/>
    <col min="13057" max="13057" width="15.140625" style="6" customWidth="1"/>
    <col min="13058" max="13058" width="13.42578125" style="6" customWidth="1"/>
    <col min="13059" max="13059" width="17.140625" style="6" customWidth="1"/>
    <col min="13060" max="13060" width="7.28515625" style="6" customWidth="1"/>
    <col min="13061" max="13061" width="3.28515625" style="6" customWidth="1"/>
    <col min="13062" max="13062" width="7.5703125" style="6" bestFit="1" customWidth="1"/>
    <col min="13063" max="13063" width="8.7109375" style="6" bestFit="1" customWidth="1"/>
    <col min="13064" max="13064" width="9.140625" style="6"/>
    <col min="13065" max="13065" width="10.140625" style="6" bestFit="1" customWidth="1"/>
    <col min="13066" max="13310" width="9.140625" style="6"/>
    <col min="13311" max="13311" width="30.42578125" style="6" customWidth="1"/>
    <col min="13312" max="13312" width="13.5703125" style="6" customWidth="1"/>
    <col min="13313" max="13313" width="15.140625" style="6" customWidth="1"/>
    <col min="13314" max="13314" width="13.42578125" style="6" customWidth="1"/>
    <col min="13315" max="13315" width="17.140625" style="6" customWidth="1"/>
    <col min="13316" max="13316" width="7.28515625" style="6" customWidth="1"/>
    <col min="13317" max="13317" width="3.28515625" style="6" customWidth="1"/>
    <col min="13318" max="13318" width="7.5703125" style="6" bestFit="1" customWidth="1"/>
    <col min="13319" max="13319" width="8.7109375" style="6" bestFit="1" customWidth="1"/>
    <col min="13320" max="13320" width="9.140625" style="6"/>
    <col min="13321" max="13321" width="10.140625" style="6" bestFit="1" customWidth="1"/>
    <col min="13322" max="13566" width="9.140625" style="6"/>
    <col min="13567" max="13567" width="30.42578125" style="6" customWidth="1"/>
    <col min="13568" max="13568" width="13.5703125" style="6" customWidth="1"/>
    <col min="13569" max="13569" width="15.140625" style="6" customWidth="1"/>
    <col min="13570" max="13570" width="13.42578125" style="6" customWidth="1"/>
    <col min="13571" max="13571" width="17.140625" style="6" customWidth="1"/>
    <col min="13572" max="13572" width="7.28515625" style="6" customWidth="1"/>
    <col min="13573" max="13573" width="3.28515625" style="6" customWidth="1"/>
    <col min="13574" max="13574" width="7.5703125" style="6" bestFit="1" customWidth="1"/>
    <col min="13575" max="13575" width="8.7109375" style="6" bestFit="1" customWidth="1"/>
    <col min="13576" max="13576" width="9.140625" style="6"/>
    <col min="13577" max="13577" width="10.140625" style="6" bestFit="1" customWidth="1"/>
    <col min="13578" max="13822" width="9.140625" style="6"/>
    <col min="13823" max="13823" width="30.42578125" style="6" customWidth="1"/>
    <col min="13824" max="13824" width="13.5703125" style="6" customWidth="1"/>
    <col min="13825" max="13825" width="15.140625" style="6" customWidth="1"/>
    <col min="13826" max="13826" width="13.42578125" style="6" customWidth="1"/>
    <col min="13827" max="13827" width="17.140625" style="6" customWidth="1"/>
    <col min="13828" max="13828" width="7.28515625" style="6" customWidth="1"/>
    <col min="13829" max="13829" width="3.28515625" style="6" customWidth="1"/>
    <col min="13830" max="13830" width="7.5703125" style="6" bestFit="1" customWidth="1"/>
    <col min="13831" max="13831" width="8.7109375" style="6" bestFit="1" customWidth="1"/>
    <col min="13832" max="13832" width="9.140625" style="6"/>
    <col min="13833" max="13833" width="10.140625" style="6" bestFit="1" customWidth="1"/>
    <col min="13834" max="14078" width="9.140625" style="6"/>
    <col min="14079" max="14079" width="30.42578125" style="6" customWidth="1"/>
    <col min="14080" max="14080" width="13.5703125" style="6" customWidth="1"/>
    <col min="14081" max="14081" width="15.140625" style="6" customWidth="1"/>
    <col min="14082" max="14082" width="13.42578125" style="6" customWidth="1"/>
    <col min="14083" max="14083" width="17.140625" style="6" customWidth="1"/>
    <col min="14084" max="14084" width="7.28515625" style="6" customWidth="1"/>
    <col min="14085" max="14085" width="3.28515625" style="6" customWidth="1"/>
    <col min="14086" max="14086" width="7.5703125" style="6" bestFit="1" customWidth="1"/>
    <col min="14087" max="14087" width="8.7109375" style="6" bestFit="1" customWidth="1"/>
    <col min="14088" max="14088" width="9.140625" style="6"/>
    <col min="14089" max="14089" width="10.140625" style="6" bestFit="1" customWidth="1"/>
    <col min="14090" max="14334" width="9.140625" style="6"/>
    <col min="14335" max="14335" width="30.42578125" style="6" customWidth="1"/>
    <col min="14336" max="14336" width="13.5703125" style="6" customWidth="1"/>
    <col min="14337" max="14337" width="15.140625" style="6" customWidth="1"/>
    <col min="14338" max="14338" width="13.42578125" style="6" customWidth="1"/>
    <col min="14339" max="14339" width="17.140625" style="6" customWidth="1"/>
    <col min="14340" max="14340" width="7.28515625" style="6" customWidth="1"/>
    <col min="14341" max="14341" width="3.28515625" style="6" customWidth="1"/>
    <col min="14342" max="14342" width="7.5703125" style="6" bestFit="1" customWidth="1"/>
    <col min="14343" max="14343" width="8.7109375" style="6" bestFit="1" customWidth="1"/>
    <col min="14344" max="14344" width="9.140625" style="6"/>
    <col min="14345" max="14345" width="10.140625" style="6" bestFit="1" customWidth="1"/>
    <col min="14346" max="14590" width="9.140625" style="6"/>
    <col min="14591" max="14591" width="30.42578125" style="6" customWidth="1"/>
    <col min="14592" max="14592" width="13.5703125" style="6" customWidth="1"/>
    <col min="14593" max="14593" width="15.140625" style="6" customWidth="1"/>
    <col min="14594" max="14594" width="13.42578125" style="6" customWidth="1"/>
    <col min="14595" max="14595" width="17.140625" style="6" customWidth="1"/>
    <col min="14596" max="14596" width="7.28515625" style="6" customWidth="1"/>
    <col min="14597" max="14597" width="3.28515625" style="6" customWidth="1"/>
    <col min="14598" max="14598" width="7.5703125" style="6" bestFit="1" customWidth="1"/>
    <col min="14599" max="14599" width="8.7109375" style="6" bestFit="1" customWidth="1"/>
    <col min="14600" max="14600" width="9.140625" style="6"/>
    <col min="14601" max="14601" width="10.140625" style="6" bestFit="1" customWidth="1"/>
    <col min="14602" max="14846" width="9.140625" style="6"/>
    <col min="14847" max="14847" width="30.42578125" style="6" customWidth="1"/>
    <col min="14848" max="14848" width="13.5703125" style="6" customWidth="1"/>
    <col min="14849" max="14849" width="15.140625" style="6" customWidth="1"/>
    <col min="14850" max="14850" width="13.42578125" style="6" customWidth="1"/>
    <col min="14851" max="14851" width="17.140625" style="6" customWidth="1"/>
    <col min="14852" max="14852" width="7.28515625" style="6" customWidth="1"/>
    <col min="14853" max="14853" width="3.28515625" style="6" customWidth="1"/>
    <col min="14854" max="14854" width="7.5703125" style="6" bestFit="1" customWidth="1"/>
    <col min="14855" max="14855" width="8.7109375" style="6" bestFit="1" customWidth="1"/>
    <col min="14856" max="14856" width="9.140625" style="6"/>
    <col min="14857" max="14857" width="10.140625" style="6" bestFit="1" customWidth="1"/>
    <col min="14858" max="15102" width="9.140625" style="6"/>
    <col min="15103" max="15103" width="30.42578125" style="6" customWidth="1"/>
    <col min="15104" max="15104" width="13.5703125" style="6" customWidth="1"/>
    <col min="15105" max="15105" width="15.140625" style="6" customWidth="1"/>
    <col min="15106" max="15106" width="13.42578125" style="6" customWidth="1"/>
    <col min="15107" max="15107" width="17.140625" style="6" customWidth="1"/>
    <col min="15108" max="15108" width="7.28515625" style="6" customWidth="1"/>
    <col min="15109" max="15109" width="3.28515625" style="6" customWidth="1"/>
    <col min="15110" max="15110" width="7.5703125" style="6" bestFit="1" customWidth="1"/>
    <col min="15111" max="15111" width="8.7109375" style="6" bestFit="1" customWidth="1"/>
    <col min="15112" max="15112" width="9.140625" style="6"/>
    <col min="15113" max="15113" width="10.140625" style="6" bestFit="1" customWidth="1"/>
    <col min="15114" max="15358" width="9.140625" style="6"/>
    <col min="15359" max="15359" width="30.42578125" style="6" customWidth="1"/>
    <col min="15360" max="15360" width="13.5703125" style="6" customWidth="1"/>
    <col min="15361" max="15361" width="15.140625" style="6" customWidth="1"/>
    <col min="15362" max="15362" width="13.42578125" style="6" customWidth="1"/>
    <col min="15363" max="15363" width="17.140625" style="6" customWidth="1"/>
    <col min="15364" max="15364" width="7.28515625" style="6" customWidth="1"/>
    <col min="15365" max="15365" width="3.28515625" style="6" customWidth="1"/>
    <col min="15366" max="15366" width="7.5703125" style="6" bestFit="1" customWidth="1"/>
    <col min="15367" max="15367" width="8.7109375" style="6" bestFit="1" customWidth="1"/>
    <col min="15368" max="15368" width="9.140625" style="6"/>
    <col min="15369" max="15369" width="10.140625" style="6" bestFit="1" customWidth="1"/>
    <col min="15370" max="15614" width="9.140625" style="6"/>
    <col min="15615" max="15615" width="30.42578125" style="6" customWidth="1"/>
    <col min="15616" max="15616" width="13.5703125" style="6" customWidth="1"/>
    <col min="15617" max="15617" width="15.140625" style="6" customWidth="1"/>
    <col min="15618" max="15618" width="13.42578125" style="6" customWidth="1"/>
    <col min="15619" max="15619" width="17.140625" style="6" customWidth="1"/>
    <col min="15620" max="15620" width="7.28515625" style="6" customWidth="1"/>
    <col min="15621" max="15621" width="3.28515625" style="6" customWidth="1"/>
    <col min="15622" max="15622" width="7.5703125" style="6" bestFit="1" customWidth="1"/>
    <col min="15623" max="15623" width="8.7109375" style="6" bestFit="1" customWidth="1"/>
    <col min="15624" max="15624" width="9.140625" style="6"/>
    <col min="15625" max="15625" width="10.140625" style="6" bestFit="1" customWidth="1"/>
    <col min="15626" max="15870" width="9.140625" style="6"/>
    <col min="15871" max="15871" width="30.42578125" style="6" customWidth="1"/>
    <col min="15872" max="15872" width="13.5703125" style="6" customWidth="1"/>
    <col min="15873" max="15873" width="15.140625" style="6" customWidth="1"/>
    <col min="15874" max="15874" width="13.42578125" style="6" customWidth="1"/>
    <col min="15875" max="15875" width="17.140625" style="6" customWidth="1"/>
    <col min="15876" max="15876" width="7.28515625" style="6" customWidth="1"/>
    <col min="15877" max="15877" width="3.28515625" style="6" customWidth="1"/>
    <col min="15878" max="15878" width="7.5703125" style="6" bestFit="1" customWidth="1"/>
    <col min="15879" max="15879" width="8.7109375" style="6" bestFit="1" customWidth="1"/>
    <col min="15880" max="15880" width="9.140625" style="6"/>
    <col min="15881" max="15881" width="10.140625" style="6" bestFit="1" customWidth="1"/>
    <col min="15882" max="16126" width="9.140625" style="6"/>
    <col min="16127" max="16127" width="30.42578125" style="6" customWidth="1"/>
    <col min="16128" max="16128" width="13.5703125" style="6" customWidth="1"/>
    <col min="16129" max="16129" width="15.140625" style="6" customWidth="1"/>
    <col min="16130" max="16130" width="13.42578125" style="6" customWidth="1"/>
    <col min="16131" max="16131" width="17.140625" style="6" customWidth="1"/>
    <col min="16132" max="16132" width="7.28515625" style="6" customWidth="1"/>
    <col min="16133" max="16133" width="3.28515625" style="6" customWidth="1"/>
    <col min="16134" max="16134" width="7.5703125" style="6" bestFit="1" customWidth="1"/>
    <col min="16135" max="16135" width="8.7109375" style="6" bestFit="1" customWidth="1"/>
    <col min="16136" max="16136" width="9.140625" style="6"/>
    <col min="16137" max="16137" width="10.140625" style="6" bestFit="1" customWidth="1"/>
    <col min="16138" max="16384" width="9.140625" style="6"/>
  </cols>
  <sheetData>
    <row r="1" spans="1:22" ht="15.75">
      <c r="A1" s="204" t="s">
        <v>459</v>
      </c>
    </row>
    <row r="2" spans="1:22" ht="15.75">
      <c r="A2" s="211" t="str">
        <f xml:space="preserve"> TEXT(Referrals!B6,"mmm yyyy")&amp;" - "&amp;TEXT(Referrals!P6,"mmm yyyy")</f>
        <v>Apr 2020 - Jun 2021</v>
      </c>
      <c r="B2" s="97"/>
      <c r="C2" s="97"/>
      <c r="D2" s="97"/>
    </row>
    <row r="3" spans="1:22">
      <c r="A3" s="202" t="s">
        <v>186</v>
      </c>
      <c r="B3" s="97"/>
      <c r="C3" s="97"/>
      <c r="D3" s="97"/>
    </row>
    <row r="4" spans="1:22">
      <c r="A4" s="199" t="s">
        <v>453</v>
      </c>
      <c r="C4" s="9"/>
      <c r="D4" s="9"/>
    </row>
    <row r="5" spans="1:22">
      <c r="A5" s="9"/>
      <c r="C5" s="9"/>
      <c r="D5" s="9"/>
    </row>
    <row r="6" spans="1:22">
      <c r="A6" s="97"/>
      <c r="B6" s="97"/>
      <c r="C6" s="97"/>
      <c r="D6" s="97"/>
    </row>
    <row r="7" spans="1:22" s="131" customFormat="1" ht="43.5" customHeight="1">
      <c r="A7" s="130"/>
      <c r="B7" s="296" t="s">
        <v>363</v>
      </c>
      <c r="C7" s="143" t="s">
        <v>2220</v>
      </c>
      <c r="D7" s="310"/>
      <c r="E7" s="308" t="s">
        <v>363</v>
      </c>
      <c r="F7" s="143" t="s">
        <v>2220</v>
      </c>
      <c r="G7" s="130"/>
      <c r="H7" s="143" t="s">
        <v>363</v>
      </c>
      <c r="I7" s="143" t="s">
        <v>2220</v>
      </c>
      <c r="J7" s="310"/>
      <c r="K7" s="252" t="s">
        <v>363</v>
      </c>
      <c r="L7" s="143" t="s">
        <v>2220</v>
      </c>
      <c r="M7" s="310"/>
      <c r="N7" s="252" t="s">
        <v>363</v>
      </c>
      <c r="O7" s="143" t="s">
        <v>2220</v>
      </c>
      <c r="Q7" s="132"/>
      <c r="R7" s="132"/>
      <c r="S7" s="130"/>
      <c r="T7" s="132"/>
      <c r="U7" s="132"/>
    </row>
    <row r="8" spans="1:22" s="131" customFormat="1" ht="12.75" customHeight="1">
      <c r="A8" s="130"/>
      <c r="B8" s="466" t="str">
        <f>TEXT(Referrals!B51,"mmm-yy")&amp;" to "&amp;TEXT(Referrals!D51,"mmm-yy")</f>
        <v>Apr-20 to Jun-20</v>
      </c>
      <c r="C8" s="467"/>
      <c r="D8" s="130"/>
      <c r="E8" s="466" t="str">
        <f>TEXT(Referrals!E51,"mmm-yy")&amp;" to "&amp;TEXT(Referrals!G51,"mmm-yy")</f>
        <v>Jul-20 to Sep-20</v>
      </c>
      <c r="F8" s="467"/>
      <c r="G8" s="130"/>
      <c r="H8" s="464" t="str">
        <f>TEXT(Referrals!H51,"mmm-yy")&amp;" to "&amp;TEXT(Referrals!J51,"mmm-yy")</f>
        <v>Oct-20 to Dec-20</v>
      </c>
      <c r="I8" s="465"/>
      <c r="J8" s="130"/>
      <c r="K8" s="464" t="str">
        <f>TEXT(Referrals!K51,"mmm-yy")&amp;" to "&amp;TEXT(Referrals!M51,"mmm-yy")</f>
        <v>Jan-21 to Mar-21</v>
      </c>
      <c r="L8" s="465"/>
      <c r="M8" s="297"/>
      <c r="N8" s="464" t="str">
        <f>TEXT(Referrals!N51,"mmm-yy")&amp;" to "&amp;TEXT(Referrals!P51,"mmm-yy")</f>
        <v>Apr-21 to Jun-21</v>
      </c>
      <c r="O8" s="465"/>
      <c r="P8" s="133"/>
      <c r="Q8" s="461"/>
      <c r="R8" s="461"/>
      <c r="S8" s="130"/>
      <c r="T8" s="461"/>
      <c r="U8" s="461"/>
    </row>
    <row r="9" spans="1:22" s="131" customFormat="1" ht="12.75">
      <c r="A9" s="300" t="s">
        <v>28</v>
      </c>
      <c r="B9" s="364">
        <v>21915</v>
      </c>
      <c r="C9" s="365">
        <v>21138</v>
      </c>
      <c r="D9" s="230"/>
      <c r="E9" s="364">
        <v>34394</v>
      </c>
      <c r="F9" s="365">
        <v>33305</v>
      </c>
      <c r="G9" s="230"/>
      <c r="H9" s="370">
        <v>38873</v>
      </c>
      <c r="I9" s="307">
        <v>37672</v>
      </c>
      <c r="J9" s="230"/>
      <c r="K9" s="370">
        <v>37539</v>
      </c>
      <c r="L9" s="307">
        <v>36587</v>
      </c>
      <c r="M9" s="299"/>
      <c r="N9" s="370">
        <v>41950</v>
      </c>
      <c r="O9" s="307">
        <v>41189</v>
      </c>
      <c r="Q9" s="134"/>
      <c r="R9" s="134"/>
      <c r="S9" s="130"/>
      <c r="T9" s="134"/>
      <c r="U9" s="134"/>
    </row>
    <row r="10" spans="1:22" s="131" customFormat="1" ht="12.75">
      <c r="A10" s="301" t="s">
        <v>136</v>
      </c>
      <c r="B10" s="366">
        <v>595</v>
      </c>
      <c r="C10" s="367">
        <v>558</v>
      </c>
      <c r="D10" s="232"/>
      <c r="E10" s="366">
        <v>1101</v>
      </c>
      <c r="F10" s="367">
        <v>1072</v>
      </c>
      <c r="G10" s="232"/>
      <c r="H10" s="366">
        <v>1171</v>
      </c>
      <c r="I10" s="367">
        <v>1121</v>
      </c>
      <c r="J10" s="232"/>
      <c r="K10" s="366">
        <v>1310</v>
      </c>
      <c r="L10" s="367">
        <v>1224</v>
      </c>
      <c r="M10" s="299"/>
      <c r="N10" s="366">
        <v>1249</v>
      </c>
      <c r="O10" s="367">
        <v>1205</v>
      </c>
      <c r="Q10" s="135"/>
      <c r="R10" s="136"/>
      <c r="S10" s="130"/>
      <c r="T10" s="135"/>
      <c r="U10" s="136"/>
      <c r="V10" s="137"/>
    </row>
    <row r="11" spans="1:22" s="131" customFormat="1" ht="12.75">
      <c r="A11" s="301" t="s">
        <v>137</v>
      </c>
      <c r="B11" s="366">
        <v>140</v>
      </c>
      <c r="C11" s="367">
        <v>140</v>
      </c>
      <c r="D11" s="232"/>
      <c r="E11" s="366">
        <v>206</v>
      </c>
      <c r="F11" s="367">
        <v>194</v>
      </c>
      <c r="G11" s="232"/>
      <c r="H11" s="366">
        <v>565</v>
      </c>
      <c r="I11" s="367">
        <v>539</v>
      </c>
      <c r="J11" s="232"/>
      <c r="K11" s="366">
        <v>613</v>
      </c>
      <c r="L11" s="367">
        <v>609</v>
      </c>
      <c r="M11" s="299"/>
      <c r="N11" s="366">
        <v>1392</v>
      </c>
      <c r="O11" s="367">
        <v>1357</v>
      </c>
      <c r="Q11" s="135"/>
      <c r="R11" s="136"/>
      <c r="S11" s="130"/>
      <c r="T11" s="135"/>
      <c r="U11" s="136"/>
      <c r="V11" s="137"/>
    </row>
    <row r="12" spans="1:22" s="131" customFormat="1" ht="12.75">
      <c r="A12" s="301" t="s">
        <v>160</v>
      </c>
      <c r="B12" s="366">
        <v>122</v>
      </c>
      <c r="C12" s="367">
        <v>112</v>
      </c>
      <c r="D12" s="232"/>
      <c r="E12" s="366">
        <v>468</v>
      </c>
      <c r="F12" s="367">
        <v>457</v>
      </c>
      <c r="G12" s="232"/>
      <c r="H12" s="366">
        <v>808</v>
      </c>
      <c r="I12" s="367">
        <v>789</v>
      </c>
      <c r="J12" s="232"/>
      <c r="K12" s="366">
        <v>753</v>
      </c>
      <c r="L12" s="367">
        <v>738</v>
      </c>
      <c r="M12" s="299"/>
      <c r="N12" s="366">
        <v>992</v>
      </c>
      <c r="O12" s="367">
        <v>967</v>
      </c>
      <c r="Q12" s="135"/>
      <c r="R12" s="136"/>
      <c r="S12" s="130"/>
      <c r="T12" s="135"/>
      <c r="U12" s="136"/>
      <c r="V12" s="137"/>
    </row>
    <row r="13" spans="1:22" s="131" customFormat="1" ht="12.75">
      <c r="A13" s="301" t="s">
        <v>138</v>
      </c>
      <c r="B13" s="366">
        <v>723</v>
      </c>
      <c r="C13" s="367">
        <v>633</v>
      </c>
      <c r="D13" s="232"/>
      <c r="E13" s="366">
        <v>2087</v>
      </c>
      <c r="F13" s="367">
        <v>1908</v>
      </c>
      <c r="G13" s="232"/>
      <c r="H13" s="366">
        <v>2622</v>
      </c>
      <c r="I13" s="367">
        <v>2455</v>
      </c>
      <c r="J13" s="232"/>
      <c r="K13" s="366">
        <v>2372</v>
      </c>
      <c r="L13" s="367">
        <v>2223</v>
      </c>
      <c r="M13" s="299"/>
      <c r="N13" s="366">
        <v>2964</v>
      </c>
      <c r="O13" s="367">
        <v>2774</v>
      </c>
      <c r="Q13" s="135"/>
      <c r="R13" s="136"/>
      <c r="S13" s="130"/>
      <c r="T13" s="135"/>
      <c r="U13" s="136"/>
      <c r="V13" s="137"/>
    </row>
    <row r="14" spans="1:22" s="131" customFormat="1" ht="12.75">
      <c r="A14" s="301" t="s">
        <v>139</v>
      </c>
      <c r="B14" s="366">
        <v>801</v>
      </c>
      <c r="C14" s="367">
        <v>779</v>
      </c>
      <c r="D14" s="232"/>
      <c r="E14" s="366">
        <v>1332</v>
      </c>
      <c r="F14" s="367">
        <v>1287</v>
      </c>
      <c r="G14" s="232"/>
      <c r="H14" s="366">
        <v>1770</v>
      </c>
      <c r="I14" s="367">
        <v>1716</v>
      </c>
      <c r="J14" s="232"/>
      <c r="K14" s="366">
        <v>1372</v>
      </c>
      <c r="L14" s="367">
        <v>1310</v>
      </c>
      <c r="M14" s="299"/>
      <c r="N14" s="366">
        <v>1271</v>
      </c>
      <c r="O14" s="367">
        <v>1210</v>
      </c>
      <c r="Q14" s="135"/>
      <c r="R14" s="136"/>
      <c r="S14" s="130"/>
      <c r="T14" s="135"/>
      <c r="U14" s="136"/>
      <c r="V14" s="137"/>
    </row>
    <row r="15" spans="1:22" s="131" customFormat="1" ht="12.75">
      <c r="A15" s="301" t="s">
        <v>140</v>
      </c>
      <c r="B15" s="366">
        <v>940</v>
      </c>
      <c r="C15" s="367">
        <v>940</v>
      </c>
      <c r="D15" s="232"/>
      <c r="E15" s="366">
        <v>1570</v>
      </c>
      <c r="F15" s="367">
        <v>1570</v>
      </c>
      <c r="G15" s="232"/>
      <c r="H15" s="366">
        <v>2017</v>
      </c>
      <c r="I15" s="367">
        <v>2017</v>
      </c>
      <c r="J15" s="232"/>
      <c r="K15" s="366">
        <v>2014</v>
      </c>
      <c r="L15" s="367">
        <v>2014</v>
      </c>
      <c r="M15" s="299"/>
      <c r="N15" s="366">
        <v>2649</v>
      </c>
      <c r="O15" s="367">
        <v>2649</v>
      </c>
      <c r="Q15" s="135"/>
      <c r="R15" s="136"/>
      <c r="S15" s="130"/>
      <c r="T15" s="135"/>
      <c r="U15" s="136"/>
      <c r="V15" s="137"/>
    </row>
    <row r="16" spans="1:22" s="131" customFormat="1" ht="12.75">
      <c r="A16" s="301" t="s">
        <v>141</v>
      </c>
      <c r="B16" s="366">
        <v>10641</v>
      </c>
      <c r="C16" s="367">
        <v>10641</v>
      </c>
      <c r="D16" s="232"/>
      <c r="E16" s="366">
        <v>17096</v>
      </c>
      <c r="F16" s="367">
        <v>17096</v>
      </c>
      <c r="G16" s="232"/>
      <c r="H16" s="366">
        <v>18451</v>
      </c>
      <c r="I16" s="367">
        <v>18451</v>
      </c>
      <c r="J16" s="232"/>
      <c r="K16" s="366">
        <v>17778</v>
      </c>
      <c r="L16" s="367">
        <v>17778</v>
      </c>
      <c r="M16" s="299"/>
      <c r="N16" s="366">
        <v>18660</v>
      </c>
      <c r="O16" s="367">
        <v>18660</v>
      </c>
      <c r="Q16" s="135"/>
      <c r="R16" s="136"/>
      <c r="S16" s="130"/>
      <c r="T16" s="135"/>
      <c r="U16" s="136"/>
      <c r="V16" s="137"/>
    </row>
    <row r="17" spans="1:22" s="131" customFormat="1" ht="12.75">
      <c r="A17" s="301" t="s">
        <v>142</v>
      </c>
      <c r="B17" s="366">
        <v>589</v>
      </c>
      <c r="C17" s="367">
        <v>585</v>
      </c>
      <c r="D17" s="232"/>
      <c r="E17" s="366">
        <v>872</v>
      </c>
      <c r="F17" s="367">
        <v>865</v>
      </c>
      <c r="G17" s="232"/>
      <c r="H17" s="366">
        <v>807</v>
      </c>
      <c r="I17" s="367">
        <v>797</v>
      </c>
      <c r="J17" s="232"/>
      <c r="K17" s="366">
        <v>1056</v>
      </c>
      <c r="L17" s="367">
        <v>1038</v>
      </c>
      <c r="M17" s="299"/>
      <c r="N17" s="366">
        <v>1791</v>
      </c>
      <c r="O17" s="367">
        <v>1781</v>
      </c>
      <c r="Q17" s="135"/>
      <c r="R17" s="136"/>
      <c r="S17" s="130"/>
      <c r="T17" s="135"/>
      <c r="U17" s="136"/>
      <c r="V17" s="137"/>
    </row>
    <row r="18" spans="1:22" s="131" customFormat="1" ht="12.75">
      <c r="A18" s="301" t="s">
        <v>192</v>
      </c>
      <c r="B18" s="366">
        <v>1978</v>
      </c>
      <c r="C18" s="367">
        <v>1611</v>
      </c>
      <c r="D18" s="232"/>
      <c r="E18" s="366">
        <v>3359</v>
      </c>
      <c r="F18" s="367">
        <v>2848</v>
      </c>
      <c r="G18" s="232"/>
      <c r="H18" s="366">
        <v>3809</v>
      </c>
      <c r="I18" s="367">
        <v>3211</v>
      </c>
      <c r="J18" s="232"/>
      <c r="K18" s="366">
        <v>3583</v>
      </c>
      <c r="L18" s="367">
        <v>3163</v>
      </c>
      <c r="M18" s="299"/>
      <c r="N18" s="366">
        <v>3965</v>
      </c>
      <c r="O18" s="367">
        <v>3767</v>
      </c>
      <c r="Q18" s="135"/>
      <c r="R18" s="136"/>
      <c r="S18" s="130"/>
      <c r="T18" s="135"/>
      <c r="U18" s="136"/>
      <c r="V18" s="137"/>
    </row>
    <row r="19" spans="1:22" s="131" customFormat="1" ht="12.75">
      <c r="A19" s="301" t="s">
        <v>143</v>
      </c>
      <c r="B19" s="366">
        <v>3840</v>
      </c>
      <c r="C19" s="367">
        <v>3795</v>
      </c>
      <c r="D19" s="232"/>
      <c r="E19" s="366">
        <v>3981</v>
      </c>
      <c r="F19" s="367">
        <v>3919</v>
      </c>
      <c r="G19" s="232"/>
      <c r="H19" s="366">
        <v>4705</v>
      </c>
      <c r="I19" s="367">
        <v>4601</v>
      </c>
      <c r="J19" s="232"/>
      <c r="K19" s="366">
        <v>4628</v>
      </c>
      <c r="L19" s="367">
        <v>4573</v>
      </c>
      <c r="M19" s="299"/>
      <c r="N19" s="366">
        <v>4750</v>
      </c>
      <c r="O19" s="367">
        <v>4675</v>
      </c>
      <c r="Q19" s="135"/>
      <c r="R19" s="136"/>
      <c r="S19" s="130"/>
      <c r="T19" s="135"/>
      <c r="U19" s="136"/>
      <c r="V19" s="137"/>
    </row>
    <row r="20" spans="1:22" s="131" customFormat="1" ht="12.75">
      <c r="A20" s="301" t="s">
        <v>144</v>
      </c>
      <c r="B20" s="366">
        <v>19</v>
      </c>
      <c r="C20" s="367">
        <v>19</v>
      </c>
      <c r="D20" s="232"/>
      <c r="E20" s="366">
        <v>32</v>
      </c>
      <c r="F20" s="367">
        <v>32</v>
      </c>
      <c r="G20" s="232"/>
      <c r="H20" s="366">
        <v>41</v>
      </c>
      <c r="I20" s="367">
        <v>41</v>
      </c>
      <c r="J20" s="232"/>
      <c r="K20" s="366">
        <v>33</v>
      </c>
      <c r="L20" s="367">
        <v>33</v>
      </c>
      <c r="M20" s="299"/>
      <c r="N20" s="366">
        <v>46</v>
      </c>
      <c r="O20" s="367">
        <v>46</v>
      </c>
      <c r="Q20" s="135"/>
      <c r="R20" s="136"/>
      <c r="S20" s="130"/>
      <c r="T20" s="135"/>
      <c r="U20" s="136"/>
      <c r="V20" s="137"/>
    </row>
    <row r="21" spans="1:22" s="131" customFormat="1" ht="12.75">
      <c r="A21" s="301" t="s">
        <v>145</v>
      </c>
      <c r="B21" s="366">
        <v>26</v>
      </c>
      <c r="C21" s="367">
        <v>24</v>
      </c>
      <c r="D21" s="232"/>
      <c r="E21" s="366">
        <v>68</v>
      </c>
      <c r="F21" s="367">
        <v>68</v>
      </c>
      <c r="G21" s="232"/>
      <c r="H21" s="366">
        <v>99</v>
      </c>
      <c r="I21" s="367">
        <v>93</v>
      </c>
      <c r="J21" s="232"/>
      <c r="K21" s="366">
        <v>102</v>
      </c>
      <c r="L21" s="367">
        <v>102</v>
      </c>
      <c r="M21" s="299"/>
      <c r="N21" s="366">
        <v>106</v>
      </c>
      <c r="O21" s="367">
        <v>106</v>
      </c>
      <c r="Q21" s="135"/>
      <c r="R21" s="136"/>
      <c r="S21" s="130"/>
      <c r="T21" s="135"/>
      <c r="U21" s="136"/>
      <c r="V21" s="137"/>
    </row>
    <row r="22" spans="1:22" s="131" customFormat="1" ht="12.75">
      <c r="A22" s="301" t="s">
        <v>146</v>
      </c>
      <c r="B22" s="366">
        <v>1171</v>
      </c>
      <c r="C22" s="367">
        <v>1105</v>
      </c>
      <c r="D22" s="232"/>
      <c r="E22" s="366">
        <v>1815</v>
      </c>
      <c r="F22" s="367">
        <v>1721</v>
      </c>
      <c r="G22" s="232"/>
      <c r="H22" s="366">
        <v>1761</v>
      </c>
      <c r="I22" s="367">
        <v>1658</v>
      </c>
      <c r="J22" s="232"/>
      <c r="K22" s="366">
        <v>1803</v>
      </c>
      <c r="L22" s="367">
        <v>1691</v>
      </c>
      <c r="M22" s="299"/>
      <c r="N22" s="366">
        <v>2104</v>
      </c>
      <c r="O22" s="367">
        <v>1981</v>
      </c>
      <c r="Q22" s="135"/>
      <c r="R22" s="136"/>
      <c r="S22" s="130"/>
      <c r="T22" s="135"/>
      <c r="U22" s="136"/>
      <c r="V22" s="137"/>
    </row>
    <row r="23" spans="1:22" s="131" customFormat="1" ht="12.75">
      <c r="A23" s="301" t="s">
        <v>147</v>
      </c>
      <c r="B23" s="366">
        <v>21</v>
      </c>
      <c r="C23" s="367">
        <v>21</v>
      </c>
      <c r="D23" s="232"/>
      <c r="E23" s="366">
        <v>27</v>
      </c>
      <c r="F23" s="367">
        <v>27</v>
      </c>
      <c r="G23" s="232"/>
      <c r="H23" s="366">
        <v>24</v>
      </c>
      <c r="I23" s="367">
        <v>24</v>
      </c>
      <c r="J23" s="232"/>
      <c r="K23" s="366">
        <v>15</v>
      </c>
      <c r="L23" s="367">
        <v>15</v>
      </c>
      <c r="M23" s="299"/>
      <c r="N23" s="366">
        <v>11</v>
      </c>
      <c r="O23" s="367">
        <v>11</v>
      </c>
      <c r="Q23" s="135"/>
      <c r="R23" s="136"/>
      <c r="S23" s="130"/>
      <c r="T23" s="135"/>
      <c r="U23" s="136"/>
      <c r="V23" s="137"/>
    </row>
    <row r="24" spans="1:22" s="131" customFormat="1" ht="12.75">
      <c r="A24" s="130" t="s">
        <v>328</v>
      </c>
      <c r="B24" s="368">
        <v>309</v>
      </c>
      <c r="C24" s="369">
        <v>175</v>
      </c>
      <c r="D24" s="232"/>
      <c r="E24" s="368">
        <v>380</v>
      </c>
      <c r="F24" s="369">
        <v>241</v>
      </c>
      <c r="G24" s="232"/>
      <c r="H24" s="368">
        <v>223</v>
      </c>
      <c r="I24" s="369">
        <v>159</v>
      </c>
      <c r="J24" s="232"/>
      <c r="K24" s="368">
        <v>107</v>
      </c>
      <c r="L24" s="369">
        <v>76</v>
      </c>
      <c r="M24" s="299"/>
      <c r="N24" s="368">
        <v>0</v>
      </c>
      <c r="O24" s="369">
        <v>0</v>
      </c>
      <c r="Q24" s="130"/>
      <c r="R24" s="130"/>
      <c r="S24" s="130"/>
      <c r="T24" s="130"/>
      <c r="U24" s="130"/>
    </row>
    <row r="25" spans="1:22" s="131" customFormat="1" ht="12.75">
      <c r="B25" s="233"/>
      <c r="C25" s="233"/>
      <c r="D25" s="233"/>
      <c r="E25" s="232"/>
      <c r="F25" s="233"/>
      <c r="G25" s="233"/>
      <c r="H25" s="232"/>
      <c r="I25" s="233"/>
      <c r="J25" s="233"/>
      <c r="K25" s="233"/>
      <c r="L25" s="233"/>
      <c r="M25" s="233"/>
      <c r="N25" s="233"/>
      <c r="O25" s="232"/>
      <c r="P25" s="130"/>
      <c r="Q25" s="130"/>
      <c r="R25" s="130"/>
      <c r="S25" s="130"/>
    </row>
    <row r="26" spans="1:22" s="131" customFormat="1" ht="12.75">
      <c r="A26" s="138" t="s">
        <v>364</v>
      </c>
      <c r="B26" s="234"/>
      <c r="C26" s="234"/>
      <c r="D26" s="234"/>
      <c r="E26" s="234"/>
      <c r="F26" s="234"/>
      <c r="G26" s="234"/>
      <c r="H26" s="234"/>
      <c r="I26" s="234"/>
      <c r="J26" s="233"/>
      <c r="K26" s="233"/>
      <c r="L26" s="234"/>
      <c r="M26" s="233"/>
      <c r="N26" s="233"/>
      <c r="O26" s="232"/>
      <c r="P26" s="130"/>
      <c r="Q26" s="130"/>
      <c r="R26" s="130"/>
      <c r="S26" s="130"/>
    </row>
    <row r="27" spans="1:22" s="131" customFormat="1" ht="12.75">
      <c r="A27" s="138"/>
      <c r="B27" s="234"/>
      <c r="C27" s="234"/>
      <c r="D27" s="234"/>
      <c r="E27" s="234"/>
      <c r="F27" s="234"/>
      <c r="G27" s="234"/>
      <c r="H27" s="234"/>
      <c r="I27" s="234"/>
      <c r="J27" s="233"/>
      <c r="K27" s="233"/>
      <c r="L27" s="234"/>
      <c r="M27" s="233"/>
      <c r="N27" s="233"/>
      <c r="O27" s="232"/>
      <c r="P27" s="130"/>
      <c r="Q27" s="130"/>
      <c r="R27" s="130"/>
      <c r="S27" s="130"/>
    </row>
    <row r="28" spans="1:22" s="131" customFormat="1" ht="43.5" customHeight="1">
      <c r="A28" s="130"/>
      <c r="B28" s="311" t="s">
        <v>363</v>
      </c>
      <c r="C28" s="143" t="s">
        <v>2220</v>
      </c>
      <c r="D28" s="232"/>
      <c r="E28" s="311" t="s">
        <v>363</v>
      </c>
      <c r="F28" s="143" t="s">
        <v>2220</v>
      </c>
      <c r="G28" s="232"/>
      <c r="H28" s="311" t="s">
        <v>363</v>
      </c>
      <c r="I28" s="143" t="s">
        <v>2220</v>
      </c>
      <c r="J28" s="232"/>
      <c r="K28" s="311" t="s">
        <v>363</v>
      </c>
      <c r="L28" s="143" t="s">
        <v>2220</v>
      </c>
      <c r="M28" s="233"/>
      <c r="N28" s="311" t="s">
        <v>363</v>
      </c>
      <c r="O28" s="143" t="s">
        <v>2220</v>
      </c>
      <c r="Q28" s="132"/>
      <c r="R28" s="132"/>
      <c r="S28" s="130"/>
      <c r="T28" s="132"/>
      <c r="U28" s="132"/>
    </row>
    <row r="29" spans="1:22" s="131" customFormat="1" ht="12.75" customHeight="1">
      <c r="A29" s="130"/>
      <c r="B29" s="462" t="s">
        <v>2128</v>
      </c>
      <c r="C29" s="463"/>
      <c r="D29" s="232"/>
      <c r="E29" s="462" t="s">
        <v>2129</v>
      </c>
      <c r="F29" s="463"/>
      <c r="G29" s="232"/>
      <c r="H29" s="462" t="s">
        <v>2130</v>
      </c>
      <c r="I29" s="463"/>
      <c r="J29" s="232"/>
      <c r="K29" s="462" t="s">
        <v>2131</v>
      </c>
      <c r="L29" s="463"/>
      <c r="M29" s="232"/>
      <c r="N29" s="462" t="s">
        <v>2132</v>
      </c>
      <c r="O29" s="463"/>
      <c r="Q29" s="461"/>
      <c r="R29" s="461"/>
      <c r="S29" s="130"/>
      <c r="T29" s="461"/>
      <c r="U29" s="461"/>
    </row>
    <row r="30" spans="1:22" s="131" customFormat="1" ht="12.75">
      <c r="A30" s="324" t="s">
        <v>28</v>
      </c>
      <c r="B30" s="315">
        <v>4.0113118444895939</v>
      </c>
      <c r="C30" s="315">
        <v>3.8690901103728517</v>
      </c>
      <c r="D30" s="230"/>
      <c r="E30" s="316">
        <v>6.2954624494353233</v>
      </c>
      <c r="F30" s="315">
        <v>6.096132374206066</v>
      </c>
      <c r="G30" s="230"/>
      <c r="H30" s="316">
        <v>7.1152966155986306</v>
      </c>
      <c r="I30" s="315">
        <v>6.8954661102264199</v>
      </c>
      <c r="J30" s="230"/>
      <c r="K30" s="316">
        <v>6.8711218494316624</v>
      </c>
      <c r="L30" s="315">
        <v>6.6968681932165541</v>
      </c>
      <c r="M30" s="232"/>
      <c r="N30" s="316">
        <v>7.6785093258653196</v>
      </c>
      <c r="O30" s="315">
        <v>7.5392162246261414</v>
      </c>
      <c r="Q30" s="139"/>
      <c r="R30" s="139"/>
      <c r="S30" s="130"/>
      <c r="T30" s="139"/>
      <c r="U30" s="139"/>
    </row>
    <row r="31" spans="1:22" s="131" customFormat="1" ht="12.75">
      <c r="A31" s="309" t="s">
        <v>136</v>
      </c>
      <c r="B31" s="313">
        <v>1.6108945202512455</v>
      </c>
      <c r="C31" s="313">
        <v>1.5107212475633529</v>
      </c>
      <c r="D31" s="232"/>
      <c r="E31" s="317">
        <v>2.9808317089018845</v>
      </c>
      <c r="F31" s="313">
        <v>2.9023175222005633</v>
      </c>
      <c r="G31" s="232"/>
      <c r="H31" s="317">
        <v>3.170348711284384</v>
      </c>
      <c r="I31" s="313">
        <v>3.0349794238683128</v>
      </c>
      <c r="J31" s="232"/>
      <c r="K31" s="317">
        <v>3.5466753303010612</v>
      </c>
      <c r="L31" s="313">
        <v>3.3138401559454191</v>
      </c>
      <c r="M31" s="232"/>
      <c r="N31" s="317">
        <v>3.3815247996534548</v>
      </c>
      <c r="O31" s="313">
        <v>3.2623998267273122</v>
      </c>
      <c r="Q31" s="140"/>
      <c r="R31" s="140"/>
      <c r="S31" s="130"/>
      <c r="T31" s="140"/>
      <c r="U31" s="140"/>
    </row>
    <row r="32" spans="1:22" s="131" customFormat="1" ht="12.75">
      <c r="A32" s="309" t="s">
        <v>137</v>
      </c>
      <c r="B32" s="313">
        <v>1.2120162756471302</v>
      </c>
      <c r="C32" s="313">
        <v>1.2120162756471302</v>
      </c>
      <c r="D32" s="232"/>
      <c r="E32" s="317">
        <v>1.7833953770236344</v>
      </c>
      <c r="F32" s="313">
        <v>1.6795082676824518</v>
      </c>
      <c r="G32" s="232"/>
      <c r="H32" s="317">
        <v>4.8913513981473464</v>
      </c>
      <c r="I32" s="313">
        <v>4.6662626612414506</v>
      </c>
      <c r="J32" s="232"/>
      <c r="K32" s="317">
        <v>5.3068998355120769</v>
      </c>
      <c r="L32" s="313">
        <v>5.2722707990650157</v>
      </c>
      <c r="M32" s="232"/>
      <c r="N32" s="317">
        <v>12.05090468357718</v>
      </c>
      <c r="O32" s="313">
        <v>11.747900614665397</v>
      </c>
      <c r="Q32" s="140"/>
      <c r="R32" s="140"/>
      <c r="S32" s="130"/>
      <c r="T32" s="140"/>
      <c r="U32" s="140"/>
    </row>
    <row r="33" spans="1:32" s="131" customFormat="1" ht="12.75">
      <c r="A33" s="309" t="s">
        <v>160</v>
      </c>
      <c r="B33" s="313">
        <v>0.81956200456805051</v>
      </c>
      <c r="C33" s="313">
        <v>0.75238479107886602</v>
      </c>
      <c r="D33" s="232"/>
      <c r="E33" s="317">
        <v>3.1438935912938333</v>
      </c>
      <c r="F33" s="313">
        <v>3.0699986564557302</v>
      </c>
      <c r="G33" s="232"/>
      <c r="H33" s="317">
        <v>5.4279188499261046</v>
      </c>
      <c r="I33" s="313">
        <v>5.3002821442966548</v>
      </c>
      <c r="J33" s="232"/>
      <c r="K33" s="317">
        <v>5.0584441757355902</v>
      </c>
      <c r="L33" s="313">
        <v>4.9576783555018133</v>
      </c>
      <c r="M33" s="232"/>
      <c r="N33" s="317">
        <v>6.6639795781270994</v>
      </c>
      <c r="O33" s="313">
        <v>6.4960365444041379</v>
      </c>
      <c r="Q33" s="140"/>
      <c r="R33" s="140"/>
      <c r="S33" s="130"/>
      <c r="T33" s="140"/>
      <c r="U33" s="140"/>
    </row>
    <row r="34" spans="1:32" s="131" customFormat="1" ht="12.75">
      <c r="A34" s="309" t="s">
        <v>138</v>
      </c>
      <c r="B34" s="313">
        <v>1.935483870967742</v>
      </c>
      <c r="C34" s="313">
        <v>1.6945522687725874</v>
      </c>
      <c r="D34" s="232"/>
      <c r="E34" s="317">
        <v>5.5869361531254187</v>
      </c>
      <c r="F34" s="313">
        <v>5.1077499665372779</v>
      </c>
      <c r="G34" s="232"/>
      <c r="H34" s="317">
        <v>7.0191406772855043</v>
      </c>
      <c r="I34" s="313">
        <v>6.5720787043233839</v>
      </c>
      <c r="J34" s="232"/>
      <c r="K34" s="317">
        <v>6.3498862267434077</v>
      </c>
      <c r="L34" s="313">
        <v>5.9510105742203185</v>
      </c>
      <c r="M34" s="232"/>
      <c r="N34" s="317">
        <v>7.9346807656270917</v>
      </c>
      <c r="O34" s="313">
        <v>7.4260473832150984</v>
      </c>
      <c r="Q34" s="140"/>
      <c r="R34" s="140"/>
      <c r="S34" s="130"/>
      <c r="T34" s="140"/>
      <c r="U34" s="140"/>
    </row>
    <row r="35" spans="1:32" s="131" customFormat="1" ht="12.75">
      <c r="A35" s="309" t="s">
        <v>139</v>
      </c>
      <c r="B35" s="313">
        <v>2.6121836681450561</v>
      </c>
      <c r="C35" s="313">
        <v>2.54043829898252</v>
      </c>
      <c r="D35" s="232"/>
      <c r="E35" s="317">
        <v>4.3438559874771716</v>
      </c>
      <c r="F35" s="313">
        <v>4.1971040960083483</v>
      </c>
      <c r="G35" s="232"/>
      <c r="H35" s="317">
        <v>5.7722410644403865</v>
      </c>
      <c r="I35" s="313">
        <v>5.5961387946777981</v>
      </c>
      <c r="J35" s="232"/>
      <c r="K35" s="317">
        <v>4.4743021132272371</v>
      </c>
      <c r="L35" s="313">
        <v>4.2721106183146365</v>
      </c>
      <c r="M35" s="232"/>
      <c r="N35" s="317">
        <v>4.1449256457083221</v>
      </c>
      <c r="O35" s="313">
        <v>3.9459953039394731</v>
      </c>
      <c r="Q35" s="140"/>
      <c r="R35" s="140"/>
      <c r="S35" s="130"/>
      <c r="T35" s="140"/>
      <c r="U35" s="140"/>
    </row>
    <row r="36" spans="1:32" s="131" customFormat="1" ht="12.75">
      <c r="A36" s="309" t="s">
        <v>140</v>
      </c>
      <c r="B36" s="313">
        <v>1.6049171931022708</v>
      </c>
      <c r="C36" s="313">
        <v>1.6049171931022708</v>
      </c>
      <c r="D36" s="232"/>
      <c r="E36" s="317">
        <v>2.6805531842240056</v>
      </c>
      <c r="F36" s="313">
        <v>2.6805531842240056</v>
      </c>
      <c r="G36" s="232"/>
      <c r="H36" s="317">
        <v>3.4437425303056171</v>
      </c>
      <c r="I36" s="313">
        <v>3.4437425303056171</v>
      </c>
      <c r="J36" s="232"/>
      <c r="K36" s="317">
        <v>3.4386204541574186</v>
      </c>
      <c r="L36" s="313">
        <v>3.4386204541574186</v>
      </c>
      <c r="M36" s="232"/>
      <c r="N36" s="317">
        <v>4.5227932388594843</v>
      </c>
      <c r="O36" s="313">
        <v>4.5227932388594843</v>
      </c>
      <c r="Q36" s="140"/>
      <c r="R36" s="141"/>
      <c r="S36" s="130"/>
      <c r="T36" s="140"/>
      <c r="U36" s="141"/>
    </row>
    <row r="37" spans="1:32" s="131" customFormat="1" ht="12.75">
      <c r="A37" s="309" t="s">
        <v>141</v>
      </c>
      <c r="B37" s="313">
        <v>8.9940158225708302</v>
      </c>
      <c r="C37" s="313">
        <v>8.9940158225708302</v>
      </c>
      <c r="D37" s="232"/>
      <c r="E37" s="317">
        <v>14.449929001284739</v>
      </c>
      <c r="F37" s="313">
        <v>14.449929001284739</v>
      </c>
      <c r="G37" s="232"/>
      <c r="H37" s="317">
        <v>15.595205896274258</v>
      </c>
      <c r="I37" s="313">
        <v>15.595205896274258</v>
      </c>
      <c r="J37" s="232"/>
      <c r="K37" s="317">
        <v>15.026370951382784</v>
      </c>
      <c r="L37" s="313">
        <v>15.026370951382784</v>
      </c>
      <c r="M37" s="232"/>
      <c r="N37" s="317">
        <v>15.771857461626885</v>
      </c>
      <c r="O37" s="313">
        <v>15.771857461626885</v>
      </c>
      <c r="Q37" s="140"/>
      <c r="R37" s="140"/>
      <c r="S37" s="130"/>
      <c r="T37" s="140"/>
      <c r="U37" s="140"/>
    </row>
    <row r="38" spans="1:32" s="131" customFormat="1" ht="12.75">
      <c r="A38" s="309" t="s">
        <v>142</v>
      </c>
      <c r="B38" s="313">
        <v>1.8308983525023315</v>
      </c>
      <c r="C38" s="313">
        <v>1.8184644078333851</v>
      </c>
      <c r="D38" s="232"/>
      <c r="E38" s="317">
        <v>2.7105999378302768</v>
      </c>
      <c r="F38" s="313">
        <v>2.6888405346596209</v>
      </c>
      <c r="G38" s="232"/>
      <c r="H38" s="317">
        <v>2.5085483369599006</v>
      </c>
      <c r="I38" s="313">
        <v>2.4774634752875349</v>
      </c>
      <c r="J38" s="232"/>
      <c r="K38" s="317">
        <v>3.2825613926018029</v>
      </c>
      <c r="L38" s="313">
        <v>3.2266086415915449</v>
      </c>
      <c r="M38" s="299"/>
      <c r="N38" s="317">
        <v>5.5672987255206712</v>
      </c>
      <c r="O38" s="313">
        <v>5.5362138638483058</v>
      </c>
      <c r="Q38" s="140"/>
      <c r="R38" s="140"/>
      <c r="S38" s="130"/>
      <c r="T38" s="140"/>
      <c r="U38" s="140"/>
    </row>
    <row r="39" spans="1:32" s="131" customFormat="1" ht="12.75">
      <c r="A39" s="309" t="s">
        <v>192</v>
      </c>
      <c r="B39" s="313">
        <v>2.9883668227828979</v>
      </c>
      <c r="C39" s="313">
        <v>2.4339024021755553</v>
      </c>
      <c r="D39" s="232"/>
      <c r="E39" s="317">
        <v>5.0747847106813717</v>
      </c>
      <c r="F39" s="313">
        <v>4.3027647680918566</v>
      </c>
      <c r="G39" s="232"/>
      <c r="H39" s="317">
        <v>5.7546457168756611</v>
      </c>
      <c r="I39" s="313">
        <v>4.8511859797552503</v>
      </c>
      <c r="J39" s="232"/>
      <c r="K39" s="317">
        <v>5.4132044115425293</v>
      </c>
      <c r="L39" s="313">
        <v>4.7786674724278591</v>
      </c>
      <c r="M39" s="232"/>
      <c r="N39" s="317">
        <v>5.990330865689681</v>
      </c>
      <c r="O39" s="313">
        <v>5.6911920229641941</v>
      </c>
      <c r="Q39" s="140"/>
      <c r="R39" s="140"/>
      <c r="S39" s="130"/>
      <c r="T39" s="140"/>
      <c r="U39" s="140"/>
    </row>
    <row r="40" spans="1:32" s="131" customFormat="1" ht="12.75">
      <c r="A40" s="309" t="s">
        <v>143</v>
      </c>
      <c r="B40" s="313">
        <v>4.2310319751426873</v>
      </c>
      <c r="C40" s="313">
        <v>4.1814495691839841</v>
      </c>
      <c r="D40" s="232"/>
      <c r="E40" s="317">
        <v>4.3863901804799577</v>
      </c>
      <c r="F40" s="313">
        <v>4.3180766433812998</v>
      </c>
      <c r="G40" s="232"/>
      <c r="H40" s="317">
        <v>5.1841160007933187</v>
      </c>
      <c r="I40" s="313">
        <v>5.0695255514665378</v>
      </c>
      <c r="J40" s="232"/>
      <c r="K40" s="317">
        <v>5.0992749950417595</v>
      </c>
      <c r="L40" s="313">
        <v>5.0386742766477886</v>
      </c>
      <c r="M40" s="232"/>
      <c r="N40" s="317">
        <v>5.2336984067520218</v>
      </c>
      <c r="O40" s="313">
        <v>5.151061063487516</v>
      </c>
      <c r="Q40" s="140"/>
      <c r="R40" s="140"/>
      <c r="S40" s="130"/>
      <c r="T40" s="140"/>
      <c r="U40" s="140"/>
    </row>
    <row r="41" spans="1:32" s="131" customFormat="1" ht="12.75">
      <c r="A41" s="309" t="s">
        <v>144</v>
      </c>
      <c r="B41" s="313">
        <v>0.85316569375841944</v>
      </c>
      <c r="C41" s="313">
        <v>0.85316569375841944</v>
      </c>
      <c r="D41" s="232"/>
      <c r="E41" s="317">
        <v>1.4369106421194433</v>
      </c>
      <c r="F41" s="313">
        <v>1.4369106421194433</v>
      </c>
      <c r="G41" s="232"/>
      <c r="H41" s="317">
        <v>1.8410417602155367</v>
      </c>
      <c r="I41" s="313">
        <v>1.8410417602155367</v>
      </c>
      <c r="J41" s="232"/>
      <c r="K41" s="317">
        <v>1.4818140996856759</v>
      </c>
      <c r="L41" s="313">
        <v>1.4818140996856759</v>
      </c>
      <c r="M41" s="299"/>
      <c r="N41" s="317">
        <v>2.0655590480466994</v>
      </c>
      <c r="O41" s="313">
        <v>2.0655590480466994</v>
      </c>
      <c r="Q41" s="140"/>
      <c r="R41" s="141"/>
      <c r="S41" s="130"/>
      <c r="T41" s="140"/>
      <c r="U41" s="141"/>
    </row>
    <row r="42" spans="1:32" s="131" customFormat="1" ht="12.75">
      <c r="A42" s="309" t="s">
        <v>145</v>
      </c>
      <c r="B42" s="313">
        <v>1.1343804537521816</v>
      </c>
      <c r="C42" s="313">
        <v>1.0471204188481675</v>
      </c>
      <c r="D42" s="232"/>
      <c r="E42" s="317">
        <v>2.9668411867364748</v>
      </c>
      <c r="F42" s="313">
        <v>2.9668411867364748</v>
      </c>
      <c r="G42" s="232"/>
      <c r="H42" s="317">
        <v>4.3193717277486909</v>
      </c>
      <c r="I42" s="313">
        <v>4.0575916230366493</v>
      </c>
      <c r="J42" s="232"/>
      <c r="K42" s="317">
        <v>4.4502617801047117</v>
      </c>
      <c r="L42" s="313">
        <v>4.4502617801047117</v>
      </c>
      <c r="M42" s="232"/>
      <c r="N42" s="317">
        <v>4.6247818499127398</v>
      </c>
      <c r="O42" s="313">
        <v>4.6247818499127398</v>
      </c>
      <c r="Q42" s="140"/>
      <c r="R42" s="140"/>
      <c r="S42" s="130"/>
      <c r="T42" s="140"/>
      <c r="U42" s="140"/>
    </row>
    <row r="43" spans="1:32" s="131" customFormat="1" ht="12.75">
      <c r="A43" s="309" t="s">
        <v>146</v>
      </c>
      <c r="B43" s="313">
        <v>2.8049919754712915</v>
      </c>
      <c r="C43" s="313">
        <v>2.6468967830023713</v>
      </c>
      <c r="D43" s="232"/>
      <c r="E43" s="317">
        <v>4.3476177928952975</v>
      </c>
      <c r="F43" s="313">
        <v>4.1224519127122905</v>
      </c>
      <c r="G43" s="232"/>
      <c r="H43" s="317">
        <v>4.2182671808752721</v>
      </c>
      <c r="I43" s="313">
        <v>3.9715428653555942</v>
      </c>
      <c r="J43" s="232"/>
      <c r="K43" s="317">
        <v>4.3188732124464035</v>
      </c>
      <c r="L43" s="313">
        <v>4.0505904615900548</v>
      </c>
      <c r="M43" s="232"/>
      <c r="N43" s="317">
        <v>5.0398831053728408</v>
      </c>
      <c r="O43" s="313">
        <v>4.7452511557716726</v>
      </c>
      <c r="Q43" s="140"/>
      <c r="R43" s="140"/>
      <c r="S43" s="130"/>
      <c r="T43" s="140"/>
      <c r="U43" s="140"/>
    </row>
    <row r="44" spans="1:32" s="131" customFormat="1" ht="12.75">
      <c r="A44" s="309" t="s">
        <v>147</v>
      </c>
      <c r="B44" s="313">
        <v>0.7859281437125748</v>
      </c>
      <c r="C44" s="313">
        <v>0.7859281437125748</v>
      </c>
      <c r="D44" s="232"/>
      <c r="E44" s="317">
        <v>1.0104790419161678</v>
      </c>
      <c r="F44" s="313">
        <v>1.0104790419161678</v>
      </c>
      <c r="G44" s="232"/>
      <c r="H44" s="317">
        <v>0.89820359281437123</v>
      </c>
      <c r="I44" s="313">
        <v>0.89820359281437123</v>
      </c>
      <c r="J44" s="232"/>
      <c r="K44" s="317">
        <v>0.56137724550898205</v>
      </c>
      <c r="L44" s="313">
        <v>0.56137724550898205</v>
      </c>
      <c r="M44" s="232"/>
      <c r="N44" s="317">
        <v>0.41167664670658682</v>
      </c>
      <c r="O44" s="313">
        <v>0.41167664670658682</v>
      </c>
      <c r="Q44" s="140"/>
      <c r="R44" s="140"/>
      <c r="S44" s="130"/>
      <c r="T44" s="140"/>
      <c r="U44" s="140"/>
    </row>
    <row r="45" spans="1:32" s="131" customFormat="1" ht="12.75">
      <c r="A45" s="309" t="s">
        <v>328</v>
      </c>
      <c r="B45" s="314">
        <v>5.6559222447971007E-2</v>
      </c>
      <c r="C45" s="314">
        <v>3.2031922098365459E-2</v>
      </c>
      <c r="D45" s="236"/>
      <c r="E45" s="318">
        <v>6.9555030842164994E-2</v>
      </c>
      <c r="F45" s="314">
        <v>4.4112532718320427E-2</v>
      </c>
      <c r="G45" s="236"/>
      <c r="H45" s="318">
        <v>4.0817820731059981E-2</v>
      </c>
      <c r="I45" s="314">
        <v>2.9103289220800615E-2</v>
      </c>
      <c r="J45" s="236"/>
      <c r="K45" s="318">
        <v>1.9585232368714879E-2</v>
      </c>
      <c r="L45" s="314">
        <v>1.3911006168432999E-2</v>
      </c>
      <c r="M45" s="236"/>
      <c r="N45" s="318">
        <v>0</v>
      </c>
      <c r="O45" s="314">
        <v>0</v>
      </c>
      <c r="Q45" s="140"/>
      <c r="R45" s="140"/>
      <c r="S45" s="130"/>
      <c r="T45" s="140"/>
      <c r="U45" s="140"/>
    </row>
    <row r="46" spans="1:32" s="131" customFormat="1" ht="12.75">
      <c r="B46" s="171"/>
      <c r="C46" s="154"/>
    </row>
    <row r="47" spans="1:32">
      <c r="A47" s="43" t="s">
        <v>410</v>
      </c>
      <c r="B47" s="172"/>
      <c r="C47" s="147"/>
      <c r="D47" s="119"/>
      <c r="E47" s="113"/>
      <c r="F47" s="113"/>
      <c r="G47" s="117"/>
      <c r="H47" s="117"/>
      <c r="I47" s="117"/>
      <c r="J47" s="117"/>
      <c r="K47" s="117"/>
      <c r="L47" s="117"/>
      <c r="M47" s="117"/>
      <c r="N47" s="117"/>
      <c r="O47" s="117"/>
      <c r="P47" s="117"/>
      <c r="Q47" s="117"/>
      <c r="R47" s="117"/>
      <c r="S47" s="117"/>
      <c r="T47" s="117"/>
      <c r="U47" s="117"/>
      <c r="V47" s="120"/>
      <c r="W47" s="119"/>
      <c r="X47" s="119"/>
      <c r="Y47" s="119"/>
      <c r="Z47" s="113"/>
      <c r="AA47" s="113"/>
      <c r="AB47" s="113"/>
      <c r="AC47" s="113"/>
      <c r="AD47" s="116"/>
      <c r="AE47" s="116"/>
      <c r="AF47" s="116"/>
    </row>
    <row r="48" spans="1:32">
      <c r="A48" s="106"/>
      <c r="B48" s="172"/>
      <c r="C48" s="147"/>
      <c r="D48" s="119"/>
      <c r="E48" s="113"/>
      <c r="F48" s="113"/>
      <c r="G48" s="122"/>
      <c r="H48" s="117"/>
      <c r="I48" s="117"/>
      <c r="J48" s="117"/>
      <c r="K48" s="117"/>
      <c r="L48" s="117"/>
      <c r="M48" s="117"/>
      <c r="N48" s="117"/>
      <c r="O48" s="117"/>
      <c r="P48" s="117"/>
      <c r="Q48" s="117"/>
      <c r="R48" s="117"/>
      <c r="S48" s="117"/>
      <c r="T48" s="117"/>
      <c r="U48" s="117"/>
      <c r="V48" s="123"/>
      <c r="W48" s="119"/>
      <c r="X48" s="119"/>
      <c r="Y48" s="119"/>
      <c r="Z48" s="113"/>
      <c r="AA48" s="113"/>
      <c r="AB48" s="113"/>
      <c r="AC48" s="113"/>
      <c r="AD48" s="116"/>
      <c r="AE48" s="116"/>
      <c r="AF48" s="116"/>
    </row>
    <row r="49" spans="1:32">
      <c r="B49" s="7"/>
      <c r="C49" s="7"/>
      <c r="D49" s="17"/>
      <c r="E49" s="113"/>
      <c r="F49" s="113"/>
      <c r="G49" s="124"/>
      <c r="H49" s="125"/>
      <c r="I49" s="125"/>
      <c r="J49" s="125"/>
      <c r="K49" s="125"/>
      <c r="L49" s="125"/>
      <c r="M49" s="125"/>
      <c r="N49" s="125"/>
      <c r="O49" s="125"/>
      <c r="P49" s="125"/>
      <c r="Q49" s="125"/>
      <c r="R49" s="125"/>
      <c r="S49" s="117"/>
      <c r="T49" s="117"/>
      <c r="U49" s="117"/>
      <c r="V49" s="117"/>
      <c r="W49" s="119"/>
      <c r="X49" s="119"/>
      <c r="Y49" s="119"/>
      <c r="Z49" s="113"/>
      <c r="AA49" s="113"/>
      <c r="AB49" s="113"/>
      <c r="AC49" s="113"/>
      <c r="AD49" s="116"/>
      <c r="AE49" s="116"/>
      <c r="AF49" s="116"/>
    </row>
    <row r="50" spans="1:32" ht="20.25">
      <c r="A50" s="76"/>
      <c r="B50" s="16"/>
      <c r="C50" s="16"/>
      <c r="D50" s="8"/>
      <c r="E50" s="17"/>
      <c r="F50" s="17"/>
      <c r="G50" s="17"/>
      <c r="H50" s="17"/>
      <c r="I50" s="113"/>
      <c r="J50" s="113"/>
      <c r="K50" s="113"/>
      <c r="L50" s="113"/>
      <c r="M50" s="113"/>
      <c r="N50" s="113"/>
      <c r="O50" s="113"/>
      <c r="P50" s="113"/>
      <c r="Q50" s="113"/>
      <c r="R50" s="113"/>
      <c r="S50" s="113"/>
      <c r="T50" s="113"/>
      <c r="U50" s="113"/>
      <c r="V50" s="113"/>
      <c r="W50" s="113"/>
      <c r="X50" s="113"/>
      <c r="Y50" s="113"/>
      <c r="Z50" s="113"/>
      <c r="AA50" s="113"/>
      <c r="AB50" s="113"/>
      <c r="AC50" s="113"/>
      <c r="AD50" s="116"/>
      <c r="AE50" s="116"/>
      <c r="AF50" s="116"/>
    </row>
    <row r="51" spans="1:32">
      <c r="A51" s="8"/>
      <c r="B51" s="16"/>
      <c r="C51" s="16"/>
      <c r="D51" s="16"/>
      <c r="E51" s="17"/>
      <c r="F51" s="17"/>
      <c r="G51" s="17"/>
      <c r="H51" s="17"/>
    </row>
    <row r="52" spans="1:32" ht="18">
      <c r="A52" s="32"/>
      <c r="B52" s="16"/>
      <c r="C52" s="16"/>
      <c r="D52" s="16"/>
      <c r="E52" s="17"/>
      <c r="F52" s="17"/>
      <c r="G52" s="17"/>
      <c r="H52" s="17"/>
      <c r="I52" s="107"/>
      <c r="J52"/>
    </row>
    <row r="53" spans="1:32">
      <c r="B53" s="16"/>
      <c r="C53" s="16"/>
      <c r="D53" s="16"/>
      <c r="E53" s="17"/>
      <c r="F53" s="17"/>
      <c r="G53" s="17"/>
      <c r="H53" s="17"/>
    </row>
    <row r="54" spans="1:32" ht="20.25">
      <c r="A54" s="76"/>
      <c r="B54" s="16"/>
      <c r="C54" s="16"/>
      <c r="D54" s="16"/>
      <c r="E54" s="17"/>
      <c r="F54" s="17"/>
      <c r="G54" s="17"/>
      <c r="H54" s="17"/>
    </row>
    <row r="55" spans="1:32">
      <c r="A55" s="438"/>
      <c r="B55" s="438"/>
      <c r="C55" s="438"/>
      <c r="D55" s="438"/>
      <c r="E55" s="438"/>
      <c r="F55" s="438"/>
      <c r="G55" s="438"/>
      <c r="H55" s="438"/>
      <c r="I55" s="438"/>
      <c r="J55" s="438"/>
    </row>
    <row r="56" spans="1:32" ht="14.25" customHeight="1">
      <c r="A56" s="428"/>
      <c r="B56" s="429"/>
      <c r="C56" s="429"/>
      <c r="D56" s="429"/>
    </row>
    <row r="57" spans="1:32" ht="14.25" customHeight="1">
      <c r="A57" s="19"/>
      <c r="B57" s="60"/>
      <c r="C57" s="60"/>
      <c r="D57" s="60"/>
    </row>
    <row r="58" spans="1:32" ht="14.25" customHeight="1">
      <c r="A58" s="19"/>
      <c r="B58" s="60"/>
      <c r="C58" s="60"/>
      <c r="D58" s="60"/>
    </row>
    <row r="59" spans="1:32" ht="14.25" customHeight="1">
      <c r="A59" s="39"/>
      <c r="B59" s="60"/>
      <c r="C59" s="60"/>
      <c r="D59" s="60"/>
    </row>
    <row r="60" spans="1:32">
      <c r="A60" s="8"/>
      <c r="B60" s="7"/>
      <c r="C60" s="7"/>
      <c r="D60" s="15"/>
    </row>
    <row r="61" spans="1:32">
      <c r="A61" s="8"/>
      <c r="B61" s="7"/>
      <c r="C61" s="7"/>
      <c r="D61" s="15"/>
    </row>
    <row r="62" spans="1:32">
      <c r="B62" s="7"/>
      <c r="C62" s="7"/>
      <c r="D62" s="15"/>
      <c r="E62" s="16"/>
    </row>
    <row r="63" spans="1:32">
      <c r="B63" s="7"/>
      <c r="C63" s="7"/>
      <c r="D63" s="15"/>
    </row>
    <row r="64" spans="1:32">
      <c r="B64" s="16"/>
      <c r="C64" s="16"/>
      <c r="D64" s="17"/>
    </row>
    <row r="65" spans="2:4">
      <c r="B65" s="12"/>
      <c r="C65" s="12"/>
      <c r="D65" s="13"/>
    </row>
    <row r="66" spans="2:4">
      <c r="B66" s="7"/>
      <c r="C66" s="7"/>
      <c r="D66" s="14"/>
    </row>
    <row r="67" spans="2:4">
      <c r="B67" s="7"/>
      <c r="C67" s="7"/>
      <c r="D67" s="15"/>
    </row>
    <row r="68" spans="2:4">
      <c r="B68" s="7"/>
      <c r="C68" s="7"/>
      <c r="D68" s="15"/>
    </row>
    <row r="69" spans="2:4">
      <c r="B69" s="16"/>
      <c r="C69" s="16"/>
      <c r="D69" s="18"/>
    </row>
    <row r="70" spans="2:4">
      <c r="B70" s="12"/>
      <c r="C70" s="12"/>
      <c r="D70" s="13"/>
    </row>
    <row r="71" spans="2:4">
      <c r="B71" s="7"/>
      <c r="C71" s="7"/>
      <c r="D71" s="14"/>
    </row>
    <row r="72" spans="2:4">
      <c r="B72" s="7"/>
      <c r="C72" s="7"/>
      <c r="D72" s="15"/>
    </row>
    <row r="73" spans="2:4">
      <c r="B73" s="7"/>
      <c r="C73" s="7"/>
      <c r="D73" s="15"/>
    </row>
    <row r="74" spans="2:4">
      <c r="B74" s="16"/>
      <c r="C74" s="16"/>
      <c r="D74" s="18"/>
    </row>
    <row r="75" spans="2:4">
      <c r="B75" s="12"/>
      <c r="C75" s="12"/>
      <c r="D75" s="13"/>
    </row>
    <row r="76" spans="2:4">
      <c r="B76" s="16"/>
      <c r="C76" s="16"/>
      <c r="D76" s="14"/>
    </row>
    <row r="77" spans="2:4">
      <c r="B77" s="16"/>
      <c r="C77" s="16"/>
      <c r="D77" s="15"/>
    </row>
    <row r="78" spans="2:4">
      <c r="B78" s="16"/>
      <c r="C78" s="16"/>
      <c r="D78" s="15"/>
    </row>
    <row r="79" spans="2:4">
      <c r="B79" s="16"/>
      <c r="C79" s="16"/>
      <c r="D79" s="18"/>
    </row>
    <row r="80" spans="2:4">
      <c r="B80" s="12"/>
      <c r="C80" s="12"/>
      <c r="D80" s="13"/>
    </row>
    <row r="81" spans="1:4">
      <c r="B81" s="7"/>
      <c r="C81" s="7"/>
      <c r="D81" s="14"/>
    </row>
    <row r="82" spans="1:4">
      <c r="B82" s="7"/>
      <c r="C82" s="7"/>
      <c r="D82" s="14"/>
    </row>
    <row r="83" spans="1:4">
      <c r="B83" s="7"/>
      <c r="C83" s="7"/>
      <c r="D83" s="14"/>
    </row>
    <row r="84" spans="1:4">
      <c r="B84" s="7"/>
      <c r="C84" s="7"/>
      <c r="D84" s="15"/>
    </row>
    <row r="85" spans="1:4">
      <c r="B85" s="7"/>
      <c r="C85" s="7"/>
      <c r="D85" s="15"/>
    </row>
    <row r="86" spans="1:4">
      <c r="B86" s="7"/>
      <c r="C86" s="7"/>
      <c r="D86" s="15"/>
    </row>
    <row r="87" spans="1:4">
      <c r="B87" s="7"/>
      <c r="C87" s="7"/>
      <c r="D87" s="15"/>
    </row>
    <row r="88" spans="1:4" ht="12.75" customHeight="1">
      <c r="B88" s="16"/>
      <c r="C88" s="12"/>
      <c r="D88" s="13"/>
    </row>
    <row r="89" spans="1:4" ht="12.75" customHeight="1">
      <c r="B89" s="12"/>
      <c r="C89" s="12"/>
      <c r="D89" s="13"/>
    </row>
    <row r="90" spans="1:4">
      <c r="B90" s="12"/>
      <c r="C90" s="12"/>
      <c r="D90" s="13"/>
    </row>
    <row r="91" spans="1:4">
      <c r="B91" s="12"/>
      <c r="C91" s="16"/>
      <c r="D91" s="18"/>
    </row>
    <row r="92" spans="1:4">
      <c r="B92" s="16"/>
      <c r="C92" s="7"/>
      <c r="D92" s="15"/>
    </row>
    <row r="93" spans="1:4">
      <c r="A93" s="6" t="s">
        <v>2133</v>
      </c>
      <c r="B93" s="7"/>
      <c r="C93" s="16"/>
      <c r="D93" s="13"/>
    </row>
    <row r="94" spans="1:4">
      <c r="A94" s="6" t="e">
        <v>#REF!</v>
      </c>
      <c r="B94" s="7"/>
      <c r="C94" s="16"/>
      <c r="D94" s="13"/>
    </row>
    <row r="95" spans="1:4">
      <c r="A95" s="6" t="s">
        <v>2134</v>
      </c>
      <c r="B95" s="7"/>
      <c r="C95" s="16"/>
      <c r="D95" s="13"/>
    </row>
    <row r="96" spans="1:4">
      <c r="A96" s="6" t="e">
        <v>#REF!</v>
      </c>
      <c r="B96" s="7"/>
      <c r="C96" s="16"/>
      <c r="D96" s="13"/>
    </row>
    <row r="97" spans="1:22">
      <c r="A97" s="16"/>
      <c r="B97" s="7"/>
      <c r="C97" s="7"/>
      <c r="D97" s="15"/>
    </row>
    <row r="98" spans="1:22">
      <c r="A98" s="29" t="e">
        <f>"Patients seen - adjusted waits for "&amp;TEXT(#REF!,"mmm-yy")</f>
        <v>#REF!</v>
      </c>
      <c r="B98" s="60"/>
      <c r="C98" s="60"/>
      <c r="D98" s="60"/>
    </row>
    <row r="99" spans="1:22">
      <c r="A99" s="29" t="e">
        <f>"Percentage of patients seen within 18 weeks for adjusted waits for "&amp;TEXT(#REF!,"mmm-yy")</f>
        <v>#REF!</v>
      </c>
      <c r="B99" s="60"/>
      <c r="C99" s="60"/>
      <c r="D99" s="60"/>
    </row>
    <row r="100" spans="1:22">
      <c r="A100" s="429"/>
      <c r="B100" s="429"/>
      <c r="C100" s="429"/>
      <c r="D100" s="429"/>
    </row>
    <row r="101" spans="1:22">
      <c r="A101" s="429"/>
      <c r="B101" s="429"/>
      <c r="C101" s="429"/>
      <c r="D101" s="429"/>
    </row>
    <row r="102" spans="1:22">
      <c r="A102" s="429"/>
      <c r="B102" s="429"/>
      <c r="C102" s="429"/>
      <c r="D102" s="429"/>
    </row>
    <row r="103" spans="1:22">
      <c r="A103" s="108"/>
      <c r="B103" s="60"/>
      <c r="C103" s="60"/>
      <c r="D103" s="60"/>
    </row>
    <row r="104" spans="1:22">
      <c r="B104" s="7"/>
      <c r="C104" s="7"/>
      <c r="D104" s="15"/>
    </row>
    <row r="105" spans="1:22">
      <c r="B105" s="7"/>
      <c r="C105" s="7"/>
      <c r="D105" s="15"/>
    </row>
    <row r="106" spans="1:22">
      <c r="B106" s="16"/>
      <c r="C106" s="16"/>
      <c r="D106" s="17"/>
    </row>
    <row r="107" spans="1:22">
      <c r="B107" s="12"/>
      <c r="C107" s="12"/>
      <c r="D107" s="13"/>
    </row>
    <row r="108" spans="1:22" s="20" customFormat="1" ht="12.75" customHeight="1">
      <c r="B108" s="21"/>
      <c r="C108" s="21"/>
      <c r="D108" s="22"/>
      <c r="U108" s="6"/>
      <c r="V108" s="6"/>
    </row>
    <row r="109" spans="1:22">
      <c r="B109" s="8"/>
      <c r="C109" s="8"/>
      <c r="D109" s="23"/>
      <c r="U109" s="20"/>
      <c r="V109" s="20"/>
    </row>
    <row r="110" spans="1:22">
      <c r="B110" s="8"/>
      <c r="C110" s="8"/>
      <c r="D110" s="25"/>
    </row>
    <row r="111" spans="1:22">
      <c r="B111" s="8"/>
      <c r="C111" s="8"/>
      <c r="D111" s="23"/>
    </row>
    <row r="112" spans="1:22">
      <c r="A112" s="16"/>
      <c r="B112" s="16"/>
      <c r="C112" s="16"/>
      <c r="D112" s="16"/>
    </row>
    <row r="113" spans="2:4">
      <c r="B113" s="7"/>
      <c r="C113" s="7"/>
      <c r="D113" s="14"/>
    </row>
    <row r="114" spans="2:4">
      <c r="B114" s="7"/>
      <c r="C114" s="7"/>
      <c r="D114" s="14"/>
    </row>
    <row r="115" spans="2:4">
      <c r="B115" s="7"/>
      <c r="C115" s="7"/>
      <c r="D115" s="14"/>
    </row>
    <row r="116" spans="2:4">
      <c r="B116" s="7"/>
      <c r="C116" s="7"/>
      <c r="D116" s="14"/>
    </row>
    <row r="117" spans="2:4">
      <c r="B117" s="7"/>
      <c r="C117" s="7"/>
      <c r="D117" s="14"/>
    </row>
    <row r="118" spans="2:4">
      <c r="B118" s="7"/>
      <c r="C118" s="7"/>
      <c r="D118" s="14"/>
    </row>
    <row r="119" spans="2:4">
      <c r="B119" s="28"/>
      <c r="C119" s="28"/>
      <c r="D119" s="14"/>
    </row>
    <row r="120" spans="2:4">
      <c r="B120" s="28"/>
      <c r="C120" s="28"/>
      <c r="D120" s="14"/>
    </row>
    <row r="121" spans="2:4">
      <c r="B121" s="28"/>
      <c r="C121" s="28"/>
      <c r="D121" s="14"/>
    </row>
    <row r="122" spans="2:4">
      <c r="B122" s="28"/>
      <c r="C122" s="28"/>
      <c r="D122" s="14"/>
    </row>
    <row r="123" spans="2:4">
      <c r="B123" s="28"/>
      <c r="C123" s="28"/>
      <c r="D123" s="28"/>
    </row>
    <row r="124" spans="2:4">
      <c r="B124" s="28"/>
      <c r="C124" s="28"/>
      <c r="D124" s="28"/>
    </row>
    <row r="125" spans="2:4">
      <c r="B125" s="28"/>
      <c r="C125" s="28"/>
      <c r="D125" s="28"/>
    </row>
    <row r="126" spans="2:4">
      <c r="B126" s="28"/>
      <c r="C126" s="28"/>
      <c r="D126" s="28"/>
    </row>
    <row r="127" spans="2:4">
      <c r="B127" s="28"/>
      <c r="C127" s="28"/>
      <c r="D127" s="28"/>
    </row>
    <row r="128" spans="2:4">
      <c r="B128" s="28"/>
      <c r="C128" s="28"/>
      <c r="D128" s="28"/>
    </row>
    <row r="129" spans="2:4">
      <c r="B129" s="28"/>
      <c r="C129" s="28"/>
      <c r="D129" s="28"/>
    </row>
    <row r="130" spans="2:4">
      <c r="B130" s="28"/>
      <c r="C130" s="28"/>
      <c r="D130" s="28"/>
    </row>
    <row r="131" spans="2:4">
      <c r="B131" s="28"/>
      <c r="C131" s="28"/>
      <c r="D131" s="28"/>
    </row>
    <row r="132" spans="2:4">
      <c r="B132" s="28"/>
      <c r="C132" s="28"/>
      <c r="D132" s="28"/>
    </row>
    <row r="133" spans="2:4">
      <c r="B133" s="28"/>
      <c r="C133" s="28"/>
      <c r="D133" s="28"/>
    </row>
    <row r="134" spans="2:4">
      <c r="B134" s="28"/>
      <c r="C134" s="28"/>
      <c r="D134" s="28"/>
    </row>
    <row r="135" spans="2:4">
      <c r="B135" s="28"/>
      <c r="C135" s="28"/>
      <c r="D135" s="28"/>
    </row>
    <row r="136" spans="2:4">
      <c r="B136" s="28"/>
      <c r="C136" s="28"/>
      <c r="D136" s="28"/>
    </row>
    <row r="137" spans="2:4">
      <c r="B137" s="28"/>
      <c r="C137" s="28"/>
      <c r="D137" s="28"/>
    </row>
    <row r="138" spans="2:4">
      <c r="B138" s="28"/>
      <c r="C138" s="28"/>
      <c r="D138" s="28"/>
    </row>
    <row r="139" spans="2:4">
      <c r="B139" s="28"/>
      <c r="C139" s="28"/>
      <c r="D139" s="28"/>
    </row>
    <row r="140" spans="2:4">
      <c r="B140" s="28"/>
      <c r="C140" s="28"/>
      <c r="D140" s="28"/>
    </row>
    <row r="141" spans="2:4">
      <c r="B141" s="28"/>
      <c r="C141" s="28"/>
      <c r="D141" s="28"/>
    </row>
    <row r="142" spans="2:4">
      <c r="B142" s="28"/>
      <c r="C142" s="28"/>
      <c r="D142" s="28"/>
    </row>
    <row r="143" spans="2:4">
      <c r="B143" s="28"/>
      <c r="C143" s="28"/>
      <c r="D143" s="28"/>
    </row>
    <row r="144" spans="2:4">
      <c r="B144" s="28"/>
      <c r="C144" s="28"/>
      <c r="D144" s="28"/>
    </row>
    <row r="145" spans="2:4">
      <c r="B145" s="28"/>
      <c r="C145" s="28"/>
      <c r="D145" s="28"/>
    </row>
    <row r="146" spans="2:4">
      <c r="B146" s="28"/>
      <c r="C146" s="28"/>
      <c r="D146" s="28"/>
    </row>
    <row r="147" spans="2:4">
      <c r="B147" s="28"/>
      <c r="C147" s="28"/>
      <c r="D147" s="28"/>
    </row>
    <row r="148" spans="2:4">
      <c r="B148" s="28"/>
      <c r="C148" s="28"/>
      <c r="D148" s="28"/>
    </row>
    <row r="149" spans="2:4">
      <c r="B149" s="28"/>
      <c r="C149" s="28"/>
      <c r="D149" s="28"/>
    </row>
    <row r="150" spans="2:4">
      <c r="B150" s="28"/>
      <c r="C150" s="28"/>
      <c r="D150" s="28"/>
    </row>
    <row r="151" spans="2:4">
      <c r="B151" s="28"/>
      <c r="C151" s="28"/>
      <c r="D151" s="28"/>
    </row>
    <row r="152" spans="2:4">
      <c r="B152" s="28"/>
      <c r="C152" s="28"/>
      <c r="D152" s="28"/>
    </row>
    <row r="153" spans="2:4">
      <c r="B153" s="28"/>
      <c r="C153" s="28"/>
      <c r="D153" s="28"/>
    </row>
    <row r="154" spans="2:4">
      <c r="B154" s="28"/>
      <c r="C154" s="28"/>
      <c r="D154" s="28"/>
    </row>
    <row r="155" spans="2:4">
      <c r="B155" s="28"/>
      <c r="C155" s="28"/>
      <c r="D155" s="28"/>
    </row>
    <row r="156" spans="2:4">
      <c r="B156" s="28"/>
      <c r="C156" s="28"/>
      <c r="D156" s="28"/>
    </row>
    <row r="157" spans="2:4">
      <c r="B157" s="28"/>
      <c r="C157" s="28"/>
      <c r="D157" s="28"/>
    </row>
    <row r="158" spans="2:4">
      <c r="B158" s="28"/>
      <c r="C158" s="28"/>
      <c r="D158" s="28"/>
    </row>
    <row r="159" spans="2:4">
      <c r="B159" s="28"/>
      <c r="C159" s="28"/>
      <c r="D159" s="28"/>
    </row>
    <row r="160" spans="2:4">
      <c r="B160" s="28"/>
      <c r="C160" s="28"/>
      <c r="D160" s="28"/>
    </row>
  </sheetData>
  <mergeCells count="19">
    <mergeCell ref="A102:D102"/>
    <mergeCell ref="A55:J55"/>
    <mergeCell ref="E8:F8"/>
    <mergeCell ref="H8:I8"/>
    <mergeCell ref="B8:C8"/>
    <mergeCell ref="B29:C29"/>
    <mergeCell ref="A56:D56"/>
    <mergeCell ref="A100:D100"/>
    <mergeCell ref="A101:D101"/>
    <mergeCell ref="Q8:R8"/>
    <mergeCell ref="T8:U8"/>
    <mergeCell ref="E29:F29"/>
    <mergeCell ref="H29:I29"/>
    <mergeCell ref="K29:L29"/>
    <mergeCell ref="N29:O29"/>
    <mergeCell ref="Q29:R29"/>
    <mergeCell ref="T29:U29"/>
    <mergeCell ref="K8:L8"/>
    <mergeCell ref="N8:O8"/>
  </mergeCells>
  <dataValidations count="1">
    <dataValidation type="list" allowBlank="1" showInputMessage="1" showErrorMessage="1" sqref="IZ29 SV29 ACR29 AMN29 AWJ29 BGF29 BQB29 BZX29 CJT29 CTP29 DDL29 DNH29 DXD29 EGZ29 EQV29 FAR29 FKN29 FUJ29 GEF29 GOB29 GXX29 HHT29 HRP29 IBL29 ILH29 IVD29 JEZ29 JOV29 JYR29 KIN29 KSJ29 LCF29 LMB29 LVX29 MFT29 MPP29 MZL29 NJH29 NTD29 OCZ29 OMV29 OWR29 PGN29 PQJ29 QAF29 QKB29 QTX29 RDT29 RNP29 RXL29 SHH29 SRD29 TAZ29 TKV29 TUR29 UEN29 UOJ29 UYF29 VIB29 VRX29 WBT29 WLP29 WVL29 IV65565 SR65565 ACN65565 AMJ65565 AWF65565 BGB65565 BPX65565 BZT65565 CJP65565 CTL65565 DDH65565 DND65565 DWZ65565 EGV65565 EQR65565 FAN65565 FKJ65565 FUF65565 GEB65565 GNX65565 GXT65565 HHP65565 HRL65565 IBH65565 ILD65565 IUZ65565 JEV65565 JOR65565 JYN65565 KIJ65565 KSF65565 LCB65565 LLX65565 LVT65565 MFP65565 MPL65565 MZH65565 NJD65565 NSZ65565 OCV65565 OMR65565 OWN65565 PGJ65565 PQF65565 QAB65565 QJX65565 QTT65565 RDP65565 RNL65565 RXH65565 SHD65565 SQZ65565 TAV65565 TKR65565 TUN65565 UEJ65565 UOF65565 UYB65565 VHX65565 VRT65565 WBP65565 WLL65565 WVH65565 IV131101 SR131101 ACN131101 AMJ131101 AWF131101 BGB131101 BPX131101 BZT131101 CJP131101 CTL131101 DDH131101 DND131101 DWZ131101 EGV131101 EQR131101 FAN131101 FKJ131101 FUF131101 GEB131101 GNX131101 GXT131101 HHP131101 HRL131101 IBH131101 ILD131101 IUZ131101 JEV131101 JOR131101 JYN131101 KIJ131101 KSF131101 LCB131101 LLX131101 LVT131101 MFP131101 MPL131101 MZH131101 NJD131101 NSZ131101 OCV131101 OMR131101 OWN131101 PGJ131101 PQF131101 QAB131101 QJX131101 QTT131101 RDP131101 RNL131101 RXH131101 SHD131101 SQZ131101 TAV131101 TKR131101 TUN131101 UEJ131101 UOF131101 UYB131101 VHX131101 VRT131101 WBP131101 WLL131101 WVH131101 IV196637 SR196637 ACN196637 AMJ196637 AWF196637 BGB196637 BPX196637 BZT196637 CJP196637 CTL196637 DDH196637 DND196637 DWZ196637 EGV196637 EQR196637 FAN196637 FKJ196637 FUF196637 GEB196637 GNX196637 GXT196637 HHP196637 HRL196637 IBH196637 ILD196637 IUZ196637 JEV196637 JOR196637 JYN196637 KIJ196637 KSF196637 LCB196637 LLX196637 LVT196637 MFP196637 MPL196637 MZH196637 NJD196637 NSZ196637 OCV196637 OMR196637 OWN196637 PGJ196637 PQF196637 QAB196637 QJX196637 QTT196637 RDP196637 RNL196637 RXH196637 SHD196637 SQZ196637 TAV196637 TKR196637 TUN196637 UEJ196637 UOF196637 UYB196637 VHX196637 VRT196637 WBP196637 WLL196637 WVH196637 IV262173 SR262173 ACN262173 AMJ262173 AWF262173 BGB262173 BPX262173 BZT262173 CJP262173 CTL262173 DDH262173 DND262173 DWZ262173 EGV262173 EQR262173 FAN262173 FKJ262173 FUF262173 GEB262173 GNX262173 GXT262173 HHP262173 HRL262173 IBH262173 ILD262173 IUZ262173 JEV262173 JOR262173 JYN262173 KIJ262173 KSF262173 LCB262173 LLX262173 LVT262173 MFP262173 MPL262173 MZH262173 NJD262173 NSZ262173 OCV262173 OMR262173 OWN262173 PGJ262173 PQF262173 QAB262173 QJX262173 QTT262173 RDP262173 RNL262173 RXH262173 SHD262173 SQZ262173 TAV262173 TKR262173 TUN262173 UEJ262173 UOF262173 UYB262173 VHX262173 VRT262173 WBP262173 WLL262173 WVH262173 IV327709 SR327709 ACN327709 AMJ327709 AWF327709 BGB327709 BPX327709 BZT327709 CJP327709 CTL327709 DDH327709 DND327709 DWZ327709 EGV327709 EQR327709 FAN327709 FKJ327709 FUF327709 GEB327709 GNX327709 GXT327709 HHP327709 HRL327709 IBH327709 ILD327709 IUZ327709 JEV327709 JOR327709 JYN327709 KIJ327709 KSF327709 LCB327709 LLX327709 LVT327709 MFP327709 MPL327709 MZH327709 NJD327709 NSZ327709 OCV327709 OMR327709 OWN327709 PGJ327709 PQF327709 QAB327709 QJX327709 QTT327709 RDP327709 RNL327709 RXH327709 SHD327709 SQZ327709 TAV327709 TKR327709 TUN327709 UEJ327709 UOF327709 UYB327709 VHX327709 VRT327709 WBP327709 WLL327709 WVH327709 IV393245 SR393245 ACN393245 AMJ393245 AWF393245 BGB393245 BPX393245 BZT393245 CJP393245 CTL393245 DDH393245 DND393245 DWZ393245 EGV393245 EQR393245 FAN393245 FKJ393245 FUF393245 GEB393245 GNX393245 GXT393245 HHP393245 HRL393245 IBH393245 ILD393245 IUZ393245 JEV393245 JOR393245 JYN393245 KIJ393245 KSF393245 LCB393245 LLX393245 LVT393245 MFP393245 MPL393245 MZH393245 NJD393245 NSZ393245 OCV393245 OMR393245 OWN393245 PGJ393245 PQF393245 QAB393245 QJX393245 QTT393245 RDP393245 RNL393245 RXH393245 SHD393245 SQZ393245 TAV393245 TKR393245 TUN393245 UEJ393245 UOF393245 UYB393245 VHX393245 VRT393245 WBP393245 WLL393245 WVH393245 IV458781 SR458781 ACN458781 AMJ458781 AWF458781 BGB458781 BPX458781 BZT458781 CJP458781 CTL458781 DDH458781 DND458781 DWZ458781 EGV458781 EQR458781 FAN458781 FKJ458781 FUF458781 GEB458781 GNX458781 GXT458781 HHP458781 HRL458781 IBH458781 ILD458781 IUZ458781 JEV458781 JOR458781 JYN458781 KIJ458781 KSF458781 LCB458781 LLX458781 LVT458781 MFP458781 MPL458781 MZH458781 NJD458781 NSZ458781 OCV458781 OMR458781 OWN458781 PGJ458781 PQF458781 QAB458781 QJX458781 QTT458781 RDP458781 RNL458781 RXH458781 SHD458781 SQZ458781 TAV458781 TKR458781 TUN458781 UEJ458781 UOF458781 UYB458781 VHX458781 VRT458781 WBP458781 WLL458781 WVH458781 IV524317 SR524317 ACN524317 AMJ524317 AWF524317 BGB524317 BPX524317 BZT524317 CJP524317 CTL524317 DDH524317 DND524317 DWZ524317 EGV524317 EQR524317 FAN524317 FKJ524317 FUF524317 GEB524317 GNX524317 GXT524317 HHP524317 HRL524317 IBH524317 ILD524317 IUZ524317 JEV524317 JOR524317 JYN524317 KIJ524317 KSF524317 LCB524317 LLX524317 LVT524317 MFP524317 MPL524317 MZH524317 NJD524317 NSZ524317 OCV524317 OMR524317 OWN524317 PGJ524317 PQF524317 QAB524317 QJX524317 QTT524317 RDP524317 RNL524317 RXH524317 SHD524317 SQZ524317 TAV524317 TKR524317 TUN524317 UEJ524317 UOF524317 UYB524317 VHX524317 VRT524317 WBP524317 WLL524317 WVH524317 IV589853 SR589853 ACN589853 AMJ589853 AWF589853 BGB589853 BPX589853 BZT589853 CJP589853 CTL589853 DDH589853 DND589853 DWZ589853 EGV589853 EQR589853 FAN589853 FKJ589853 FUF589853 GEB589853 GNX589853 GXT589853 HHP589853 HRL589853 IBH589853 ILD589853 IUZ589853 JEV589853 JOR589853 JYN589853 KIJ589853 KSF589853 LCB589853 LLX589853 LVT589853 MFP589853 MPL589853 MZH589853 NJD589853 NSZ589853 OCV589853 OMR589853 OWN589853 PGJ589853 PQF589853 QAB589853 QJX589853 QTT589853 RDP589853 RNL589853 RXH589853 SHD589853 SQZ589853 TAV589853 TKR589853 TUN589853 UEJ589853 UOF589853 UYB589853 VHX589853 VRT589853 WBP589853 WLL589853 WVH589853 IV655389 SR655389 ACN655389 AMJ655389 AWF655389 BGB655389 BPX655389 BZT655389 CJP655389 CTL655389 DDH655389 DND655389 DWZ655389 EGV655389 EQR655389 FAN655389 FKJ655389 FUF655389 GEB655389 GNX655389 GXT655389 HHP655389 HRL655389 IBH655389 ILD655389 IUZ655389 JEV655389 JOR655389 JYN655389 KIJ655389 KSF655389 LCB655389 LLX655389 LVT655389 MFP655389 MPL655389 MZH655389 NJD655389 NSZ655389 OCV655389 OMR655389 OWN655389 PGJ655389 PQF655389 QAB655389 QJX655389 QTT655389 RDP655389 RNL655389 RXH655389 SHD655389 SQZ655389 TAV655389 TKR655389 TUN655389 UEJ655389 UOF655389 UYB655389 VHX655389 VRT655389 WBP655389 WLL655389 WVH655389 IV720925 SR720925 ACN720925 AMJ720925 AWF720925 BGB720925 BPX720925 BZT720925 CJP720925 CTL720925 DDH720925 DND720925 DWZ720925 EGV720925 EQR720925 FAN720925 FKJ720925 FUF720925 GEB720925 GNX720925 GXT720925 HHP720925 HRL720925 IBH720925 ILD720925 IUZ720925 JEV720925 JOR720925 JYN720925 KIJ720925 KSF720925 LCB720925 LLX720925 LVT720925 MFP720925 MPL720925 MZH720925 NJD720925 NSZ720925 OCV720925 OMR720925 OWN720925 PGJ720925 PQF720925 QAB720925 QJX720925 QTT720925 RDP720925 RNL720925 RXH720925 SHD720925 SQZ720925 TAV720925 TKR720925 TUN720925 UEJ720925 UOF720925 UYB720925 VHX720925 VRT720925 WBP720925 WLL720925 WVH720925 IV786461 SR786461 ACN786461 AMJ786461 AWF786461 BGB786461 BPX786461 BZT786461 CJP786461 CTL786461 DDH786461 DND786461 DWZ786461 EGV786461 EQR786461 FAN786461 FKJ786461 FUF786461 GEB786461 GNX786461 GXT786461 HHP786461 HRL786461 IBH786461 ILD786461 IUZ786461 JEV786461 JOR786461 JYN786461 KIJ786461 KSF786461 LCB786461 LLX786461 LVT786461 MFP786461 MPL786461 MZH786461 NJD786461 NSZ786461 OCV786461 OMR786461 OWN786461 PGJ786461 PQF786461 QAB786461 QJX786461 QTT786461 RDP786461 RNL786461 RXH786461 SHD786461 SQZ786461 TAV786461 TKR786461 TUN786461 UEJ786461 UOF786461 UYB786461 VHX786461 VRT786461 WBP786461 WLL786461 WVH786461 IV851997 SR851997 ACN851997 AMJ851997 AWF851997 BGB851997 BPX851997 BZT851997 CJP851997 CTL851997 DDH851997 DND851997 DWZ851997 EGV851997 EQR851997 FAN851997 FKJ851997 FUF851997 GEB851997 GNX851997 GXT851997 HHP851997 HRL851997 IBH851997 ILD851997 IUZ851997 JEV851997 JOR851997 JYN851997 KIJ851997 KSF851997 LCB851997 LLX851997 LVT851997 MFP851997 MPL851997 MZH851997 NJD851997 NSZ851997 OCV851997 OMR851997 OWN851997 PGJ851997 PQF851997 QAB851997 QJX851997 QTT851997 RDP851997 RNL851997 RXH851997 SHD851997 SQZ851997 TAV851997 TKR851997 TUN851997 UEJ851997 UOF851997 UYB851997 VHX851997 VRT851997 WBP851997 WLL851997 WVH851997 IV917533 SR917533 ACN917533 AMJ917533 AWF917533 BGB917533 BPX917533 BZT917533 CJP917533 CTL917533 DDH917533 DND917533 DWZ917533 EGV917533 EQR917533 FAN917533 FKJ917533 FUF917533 GEB917533 GNX917533 GXT917533 HHP917533 HRL917533 IBH917533 ILD917533 IUZ917533 JEV917533 JOR917533 JYN917533 KIJ917533 KSF917533 LCB917533 LLX917533 LVT917533 MFP917533 MPL917533 MZH917533 NJD917533 NSZ917533 OCV917533 OMR917533 OWN917533 PGJ917533 PQF917533 QAB917533 QJX917533 QTT917533 RDP917533 RNL917533 RXH917533 SHD917533 SQZ917533 TAV917533 TKR917533 TUN917533 UEJ917533 UOF917533 UYB917533 VHX917533 VRT917533 WBP917533 WLL917533 WVH917533 IV983069 SR983069 ACN983069 AMJ983069 AWF983069 BGB983069 BPX983069 BZT983069 CJP983069 CTL983069 DDH983069 DND983069 DWZ983069 EGV983069 EQR983069 FAN983069 FKJ983069 FUF983069 GEB983069 GNX983069 GXT983069 HHP983069 HRL983069 IBH983069 ILD983069 IUZ983069 JEV983069 JOR983069 JYN983069 KIJ983069 KSF983069 LCB983069 LLX983069 LVT983069 MFP983069 MPL983069 MZH983069 NJD983069 NSZ983069 OCV983069 OMR983069 OWN983069 PGJ983069 PQF983069 QAB983069 QJX983069 QTT983069 RDP983069 RNL983069 RXH983069 SHD983069 SQZ983069 TAV983069 TKR983069 TUN983069 UEJ983069 UOF983069 UYB983069 VHX983069 VRT983069 WBP983069 WLL983069 WVH983069 WVH983044:WVH983045 IV4:IV5 SR4:SR5 ACN4:ACN5 AMJ4:AMJ5 AWF4:AWF5 BGB4:BGB5 BPX4:BPX5 BZT4:BZT5 CJP4:CJP5 CTL4:CTL5 DDH4:DDH5 DND4:DND5 DWZ4:DWZ5 EGV4:EGV5 EQR4:EQR5 FAN4:FAN5 FKJ4:FKJ5 FUF4:FUF5 GEB4:GEB5 GNX4:GNX5 GXT4:GXT5 HHP4:HHP5 HRL4:HRL5 IBH4:IBH5 ILD4:ILD5 IUZ4:IUZ5 JEV4:JEV5 JOR4:JOR5 JYN4:JYN5 KIJ4:KIJ5 KSF4:KSF5 LCB4:LCB5 LLX4:LLX5 LVT4:LVT5 MFP4:MFP5 MPL4:MPL5 MZH4:MZH5 NJD4:NJD5 NSZ4:NSZ5 OCV4:OCV5 OMR4:OMR5 OWN4:OWN5 PGJ4:PGJ5 PQF4:PQF5 QAB4:QAB5 QJX4:QJX5 QTT4:QTT5 RDP4:RDP5 RNL4:RNL5 RXH4:RXH5 SHD4:SHD5 SQZ4:SQZ5 TAV4:TAV5 TKR4:TKR5 TUN4:TUN5 UEJ4:UEJ5 UOF4:UOF5 UYB4:UYB5 VHX4:VHX5 VRT4:VRT5 WBP4:WBP5 WLL4:WLL5 WVH4:WVH5 IV65540:IV65541 SR65540:SR65541 ACN65540:ACN65541 AMJ65540:AMJ65541 AWF65540:AWF65541 BGB65540:BGB65541 BPX65540:BPX65541 BZT65540:BZT65541 CJP65540:CJP65541 CTL65540:CTL65541 DDH65540:DDH65541 DND65540:DND65541 DWZ65540:DWZ65541 EGV65540:EGV65541 EQR65540:EQR65541 FAN65540:FAN65541 FKJ65540:FKJ65541 FUF65540:FUF65541 GEB65540:GEB65541 GNX65540:GNX65541 GXT65540:GXT65541 HHP65540:HHP65541 HRL65540:HRL65541 IBH65540:IBH65541 ILD65540:ILD65541 IUZ65540:IUZ65541 JEV65540:JEV65541 JOR65540:JOR65541 JYN65540:JYN65541 KIJ65540:KIJ65541 KSF65540:KSF65541 LCB65540:LCB65541 LLX65540:LLX65541 LVT65540:LVT65541 MFP65540:MFP65541 MPL65540:MPL65541 MZH65540:MZH65541 NJD65540:NJD65541 NSZ65540:NSZ65541 OCV65540:OCV65541 OMR65540:OMR65541 OWN65540:OWN65541 PGJ65540:PGJ65541 PQF65540:PQF65541 QAB65540:QAB65541 QJX65540:QJX65541 QTT65540:QTT65541 RDP65540:RDP65541 RNL65540:RNL65541 RXH65540:RXH65541 SHD65540:SHD65541 SQZ65540:SQZ65541 TAV65540:TAV65541 TKR65540:TKR65541 TUN65540:TUN65541 UEJ65540:UEJ65541 UOF65540:UOF65541 UYB65540:UYB65541 VHX65540:VHX65541 VRT65540:VRT65541 WBP65540:WBP65541 WLL65540:WLL65541 WVH65540:WVH65541 IV131076:IV131077 SR131076:SR131077 ACN131076:ACN131077 AMJ131076:AMJ131077 AWF131076:AWF131077 BGB131076:BGB131077 BPX131076:BPX131077 BZT131076:BZT131077 CJP131076:CJP131077 CTL131076:CTL131077 DDH131076:DDH131077 DND131076:DND131077 DWZ131076:DWZ131077 EGV131076:EGV131077 EQR131076:EQR131077 FAN131076:FAN131077 FKJ131076:FKJ131077 FUF131076:FUF131077 GEB131076:GEB131077 GNX131076:GNX131077 GXT131076:GXT131077 HHP131076:HHP131077 HRL131076:HRL131077 IBH131076:IBH131077 ILD131076:ILD131077 IUZ131076:IUZ131077 JEV131076:JEV131077 JOR131076:JOR131077 JYN131076:JYN131077 KIJ131076:KIJ131077 KSF131076:KSF131077 LCB131076:LCB131077 LLX131076:LLX131077 LVT131076:LVT131077 MFP131076:MFP131077 MPL131076:MPL131077 MZH131076:MZH131077 NJD131076:NJD131077 NSZ131076:NSZ131077 OCV131076:OCV131077 OMR131076:OMR131077 OWN131076:OWN131077 PGJ131076:PGJ131077 PQF131076:PQF131077 QAB131076:QAB131077 QJX131076:QJX131077 QTT131076:QTT131077 RDP131076:RDP131077 RNL131076:RNL131077 RXH131076:RXH131077 SHD131076:SHD131077 SQZ131076:SQZ131077 TAV131076:TAV131077 TKR131076:TKR131077 TUN131076:TUN131077 UEJ131076:UEJ131077 UOF131076:UOF131077 UYB131076:UYB131077 VHX131076:VHX131077 VRT131076:VRT131077 WBP131076:WBP131077 WLL131076:WLL131077 WVH131076:WVH131077 IV196612:IV196613 SR196612:SR196613 ACN196612:ACN196613 AMJ196612:AMJ196613 AWF196612:AWF196613 BGB196612:BGB196613 BPX196612:BPX196613 BZT196612:BZT196613 CJP196612:CJP196613 CTL196612:CTL196613 DDH196612:DDH196613 DND196612:DND196613 DWZ196612:DWZ196613 EGV196612:EGV196613 EQR196612:EQR196613 FAN196612:FAN196613 FKJ196612:FKJ196613 FUF196612:FUF196613 GEB196612:GEB196613 GNX196612:GNX196613 GXT196612:GXT196613 HHP196612:HHP196613 HRL196612:HRL196613 IBH196612:IBH196613 ILD196612:ILD196613 IUZ196612:IUZ196613 JEV196612:JEV196613 JOR196612:JOR196613 JYN196612:JYN196613 KIJ196612:KIJ196613 KSF196612:KSF196613 LCB196612:LCB196613 LLX196612:LLX196613 LVT196612:LVT196613 MFP196612:MFP196613 MPL196612:MPL196613 MZH196612:MZH196613 NJD196612:NJD196613 NSZ196612:NSZ196613 OCV196612:OCV196613 OMR196612:OMR196613 OWN196612:OWN196613 PGJ196612:PGJ196613 PQF196612:PQF196613 QAB196612:QAB196613 QJX196612:QJX196613 QTT196612:QTT196613 RDP196612:RDP196613 RNL196612:RNL196613 RXH196612:RXH196613 SHD196612:SHD196613 SQZ196612:SQZ196613 TAV196612:TAV196613 TKR196612:TKR196613 TUN196612:TUN196613 UEJ196612:UEJ196613 UOF196612:UOF196613 UYB196612:UYB196613 VHX196612:VHX196613 VRT196612:VRT196613 WBP196612:WBP196613 WLL196612:WLL196613 WVH196612:WVH196613 IV262148:IV262149 SR262148:SR262149 ACN262148:ACN262149 AMJ262148:AMJ262149 AWF262148:AWF262149 BGB262148:BGB262149 BPX262148:BPX262149 BZT262148:BZT262149 CJP262148:CJP262149 CTL262148:CTL262149 DDH262148:DDH262149 DND262148:DND262149 DWZ262148:DWZ262149 EGV262148:EGV262149 EQR262148:EQR262149 FAN262148:FAN262149 FKJ262148:FKJ262149 FUF262148:FUF262149 GEB262148:GEB262149 GNX262148:GNX262149 GXT262148:GXT262149 HHP262148:HHP262149 HRL262148:HRL262149 IBH262148:IBH262149 ILD262148:ILD262149 IUZ262148:IUZ262149 JEV262148:JEV262149 JOR262148:JOR262149 JYN262148:JYN262149 KIJ262148:KIJ262149 KSF262148:KSF262149 LCB262148:LCB262149 LLX262148:LLX262149 LVT262148:LVT262149 MFP262148:MFP262149 MPL262148:MPL262149 MZH262148:MZH262149 NJD262148:NJD262149 NSZ262148:NSZ262149 OCV262148:OCV262149 OMR262148:OMR262149 OWN262148:OWN262149 PGJ262148:PGJ262149 PQF262148:PQF262149 QAB262148:QAB262149 QJX262148:QJX262149 QTT262148:QTT262149 RDP262148:RDP262149 RNL262148:RNL262149 RXH262148:RXH262149 SHD262148:SHD262149 SQZ262148:SQZ262149 TAV262148:TAV262149 TKR262148:TKR262149 TUN262148:TUN262149 UEJ262148:UEJ262149 UOF262148:UOF262149 UYB262148:UYB262149 VHX262148:VHX262149 VRT262148:VRT262149 WBP262148:WBP262149 WLL262148:WLL262149 WVH262148:WVH262149 IV327684:IV327685 SR327684:SR327685 ACN327684:ACN327685 AMJ327684:AMJ327685 AWF327684:AWF327685 BGB327684:BGB327685 BPX327684:BPX327685 BZT327684:BZT327685 CJP327684:CJP327685 CTL327684:CTL327685 DDH327684:DDH327685 DND327684:DND327685 DWZ327684:DWZ327685 EGV327684:EGV327685 EQR327684:EQR327685 FAN327684:FAN327685 FKJ327684:FKJ327685 FUF327684:FUF327685 GEB327684:GEB327685 GNX327684:GNX327685 GXT327684:GXT327685 HHP327684:HHP327685 HRL327684:HRL327685 IBH327684:IBH327685 ILD327684:ILD327685 IUZ327684:IUZ327685 JEV327684:JEV327685 JOR327684:JOR327685 JYN327684:JYN327685 KIJ327684:KIJ327685 KSF327684:KSF327685 LCB327684:LCB327685 LLX327684:LLX327685 LVT327684:LVT327685 MFP327684:MFP327685 MPL327684:MPL327685 MZH327684:MZH327685 NJD327684:NJD327685 NSZ327684:NSZ327685 OCV327684:OCV327685 OMR327684:OMR327685 OWN327684:OWN327685 PGJ327684:PGJ327685 PQF327684:PQF327685 QAB327684:QAB327685 QJX327684:QJX327685 QTT327684:QTT327685 RDP327684:RDP327685 RNL327684:RNL327685 RXH327684:RXH327685 SHD327684:SHD327685 SQZ327684:SQZ327685 TAV327684:TAV327685 TKR327684:TKR327685 TUN327684:TUN327685 UEJ327684:UEJ327685 UOF327684:UOF327685 UYB327684:UYB327685 VHX327684:VHX327685 VRT327684:VRT327685 WBP327684:WBP327685 WLL327684:WLL327685 WVH327684:WVH327685 IV393220:IV393221 SR393220:SR393221 ACN393220:ACN393221 AMJ393220:AMJ393221 AWF393220:AWF393221 BGB393220:BGB393221 BPX393220:BPX393221 BZT393220:BZT393221 CJP393220:CJP393221 CTL393220:CTL393221 DDH393220:DDH393221 DND393220:DND393221 DWZ393220:DWZ393221 EGV393220:EGV393221 EQR393220:EQR393221 FAN393220:FAN393221 FKJ393220:FKJ393221 FUF393220:FUF393221 GEB393220:GEB393221 GNX393220:GNX393221 GXT393220:GXT393221 HHP393220:HHP393221 HRL393220:HRL393221 IBH393220:IBH393221 ILD393220:ILD393221 IUZ393220:IUZ393221 JEV393220:JEV393221 JOR393220:JOR393221 JYN393220:JYN393221 KIJ393220:KIJ393221 KSF393220:KSF393221 LCB393220:LCB393221 LLX393220:LLX393221 LVT393220:LVT393221 MFP393220:MFP393221 MPL393220:MPL393221 MZH393220:MZH393221 NJD393220:NJD393221 NSZ393220:NSZ393221 OCV393220:OCV393221 OMR393220:OMR393221 OWN393220:OWN393221 PGJ393220:PGJ393221 PQF393220:PQF393221 QAB393220:QAB393221 QJX393220:QJX393221 QTT393220:QTT393221 RDP393220:RDP393221 RNL393220:RNL393221 RXH393220:RXH393221 SHD393220:SHD393221 SQZ393220:SQZ393221 TAV393220:TAV393221 TKR393220:TKR393221 TUN393220:TUN393221 UEJ393220:UEJ393221 UOF393220:UOF393221 UYB393220:UYB393221 VHX393220:VHX393221 VRT393220:VRT393221 WBP393220:WBP393221 WLL393220:WLL393221 WVH393220:WVH393221 IV458756:IV458757 SR458756:SR458757 ACN458756:ACN458757 AMJ458756:AMJ458757 AWF458756:AWF458757 BGB458756:BGB458757 BPX458756:BPX458757 BZT458756:BZT458757 CJP458756:CJP458757 CTL458756:CTL458757 DDH458756:DDH458757 DND458756:DND458757 DWZ458756:DWZ458757 EGV458756:EGV458757 EQR458756:EQR458757 FAN458756:FAN458757 FKJ458756:FKJ458757 FUF458756:FUF458757 GEB458756:GEB458757 GNX458756:GNX458757 GXT458756:GXT458757 HHP458756:HHP458757 HRL458756:HRL458757 IBH458756:IBH458757 ILD458756:ILD458757 IUZ458756:IUZ458757 JEV458756:JEV458757 JOR458756:JOR458757 JYN458756:JYN458757 KIJ458756:KIJ458757 KSF458756:KSF458757 LCB458756:LCB458757 LLX458756:LLX458757 LVT458756:LVT458757 MFP458756:MFP458757 MPL458756:MPL458757 MZH458756:MZH458757 NJD458756:NJD458757 NSZ458756:NSZ458757 OCV458756:OCV458757 OMR458756:OMR458757 OWN458756:OWN458757 PGJ458756:PGJ458757 PQF458756:PQF458757 QAB458756:QAB458757 QJX458756:QJX458757 QTT458756:QTT458757 RDP458756:RDP458757 RNL458756:RNL458757 RXH458756:RXH458757 SHD458756:SHD458757 SQZ458756:SQZ458757 TAV458756:TAV458757 TKR458756:TKR458757 TUN458756:TUN458757 UEJ458756:UEJ458757 UOF458756:UOF458757 UYB458756:UYB458757 VHX458756:VHX458757 VRT458756:VRT458757 WBP458756:WBP458757 WLL458756:WLL458757 WVH458756:WVH458757 IV524292:IV524293 SR524292:SR524293 ACN524292:ACN524293 AMJ524292:AMJ524293 AWF524292:AWF524293 BGB524292:BGB524293 BPX524292:BPX524293 BZT524292:BZT524293 CJP524292:CJP524293 CTL524292:CTL524293 DDH524292:DDH524293 DND524292:DND524293 DWZ524292:DWZ524293 EGV524292:EGV524293 EQR524292:EQR524293 FAN524292:FAN524293 FKJ524292:FKJ524293 FUF524292:FUF524293 GEB524292:GEB524293 GNX524292:GNX524293 GXT524292:GXT524293 HHP524292:HHP524293 HRL524292:HRL524293 IBH524292:IBH524293 ILD524292:ILD524293 IUZ524292:IUZ524293 JEV524292:JEV524293 JOR524292:JOR524293 JYN524292:JYN524293 KIJ524292:KIJ524293 KSF524292:KSF524293 LCB524292:LCB524293 LLX524292:LLX524293 LVT524292:LVT524293 MFP524292:MFP524293 MPL524292:MPL524293 MZH524292:MZH524293 NJD524292:NJD524293 NSZ524292:NSZ524293 OCV524292:OCV524293 OMR524292:OMR524293 OWN524292:OWN524293 PGJ524292:PGJ524293 PQF524292:PQF524293 QAB524292:QAB524293 QJX524292:QJX524293 QTT524292:QTT524293 RDP524292:RDP524293 RNL524292:RNL524293 RXH524292:RXH524293 SHD524292:SHD524293 SQZ524292:SQZ524293 TAV524292:TAV524293 TKR524292:TKR524293 TUN524292:TUN524293 UEJ524292:UEJ524293 UOF524292:UOF524293 UYB524292:UYB524293 VHX524292:VHX524293 VRT524292:VRT524293 WBP524292:WBP524293 WLL524292:WLL524293 WVH524292:WVH524293 IV589828:IV589829 SR589828:SR589829 ACN589828:ACN589829 AMJ589828:AMJ589829 AWF589828:AWF589829 BGB589828:BGB589829 BPX589828:BPX589829 BZT589828:BZT589829 CJP589828:CJP589829 CTL589828:CTL589829 DDH589828:DDH589829 DND589828:DND589829 DWZ589828:DWZ589829 EGV589828:EGV589829 EQR589828:EQR589829 FAN589828:FAN589829 FKJ589828:FKJ589829 FUF589828:FUF589829 GEB589828:GEB589829 GNX589828:GNX589829 GXT589828:GXT589829 HHP589828:HHP589829 HRL589828:HRL589829 IBH589828:IBH589829 ILD589828:ILD589829 IUZ589828:IUZ589829 JEV589828:JEV589829 JOR589828:JOR589829 JYN589828:JYN589829 KIJ589828:KIJ589829 KSF589828:KSF589829 LCB589828:LCB589829 LLX589828:LLX589829 LVT589828:LVT589829 MFP589828:MFP589829 MPL589828:MPL589829 MZH589828:MZH589829 NJD589828:NJD589829 NSZ589828:NSZ589829 OCV589828:OCV589829 OMR589828:OMR589829 OWN589828:OWN589829 PGJ589828:PGJ589829 PQF589828:PQF589829 QAB589828:QAB589829 QJX589828:QJX589829 QTT589828:QTT589829 RDP589828:RDP589829 RNL589828:RNL589829 RXH589828:RXH589829 SHD589828:SHD589829 SQZ589828:SQZ589829 TAV589828:TAV589829 TKR589828:TKR589829 TUN589828:TUN589829 UEJ589828:UEJ589829 UOF589828:UOF589829 UYB589828:UYB589829 VHX589828:VHX589829 VRT589828:VRT589829 WBP589828:WBP589829 WLL589828:WLL589829 WVH589828:WVH589829 IV655364:IV655365 SR655364:SR655365 ACN655364:ACN655365 AMJ655364:AMJ655365 AWF655364:AWF655365 BGB655364:BGB655365 BPX655364:BPX655365 BZT655364:BZT655365 CJP655364:CJP655365 CTL655364:CTL655365 DDH655364:DDH655365 DND655364:DND655365 DWZ655364:DWZ655365 EGV655364:EGV655365 EQR655364:EQR655365 FAN655364:FAN655365 FKJ655364:FKJ655365 FUF655364:FUF655365 GEB655364:GEB655365 GNX655364:GNX655365 GXT655364:GXT655365 HHP655364:HHP655365 HRL655364:HRL655365 IBH655364:IBH655365 ILD655364:ILD655365 IUZ655364:IUZ655365 JEV655364:JEV655365 JOR655364:JOR655365 JYN655364:JYN655365 KIJ655364:KIJ655365 KSF655364:KSF655365 LCB655364:LCB655365 LLX655364:LLX655365 LVT655364:LVT655365 MFP655364:MFP655365 MPL655364:MPL655365 MZH655364:MZH655365 NJD655364:NJD655365 NSZ655364:NSZ655365 OCV655364:OCV655365 OMR655364:OMR655365 OWN655364:OWN655365 PGJ655364:PGJ655365 PQF655364:PQF655365 QAB655364:QAB655365 QJX655364:QJX655365 QTT655364:QTT655365 RDP655364:RDP655365 RNL655364:RNL655365 RXH655364:RXH655365 SHD655364:SHD655365 SQZ655364:SQZ655365 TAV655364:TAV655365 TKR655364:TKR655365 TUN655364:TUN655365 UEJ655364:UEJ655365 UOF655364:UOF655365 UYB655364:UYB655365 VHX655364:VHX655365 VRT655364:VRT655365 WBP655364:WBP655365 WLL655364:WLL655365 WVH655364:WVH655365 IV720900:IV720901 SR720900:SR720901 ACN720900:ACN720901 AMJ720900:AMJ720901 AWF720900:AWF720901 BGB720900:BGB720901 BPX720900:BPX720901 BZT720900:BZT720901 CJP720900:CJP720901 CTL720900:CTL720901 DDH720900:DDH720901 DND720900:DND720901 DWZ720900:DWZ720901 EGV720900:EGV720901 EQR720900:EQR720901 FAN720900:FAN720901 FKJ720900:FKJ720901 FUF720900:FUF720901 GEB720900:GEB720901 GNX720900:GNX720901 GXT720900:GXT720901 HHP720900:HHP720901 HRL720900:HRL720901 IBH720900:IBH720901 ILD720900:ILD720901 IUZ720900:IUZ720901 JEV720900:JEV720901 JOR720900:JOR720901 JYN720900:JYN720901 KIJ720900:KIJ720901 KSF720900:KSF720901 LCB720900:LCB720901 LLX720900:LLX720901 LVT720900:LVT720901 MFP720900:MFP720901 MPL720900:MPL720901 MZH720900:MZH720901 NJD720900:NJD720901 NSZ720900:NSZ720901 OCV720900:OCV720901 OMR720900:OMR720901 OWN720900:OWN720901 PGJ720900:PGJ720901 PQF720900:PQF720901 QAB720900:QAB720901 QJX720900:QJX720901 QTT720900:QTT720901 RDP720900:RDP720901 RNL720900:RNL720901 RXH720900:RXH720901 SHD720900:SHD720901 SQZ720900:SQZ720901 TAV720900:TAV720901 TKR720900:TKR720901 TUN720900:TUN720901 UEJ720900:UEJ720901 UOF720900:UOF720901 UYB720900:UYB720901 VHX720900:VHX720901 VRT720900:VRT720901 WBP720900:WBP720901 WLL720900:WLL720901 WVH720900:WVH720901 IV786436:IV786437 SR786436:SR786437 ACN786436:ACN786437 AMJ786436:AMJ786437 AWF786436:AWF786437 BGB786436:BGB786437 BPX786436:BPX786437 BZT786436:BZT786437 CJP786436:CJP786437 CTL786436:CTL786437 DDH786436:DDH786437 DND786436:DND786437 DWZ786436:DWZ786437 EGV786436:EGV786437 EQR786436:EQR786437 FAN786436:FAN786437 FKJ786436:FKJ786437 FUF786436:FUF786437 GEB786436:GEB786437 GNX786436:GNX786437 GXT786436:GXT786437 HHP786436:HHP786437 HRL786436:HRL786437 IBH786436:IBH786437 ILD786436:ILD786437 IUZ786436:IUZ786437 JEV786436:JEV786437 JOR786436:JOR786437 JYN786436:JYN786437 KIJ786436:KIJ786437 KSF786436:KSF786437 LCB786436:LCB786437 LLX786436:LLX786437 LVT786436:LVT786437 MFP786436:MFP786437 MPL786436:MPL786437 MZH786436:MZH786437 NJD786436:NJD786437 NSZ786436:NSZ786437 OCV786436:OCV786437 OMR786436:OMR786437 OWN786436:OWN786437 PGJ786436:PGJ786437 PQF786436:PQF786437 QAB786436:QAB786437 QJX786436:QJX786437 QTT786436:QTT786437 RDP786436:RDP786437 RNL786436:RNL786437 RXH786436:RXH786437 SHD786436:SHD786437 SQZ786436:SQZ786437 TAV786436:TAV786437 TKR786436:TKR786437 TUN786436:TUN786437 UEJ786436:UEJ786437 UOF786436:UOF786437 UYB786436:UYB786437 VHX786436:VHX786437 VRT786436:VRT786437 WBP786436:WBP786437 WLL786436:WLL786437 WVH786436:WVH786437 IV851972:IV851973 SR851972:SR851973 ACN851972:ACN851973 AMJ851972:AMJ851973 AWF851972:AWF851973 BGB851972:BGB851973 BPX851972:BPX851973 BZT851972:BZT851973 CJP851972:CJP851973 CTL851972:CTL851973 DDH851972:DDH851973 DND851972:DND851973 DWZ851972:DWZ851973 EGV851972:EGV851973 EQR851972:EQR851973 FAN851972:FAN851973 FKJ851972:FKJ851973 FUF851972:FUF851973 GEB851972:GEB851973 GNX851972:GNX851973 GXT851972:GXT851973 HHP851972:HHP851973 HRL851972:HRL851973 IBH851972:IBH851973 ILD851972:ILD851973 IUZ851972:IUZ851973 JEV851972:JEV851973 JOR851972:JOR851973 JYN851972:JYN851973 KIJ851972:KIJ851973 KSF851972:KSF851973 LCB851972:LCB851973 LLX851972:LLX851973 LVT851972:LVT851973 MFP851972:MFP851973 MPL851972:MPL851973 MZH851972:MZH851973 NJD851972:NJD851973 NSZ851972:NSZ851973 OCV851972:OCV851973 OMR851972:OMR851973 OWN851972:OWN851973 PGJ851972:PGJ851973 PQF851972:PQF851973 QAB851972:QAB851973 QJX851972:QJX851973 QTT851972:QTT851973 RDP851972:RDP851973 RNL851972:RNL851973 RXH851972:RXH851973 SHD851972:SHD851973 SQZ851972:SQZ851973 TAV851972:TAV851973 TKR851972:TKR851973 TUN851972:TUN851973 UEJ851972:UEJ851973 UOF851972:UOF851973 UYB851972:UYB851973 VHX851972:VHX851973 VRT851972:VRT851973 WBP851972:WBP851973 WLL851972:WLL851973 WVH851972:WVH851973 IV917508:IV917509 SR917508:SR917509 ACN917508:ACN917509 AMJ917508:AMJ917509 AWF917508:AWF917509 BGB917508:BGB917509 BPX917508:BPX917509 BZT917508:BZT917509 CJP917508:CJP917509 CTL917508:CTL917509 DDH917508:DDH917509 DND917508:DND917509 DWZ917508:DWZ917509 EGV917508:EGV917509 EQR917508:EQR917509 FAN917508:FAN917509 FKJ917508:FKJ917509 FUF917508:FUF917509 GEB917508:GEB917509 GNX917508:GNX917509 GXT917508:GXT917509 HHP917508:HHP917509 HRL917508:HRL917509 IBH917508:IBH917509 ILD917508:ILD917509 IUZ917508:IUZ917509 JEV917508:JEV917509 JOR917508:JOR917509 JYN917508:JYN917509 KIJ917508:KIJ917509 KSF917508:KSF917509 LCB917508:LCB917509 LLX917508:LLX917509 LVT917508:LVT917509 MFP917508:MFP917509 MPL917508:MPL917509 MZH917508:MZH917509 NJD917508:NJD917509 NSZ917508:NSZ917509 OCV917508:OCV917509 OMR917508:OMR917509 OWN917508:OWN917509 PGJ917508:PGJ917509 PQF917508:PQF917509 QAB917508:QAB917509 QJX917508:QJX917509 QTT917508:QTT917509 RDP917508:RDP917509 RNL917508:RNL917509 RXH917508:RXH917509 SHD917508:SHD917509 SQZ917508:SQZ917509 TAV917508:TAV917509 TKR917508:TKR917509 TUN917508:TUN917509 UEJ917508:UEJ917509 UOF917508:UOF917509 UYB917508:UYB917509 VHX917508:VHX917509 VRT917508:VRT917509 WBP917508:WBP917509 WLL917508:WLL917509 WVH917508:WVH917509 IV983044:IV983045 SR983044:SR983045 ACN983044:ACN983045 AMJ983044:AMJ983045 AWF983044:AWF983045 BGB983044:BGB983045 BPX983044:BPX983045 BZT983044:BZT983045 CJP983044:CJP983045 CTL983044:CTL983045 DDH983044:DDH983045 DND983044:DND983045 DWZ983044:DWZ983045 EGV983044:EGV983045 EQR983044:EQR983045 FAN983044:FAN983045 FKJ983044:FKJ983045 FUF983044:FUF983045 GEB983044:GEB983045 GNX983044:GNX983045 GXT983044:GXT983045 HHP983044:HHP983045 HRL983044:HRL983045 IBH983044:IBH983045 ILD983044:ILD983045 IUZ983044:IUZ983045 JEV983044:JEV983045 JOR983044:JOR983045 JYN983044:JYN983045 KIJ983044:KIJ983045 KSF983044:KSF983045 LCB983044:LCB983045 LLX983044:LLX983045 LVT983044:LVT983045 MFP983044:MFP983045 MPL983044:MPL983045 MZH983044:MZH983045 NJD983044:NJD983045 NSZ983044:NSZ983045 OCV983044:OCV983045 OMR983044:OMR983045 OWN983044:OWN983045 PGJ983044:PGJ983045 PQF983044:PQF983045 QAB983044:QAB983045 QJX983044:QJX983045 QTT983044:QTT983045 RDP983044:RDP983045 RNL983044:RNL983045 RXH983044:RXH983045 SHD983044:SHD983045 SQZ983044:SQZ983045 TAV983044:TAV983045 TKR983044:TKR983045 TUN983044:TUN983045 UEJ983044:UEJ983045 UOF983044:UOF983045 UYB983044:UYB983045 VHX983044:VHX983045 VRT983044:VRT983045 WBP983044:WBP983045 WLL983044:WLL983045 D29">
      <formula1>MONTH</formula1>
    </dataValidation>
  </dataValidations>
  <hyperlinks>
    <hyperlink ref="A4" r:id="rId1"/>
  </hyperlinks>
  <pageMargins left="0.7" right="0.7" top="0.75" bottom="0.75" header="0.3" footer="0.3"/>
  <pageSetup paperSize="9" orientation="portrait"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S43"/>
  <sheetViews>
    <sheetView workbookViewId="0"/>
  </sheetViews>
  <sheetFormatPr defaultRowHeight="15"/>
  <cols>
    <col min="1" max="1" width="27" style="43" bestFit="1" customWidth="1"/>
    <col min="2" max="2" width="9.140625" style="43"/>
    <col min="3" max="3" width="12" style="43" customWidth="1"/>
    <col min="4" max="4" width="1.28515625" style="43" customWidth="1"/>
    <col min="5" max="5" width="14.140625" style="43" customWidth="1"/>
    <col min="6" max="6" width="13.5703125" style="43" customWidth="1"/>
    <col min="7" max="7" width="1.28515625" style="43" customWidth="1"/>
    <col min="8" max="8" width="9.140625" style="43"/>
    <col min="9" max="9" width="13.85546875" style="43" customWidth="1"/>
    <col min="10" max="10" width="1.28515625" style="43" customWidth="1"/>
    <col min="11" max="11" width="9.140625" style="43"/>
    <col min="12" max="12" width="13.42578125" style="43" customWidth="1"/>
    <col min="13" max="13" width="1.28515625" style="43" customWidth="1"/>
    <col min="14" max="14" width="9.140625" style="43"/>
    <col min="15" max="15" width="13.5703125" style="43" customWidth="1"/>
    <col min="16" max="16" width="1.28515625" style="43" customWidth="1"/>
    <col min="17" max="17" width="9.140625" style="43"/>
    <col min="18" max="18" width="12.28515625" style="43" customWidth="1"/>
    <col min="19" max="19" width="1.28515625" style="43" customWidth="1"/>
    <col min="20" max="20" width="9.140625" style="43"/>
    <col min="21" max="21" width="13.5703125" style="43" customWidth="1"/>
    <col min="22" max="22" width="1.28515625" style="43" customWidth="1"/>
    <col min="23" max="23" width="9.140625" style="43"/>
    <col min="24" max="24" width="13" style="43" customWidth="1"/>
    <col min="25" max="25" width="1.28515625" style="43" customWidth="1"/>
    <col min="26" max="26" width="9.140625" style="43"/>
    <col min="27" max="27" width="12.28515625" style="43" customWidth="1"/>
    <col min="28" max="28" width="1.28515625" style="43" customWidth="1"/>
    <col min="29" max="29" width="9.140625" style="43"/>
    <col min="30" max="30" width="12.42578125" style="43" customWidth="1"/>
    <col min="31" max="31" width="1.28515625" style="43" customWidth="1"/>
    <col min="32" max="32" width="9.140625" style="43"/>
    <col min="33" max="33" width="13.42578125" style="43" customWidth="1"/>
    <col min="34" max="34" width="1.28515625" style="43" customWidth="1"/>
    <col min="35" max="35" width="9.140625" style="43"/>
    <col min="36" max="36" width="12.7109375" style="43" customWidth="1"/>
    <col min="37" max="37" width="1.28515625" style="43" customWidth="1"/>
    <col min="38" max="38" width="9.140625" style="43"/>
    <col min="39" max="39" width="13.42578125" style="43" customWidth="1"/>
    <col min="40" max="40" width="1.28515625" style="43" customWidth="1"/>
    <col min="41" max="41" width="9.140625" style="43"/>
    <col min="42" max="42" width="13.28515625" style="43" customWidth="1"/>
    <col min="43" max="43" width="1.28515625" style="43" customWidth="1"/>
    <col min="44" max="44" width="9.140625" style="43"/>
    <col min="45" max="45" width="13.28515625" style="43" customWidth="1"/>
    <col min="46" max="16384" width="9.140625" style="43"/>
  </cols>
  <sheetData>
    <row r="1" spans="1:45" ht="15.75">
      <c r="A1" s="201" t="s">
        <v>1305</v>
      </c>
    </row>
    <row r="2" spans="1:45" ht="15.75">
      <c r="A2" s="222" t="str">
        <f xml:space="preserve"> TEXT(Referrals!B6,"mmm yyyy")&amp;" - "&amp;TEXT(Referrals!P6,"mmm yyyy")</f>
        <v>Apr 2020 - Jun 2021</v>
      </c>
    </row>
    <row r="3" spans="1:45">
      <c r="A3" s="202" t="s">
        <v>186</v>
      </c>
    </row>
    <row r="4" spans="1:45">
      <c r="A4" s="223" t="s">
        <v>453</v>
      </c>
    </row>
    <row r="7" spans="1:45" ht="51.75">
      <c r="A7" s="154"/>
      <c r="B7" s="224" t="s">
        <v>363</v>
      </c>
      <c r="C7" s="143" t="s">
        <v>2220</v>
      </c>
      <c r="D7" s="228"/>
      <c r="E7" s="253" t="s">
        <v>363</v>
      </c>
      <c r="F7" s="143" t="s">
        <v>2220</v>
      </c>
      <c r="G7" s="225"/>
      <c r="H7" s="224" t="s">
        <v>363</v>
      </c>
      <c r="I7" s="143" t="s">
        <v>2220</v>
      </c>
      <c r="K7" s="224" t="s">
        <v>363</v>
      </c>
      <c r="L7" s="143" t="s">
        <v>2220</v>
      </c>
      <c r="N7" s="224" t="s">
        <v>363</v>
      </c>
      <c r="O7" s="143" t="s">
        <v>2220</v>
      </c>
      <c r="Q7" s="224" t="s">
        <v>363</v>
      </c>
      <c r="R7" s="143" t="s">
        <v>2220</v>
      </c>
      <c r="T7" s="224" t="s">
        <v>363</v>
      </c>
      <c r="U7" s="143" t="s">
        <v>2220</v>
      </c>
      <c r="W7" s="224" t="s">
        <v>363</v>
      </c>
      <c r="X7" s="143" t="s">
        <v>2220</v>
      </c>
      <c r="Z7" s="224" t="s">
        <v>363</v>
      </c>
      <c r="AA7" s="143" t="s">
        <v>2220</v>
      </c>
      <c r="AC7" s="224" t="s">
        <v>363</v>
      </c>
      <c r="AD7" s="143" t="s">
        <v>2220</v>
      </c>
      <c r="AF7" s="224" t="s">
        <v>363</v>
      </c>
      <c r="AG7" s="143" t="s">
        <v>2220</v>
      </c>
      <c r="AI7" s="224" t="s">
        <v>363</v>
      </c>
      <c r="AJ7" s="143" t="s">
        <v>2220</v>
      </c>
      <c r="AL7" s="224" t="s">
        <v>363</v>
      </c>
      <c r="AM7" s="143" t="s">
        <v>2220</v>
      </c>
      <c r="AO7" s="224" t="s">
        <v>363</v>
      </c>
      <c r="AP7" s="143" t="s">
        <v>2220</v>
      </c>
      <c r="AR7" s="224" t="s">
        <v>363</v>
      </c>
      <c r="AS7" s="143" t="s">
        <v>2220</v>
      </c>
    </row>
    <row r="8" spans="1:45" ht="15" customHeight="1">
      <c r="A8" s="325"/>
      <c r="B8" s="468">
        <f>DATE(YEAR(E8),MONTH(E8)-1,DAY(E8))</f>
        <v>43922</v>
      </c>
      <c r="C8" s="469"/>
      <c r="D8" s="326"/>
      <c r="E8" s="468">
        <f>DATE(YEAR(H8),MONTH(H8)-1,DAY(H8))</f>
        <v>43952</v>
      </c>
      <c r="F8" s="469"/>
      <c r="G8" s="226"/>
      <c r="H8" s="468">
        <f>DATE(YEAR(K8),MONTH(K8)-1,DAY(K8))</f>
        <v>43983</v>
      </c>
      <c r="I8" s="469"/>
      <c r="K8" s="468">
        <f>DATE(YEAR(N8),MONTH(N8)-1,DAY(N8))</f>
        <v>44013</v>
      </c>
      <c r="L8" s="469"/>
      <c r="N8" s="468">
        <f>DATE(YEAR(Q8),MONTH(Q8)-1,DAY(Q8))</f>
        <v>44044</v>
      </c>
      <c r="O8" s="469"/>
      <c r="Q8" s="468">
        <f>DATE(YEAR(T8),MONTH(T8)-1,DAY(T8))</f>
        <v>44075</v>
      </c>
      <c r="R8" s="469"/>
      <c r="T8" s="468">
        <f>DATE(YEAR(W8),MONTH(W8)-1,DAY(W8))</f>
        <v>44105</v>
      </c>
      <c r="U8" s="469"/>
      <c r="W8" s="468">
        <f>DATE(YEAR(Z8),MONTH(Z8)-1,DAY(Z8))</f>
        <v>44136</v>
      </c>
      <c r="X8" s="469"/>
      <c r="Z8" s="468">
        <f>DATE(YEAR(AC8),MONTH(AC8)-1,DAY(AC8))</f>
        <v>44166</v>
      </c>
      <c r="AA8" s="469"/>
      <c r="AC8" s="468">
        <f>DATE(YEAR(AF8),MONTH(AF8)-1,DAY(AF8))</f>
        <v>44197</v>
      </c>
      <c r="AD8" s="469"/>
      <c r="AF8" s="468">
        <f>DATE(YEAR(AI8),MONTH(AI8)-1,DAY(AI8))</f>
        <v>44228</v>
      </c>
      <c r="AG8" s="469"/>
      <c r="AI8" s="468">
        <f>DATE(YEAR(AL8),MONTH(AL8)-1,DAY(AL8))</f>
        <v>44256</v>
      </c>
      <c r="AJ8" s="469"/>
      <c r="AL8" s="468">
        <f>DATE(YEAR(AO8),MONTH(AO8)-1,DAY(AO8))</f>
        <v>44287</v>
      </c>
      <c r="AM8" s="469"/>
      <c r="AO8" s="468">
        <f>DATE(YEAR(AR8),MONTH(AR8)-1,DAY(AR8))</f>
        <v>44317</v>
      </c>
      <c r="AP8" s="469"/>
      <c r="AR8" s="468">
        <f>REPORT_raw_dataseen!R1</f>
        <v>44348</v>
      </c>
      <c r="AS8" s="469"/>
    </row>
    <row r="9" spans="1:45">
      <c r="A9" s="327" t="s">
        <v>28</v>
      </c>
      <c r="B9" s="328">
        <v>5809</v>
      </c>
      <c r="C9" s="329">
        <v>5588</v>
      </c>
      <c r="D9" s="330"/>
      <c r="E9" s="331">
        <v>6834</v>
      </c>
      <c r="F9" s="329">
        <v>6603</v>
      </c>
      <c r="G9" s="330"/>
      <c r="H9" s="331">
        <v>9272</v>
      </c>
      <c r="I9" s="329">
        <v>8947</v>
      </c>
      <c r="J9" s="330"/>
      <c r="K9" s="331">
        <v>10443</v>
      </c>
      <c r="L9" s="329">
        <v>10182</v>
      </c>
      <c r="M9" s="330"/>
      <c r="N9" s="331">
        <v>11382</v>
      </c>
      <c r="O9" s="329">
        <v>11029</v>
      </c>
      <c r="P9" s="330"/>
      <c r="Q9" s="331">
        <v>12569</v>
      </c>
      <c r="R9" s="329">
        <v>12094</v>
      </c>
      <c r="S9" s="330"/>
      <c r="T9" s="331">
        <v>12877</v>
      </c>
      <c r="U9" s="329">
        <v>12549</v>
      </c>
      <c r="V9" s="330"/>
      <c r="W9" s="331">
        <v>13619</v>
      </c>
      <c r="X9" s="329">
        <v>13181</v>
      </c>
      <c r="Y9" s="330"/>
      <c r="Z9" s="331">
        <v>12377</v>
      </c>
      <c r="AA9" s="329">
        <v>11942</v>
      </c>
      <c r="AB9" s="330"/>
      <c r="AC9" s="331">
        <v>11634</v>
      </c>
      <c r="AD9" s="329">
        <v>11311</v>
      </c>
      <c r="AE9" s="330"/>
      <c r="AF9" s="331">
        <v>11323</v>
      </c>
      <c r="AG9" s="329">
        <v>11045</v>
      </c>
      <c r="AH9" s="330"/>
      <c r="AI9" s="331">
        <v>14582</v>
      </c>
      <c r="AJ9" s="329">
        <v>14231</v>
      </c>
      <c r="AK9" s="330"/>
      <c r="AL9" s="331">
        <v>13339</v>
      </c>
      <c r="AM9" s="329">
        <v>13116</v>
      </c>
      <c r="AN9" s="330"/>
      <c r="AO9" s="331">
        <v>13815</v>
      </c>
      <c r="AP9" s="329">
        <v>13573</v>
      </c>
      <c r="AQ9" s="330"/>
      <c r="AR9" s="331">
        <v>14796</v>
      </c>
      <c r="AS9" s="328">
        <v>14500</v>
      </c>
    </row>
    <row r="10" spans="1:45">
      <c r="A10" s="332" t="s">
        <v>136</v>
      </c>
      <c r="B10" s="333">
        <v>111</v>
      </c>
      <c r="C10" s="334">
        <v>104</v>
      </c>
      <c r="D10" s="238"/>
      <c r="E10" s="335">
        <v>217</v>
      </c>
      <c r="F10" s="334">
        <v>204</v>
      </c>
      <c r="G10" s="238"/>
      <c r="H10" s="335">
        <v>267</v>
      </c>
      <c r="I10" s="334">
        <v>250</v>
      </c>
      <c r="J10" s="238"/>
      <c r="K10" s="335">
        <v>312</v>
      </c>
      <c r="L10" s="334">
        <v>307</v>
      </c>
      <c r="M10" s="238"/>
      <c r="N10" s="335">
        <v>376</v>
      </c>
      <c r="O10" s="334">
        <v>364</v>
      </c>
      <c r="P10" s="238"/>
      <c r="Q10" s="335">
        <v>413</v>
      </c>
      <c r="R10" s="334">
        <v>401</v>
      </c>
      <c r="S10" s="238"/>
      <c r="T10" s="335">
        <v>370</v>
      </c>
      <c r="U10" s="334">
        <v>357</v>
      </c>
      <c r="V10" s="238"/>
      <c r="W10" s="335">
        <v>402</v>
      </c>
      <c r="X10" s="334">
        <v>382</v>
      </c>
      <c r="Y10" s="238"/>
      <c r="Z10" s="335">
        <v>399</v>
      </c>
      <c r="AA10" s="334">
        <v>382</v>
      </c>
      <c r="AB10" s="238"/>
      <c r="AC10" s="335">
        <v>390</v>
      </c>
      <c r="AD10" s="334">
        <v>365</v>
      </c>
      <c r="AE10" s="238"/>
      <c r="AF10" s="335">
        <v>434</v>
      </c>
      <c r="AG10" s="334">
        <v>407</v>
      </c>
      <c r="AH10" s="238"/>
      <c r="AI10" s="335">
        <v>486</v>
      </c>
      <c r="AJ10" s="334">
        <v>452</v>
      </c>
      <c r="AK10" s="238"/>
      <c r="AL10" s="335">
        <v>355</v>
      </c>
      <c r="AM10" s="334">
        <v>347</v>
      </c>
      <c r="AN10" s="238"/>
      <c r="AO10" s="335">
        <v>425</v>
      </c>
      <c r="AP10" s="334">
        <v>403</v>
      </c>
      <c r="AQ10" s="238"/>
      <c r="AR10" s="335">
        <v>469</v>
      </c>
      <c r="AS10" s="333">
        <v>455</v>
      </c>
    </row>
    <row r="11" spans="1:45">
      <c r="A11" s="332" t="s">
        <v>137</v>
      </c>
      <c r="B11" s="333">
        <v>58</v>
      </c>
      <c r="C11" s="334">
        <v>58</v>
      </c>
      <c r="D11" s="238"/>
      <c r="E11" s="335">
        <v>39</v>
      </c>
      <c r="F11" s="334">
        <v>39</v>
      </c>
      <c r="G11" s="238"/>
      <c r="H11" s="335">
        <v>43</v>
      </c>
      <c r="I11" s="334">
        <v>43</v>
      </c>
      <c r="J11" s="238"/>
      <c r="K11" s="335">
        <v>65</v>
      </c>
      <c r="L11" s="334">
        <v>62</v>
      </c>
      <c r="M11" s="238"/>
      <c r="N11" s="335">
        <v>57</v>
      </c>
      <c r="O11" s="334">
        <v>49</v>
      </c>
      <c r="P11" s="238"/>
      <c r="Q11" s="335">
        <v>84</v>
      </c>
      <c r="R11" s="334">
        <v>83</v>
      </c>
      <c r="S11" s="238"/>
      <c r="T11" s="335">
        <v>77</v>
      </c>
      <c r="U11" s="334">
        <v>74</v>
      </c>
      <c r="V11" s="238"/>
      <c r="W11" s="335">
        <v>248</v>
      </c>
      <c r="X11" s="334">
        <v>229</v>
      </c>
      <c r="Y11" s="238"/>
      <c r="Z11" s="335">
        <v>240</v>
      </c>
      <c r="AA11" s="334">
        <v>236</v>
      </c>
      <c r="AB11" s="238"/>
      <c r="AC11" s="335">
        <v>163</v>
      </c>
      <c r="AD11" s="334">
        <v>162</v>
      </c>
      <c r="AE11" s="238"/>
      <c r="AF11" s="335">
        <v>211</v>
      </c>
      <c r="AG11" s="334">
        <v>211</v>
      </c>
      <c r="AH11" s="238"/>
      <c r="AI11" s="335">
        <v>239</v>
      </c>
      <c r="AJ11" s="334">
        <v>236</v>
      </c>
      <c r="AK11" s="238"/>
      <c r="AL11" s="335">
        <v>463</v>
      </c>
      <c r="AM11" s="334">
        <v>453</v>
      </c>
      <c r="AN11" s="238"/>
      <c r="AO11" s="335">
        <v>463</v>
      </c>
      <c r="AP11" s="334">
        <v>453</v>
      </c>
      <c r="AQ11" s="238"/>
      <c r="AR11" s="335">
        <v>466</v>
      </c>
      <c r="AS11" s="333">
        <v>451</v>
      </c>
    </row>
    <row r="12" spans="1:45">
      <c r="A12" s="332" t="s">
        <v>160</v>
      </c>
      <c r="B12" s="333">
        <v>51</v>
      </c>
      <c r="C12" s="334">
        <v>44</v>
      </c>
      <c r="D12" s="238"/>
      <c r="E12" s="335">
        <v>25</v>
      </c>
      <c r="F12" s="334">
        <v>25</v>
      </c>
      <c r="G12" s="238"/>
      <c r="H12" s="335">
        <v>46</v>
      </c>
      <c r="I12" s="334">
        <v>43</v>
      </c>
      <c r="J12" s="238"/>
      <c r="K12" s="335">
        <v>104</v>
      </c>
      <c r="L12" s="334">
        <v>100</v>
      </c>
      <c r="M12" s="238"/>
      <c r="N12" s="335">
        <v>116</v>
      </c>
      <c r="O12" s="334">
        <v>113</v>
      </c>
      <c r="P12" s="238"/>
      <c r="Q12" s="335">
        <v>248</v>
      </c>
      <c r="R12" s="334">
        <v>244</v>
      </c>
      <c r="S12" s="238"/>
      <c r="T12" s="335">
        <v>252</v>
      </c>
      <c r="U12" s="334">
        <v>249</v>
      </c>
      <c r="V12" s="238"/>
      <c r="W12" s="335">
        <v>278</v>
      </c>
      <c r="X12" s="334">
        <v>268</v>
      </c>
      <c r="Y12" s="238"/>
      <c r="Z12" s="335">
        <v>278</v>
      </c>
      <c r="AA12" s="334">
        <v>272</v>
      </c>
      <c r="AB12" s="238"/>
      <c r="AC12" s="335">
        <v>253</v>
      </c>
      <c r="AD12" s="334">
        <v>244</v>
      </c>
      <c r="AE12" s="238"/>
      <c r="AF12" s="335">
        <v>219</v>
      </c>
      <c r="AG12" s="334">
        <v>215</v>
      </c>
      <c r="AH12" s="238"/>
      <c r="AI12" s="335">
        <v>281</v>
      </c>
      <c r="AJ12" s="334">
        <v>279</v>
      </c>
      <c r="AK12" s="238"/>
      <c r="AL12" s="335">
        <v>340</v>
      </c>
      <c r="AM12" s="334">
        <v>332</v>
      </c>
      <c r="AN12" s="238"/>
      <c r="AO12" s="335">
        <v>282</v>
      </c>
      <c r="AP12" s="334">
        <v>274</v>
      </c>
      <c r="AQ12" s="238"/>
      <c r="AR12" s="335">
        <v>370</v>
      </c>
      <c r="AS12" s="333">
        <v>361</v>
      </c>
    </row>
    <row r="13" spans="1:45">
      <c r="A13" s="332" t="s">
        <v>138</v>
      </c>
      <c r="B13" s="333">
        <v>174</v>
      </c>
      <c r="C13" s="334">
        <v>151</v>
      </c>
      <c r="D13" s="238"/>
      <c r="E13" s="335">
        <v>213</v>
      </c>
      <c r="F13" s="334">
        <v>179</v>
      </c>
      <c r="G13" s="238"/>
      <c r="H13" s="335">
        <v>336</v>
      </c>
      <c r="I13" s="334">
        <v>303</v>
      </c>
      <c r="J13" s="238"/>
      <c r="K13" s="335">
        <v>455</v>
      </c>
      <c r="L13" s="334">
        <v>426</v>
      </c>
      <c r="M13" s="238"/>
      <c r="N13" s="335">
        <v>804</v>
      </c>
      <c r="O13" s="334">
        <v>738</v>
      </c>
      <c r="P13" s="238"/>
      <c r="Q13" s="335">
        <v>828</v>
      </c>
      <c r="R13" s="334">
        <v>744</v>
      </c>
      <c r="S13" s="238"/>
      <c r="T13" s="335">
        <v>889</v>
      </c>
      <c r="U13" s="334">
        <v>843</v>
      </c>
      <c r="V13" s="238"/>
      <c r="W13" s="335">
        <v>961</v>
      </c>
      <c r="X13" s="334">
        <v>905</v>
      </c>
      <c r="Y13" s="238"/>
      <c r="Z13" s="335">
        <v>772</v>
      </c>
      <c r="AA13" s="334">
        <v>707</v>
      </c>
      <c r="AB13" s="238"/>
      <c r="AC13" s="335">
        <v>635</v>
      </c>
      <c r="AD13" s="334">
        <v>595</v>
      </c>
      <c r="AE13" s="238"/>
      <c r="AF13" s="335">
        <v>742</v>
      </c>
      <c r="AG13" s="334">
        <v>690</v>
      </c>
      <c r="AH13" s="238"/>
      <c r="AI13" s="335">
        <v>995</v>
      </c>
      <c r="AJ13" s="334">
        <v>938</v>
      </c>
      <c r="AK13" s="238"/>
      <c r="AL13" s="335">
        <v>939</v>
      </c>
      <c r="AM13" s="334">
        <v>874</v>
      </c>
      <c r="AN13" s="238"/>
      <c r="AO13" s="335">
        <v>979</v>
      </c>
      <c r="AP13" s="334">
        <v>914</v>
      </c>
      <c r="AQ13" s="238"/>
      <c r="AR13" s="335">
        <v>1046</v>
      </c>
      <c r="AS13" s="333">
        <v>986</v>
      </c>
    </row>
    <row r="14" spans="1:45">
      <c r="A14" s="332" t="s">
        <v>139</v>
      </c>
      <c r="B14" s="333">
        <v>196</v>
      </c>
      <c r="C14" s="334">
        <v>193</v>
      </c>
      <c r="D14" s="238"/>
      <c r="E14" s="335">
        <v>256</v>
      </c>
      <c r="F14" s="334">
        <v>246</v>
      </c>
      <c r="G14" s="238"/>
      <c r="H14" s="335">
        <v>349</v>
      </c>
      <c r="I14" s="334">
        <v>340</v>
      </c>
      <c r="J14" s="238"/>
      <c r="K14" s="335">
        <v>371</v>
      </c>
      <c r="L14" s="334">
        <v>361</v>
      </c>
      <c r="M14" s="238"/>
      <c r="N14" s="335">
        <v>482</v>
      </c>
      <c r="O14" s="334">
        <v>452</v>
      </c>
      <c r="P14" s="238"/>
      <c r="Q14" s="335">
        <v>479</v>
      </c>
      <c r="R14" s="334">
        <v>474</v>
      </c>
      <c r="S14" s="238"/>
      <c r="T14" s="335">
        <v>647</v>
      </c>
      <c r="U14" s="334">
        <v>638</v>
      </c>
      <c r="V14" s="238"/>
      <c r="W14" s="335">
        <v>632</v>
      </c>
      <c r="X14" s="334">
        <v>605</v>
      </c>
      <c r="Y14" s="238"/>
      <c r="Z14" s="335">
        <v>491</v>
      </c>
      <c r="AA14" s="334">
        <v>473</v>
      </c>
      <c r="AB14" s="238"/>
      <c r="AC14" s="335">
        <v>501</v>
      </c>
      <c r="AD14" s="334">
        <v>469</v>
      </c>
      <c r="AE14" s="238"/>
      <c r="AF14" s="335">
        <v>394</v>
      </c>
      <c r="AG14" s="334">
        <v>375</v>
      </c>
      <c r="AH14" s="238"/>
      <c r="AI14" s="335">
        <v>477</v>
      </c>
      <c r="AJ14" s="334">
        <v>466</v>
      </c>
      <c r="AK14" s="238"/>
      <c r="AL14" s="335">
        <v>409</v>
      </c>
      <c r="AM14" s="334">
        <v>387</v>
      </c>
      <c r="AN14" s="238"/>
      <c r="AO14" s="335">
        <v>409</v>
      </c>
      <c r="AP14" s="334">
        <v>398</v>
      </c>
      <c r="AQ14" s="238"/>
      <c r="AR14" s="335">
        <v>453</v>
      </c>
      <c r="AS14" s="333">
        <v>425</v>
      </c>
    </row>
    <row r="15" spans="1:45">
      <c r="A15" s="332" t="s">
        <v>140</v>
      </c>
      <c r="B15" s="333">
        <v>158</v>
      </c>
      <c r="C15" s="334">
        <v>158</v>
      </c>
      <c r="D15" s="238"/>
      <c r="E15" s="335">
        <v>325</v>
      </c>
      <c r="F15" s="334">
        <v>325</v>
      </c>
      <c r="G15" s="238"/>
      <c r="H15" s="335">
        <v>457</v>
      </c>
      <c r="I15" s="334">
        <v>457</v>
      </c>
      <c r="J15" s="238"/>
      <c r="K15" s="335">
        <v>488</v>
      </c>
      <c r="L15" s="334">
        <v>488</v>
      </c>
      <c r="M15" s="238"/>
      <c r="N15" s="335">
        <v>494</v>
      </c>
      <c r="O15" s="334">
        <v>494</v>
      </c>
      <c r="P15" s="238"/>
      <c r="Q15" s="335">
        <v>588</v>
      </c>
      <c r="R15" s="334">
        <v>588</v>
      </c>
      <c r="S15" s="238"/>
      <c r="T15" s="335">
        <v>576</v>
      </c>
      <c r="U15" s="334">
        <v>576</v>
      </c>
      <c r="V15" s="238"/>
      <c r="W15" s="335">
        <v>744</v>
      </c>
      <c r="X15" s="334">
        <v>744</v>
      </c>
      <c r="Y15" s="238"/>
      <c r="Z15" s="335">
        <v>697</v>
      </c>
      <c r="AA15" s="334">
        <v>697</v>
      </c>
      <c r="AB15" s="238"/>
      <c r="AC15" s="335">
        <v>535</v>
      </c>
      <c r="AD15" s="334">
        <v>535</v>
      </c>
      <c r="AE15" s="238"/>
      <c r="AF15" s="335">
        <v>631</v>
      </c>
      <c r="AG15" s="334">
        <v>631</v>
      </c>
      <c r="AH15" s="238"/>
      <c r="AI15" s="335">
        <v>848</v>
      </c>
      <c r="AJ15" s="334">
        <v>848</v>
      </c>
      <c r="AK15" s="238"/>
      <c r="AL15" s="335">
        <v>768</v>
      </c>
      <c r="AM15" s="334">
        <v>768</v>
      </c>
      <c r="AN15" s="238"/>
      <c r="AO15" s="335">
        <v>935</v>
      </c>
      <c r="AP15" s="334">
        <v>935</v>
      </c>
      <c r="AQ15" s="238"/>
      <c r="AR15" s="335">
        <v>946</v>
      </c>
      <c r="AS15" s="333">
        <v>946</v>
      </c>
    </row>
    <row r="16" spans="1:45">
      <c r="A16" s="332" t="s">
        <v>141</v>
      </c>
      <c r="B16" s="333">
        <v>2464</v>
      </c>
      <c r="C16" s="334">
        <v>2464</v>
      </c>
      <c r="D16" s="238"/>
      <c r="E16" s="335">
        <v>3460</v>
      </c>
      <c r="F16" s="334">
        <v>3460</v>
      </c>
      <c r="G16" s="238"/>
      <c r="H16" s="335">
        <v>4717</v>
      </c>
      <c r="I16" s="334">
        <v>4717</v>
      </c>
      <c r="J16" s="238"/>
      <c r="K16" s="335">
        <v>5331</v>
      </c>
      <c r="L16" s="334">
        <v>5331</v>
      </c>
      <c r="M16" s="238"/>
      <c r="N16" s="335">
        <v>5623</v>
      </c>
      <c r="O16" s="334">
        <v>5623</v>
      </c>
      <c r="P16" s="238"/>
      <c r="Q16" s="335">
        <v>6142</v>
      </c>
      <c r="R16" s="334">
        <v>6142</v>
      </c>
      <c r="S16" s="238"/>
      <c r="T16" s="335">
        <v>6272</v>
      </c>
      <c r="U16" s="334">
        <v>6272</v>
      </c>
      <c r="V16" s="238"/>
      <c r="W16" s="335">
        <v>6205</v>
      </c>
      <c r="X16" s="334">
        <v>6205</v>
      </c>
      <c r="Y16" s="238"/>
      <c r="Z16" s="335">
        <v>5974</v>
      </c>
      <c r="AA16" s="334">
        <v>5974</v>
      </c>
      <c r="AB16" s="238"/>
      <c r="AC16" s="335">
        <v>5777</v>
      </c>
      <c r="AD16" s="334">
        <v>5777</v>
      </c>
      <c r="AE16" s="238"/>
      <c r="AF16" s="335">
        <v>5224</v>
      </c>
      <c r="AG16" s="334">
        <v>5224</v>
      </c>
      <c r="AH16" s="238"/>
      <c r="AI16" s="335">
        <v>6777</v>
      </c>
      <c r="AJ16" s="334">
        <v>6777</v>
      </c>
      <c r="AK16" s="238"/>
      <c r="AL16" s="335">
        <v>5917</v>
      </c>
      <c r="AM16" s="334">
        <v>5917</v>
      </c>
      <c r="AN16" s="238"/>
      <c r="AO16" s="335">
        <v>6187</v>
      </c>
      <c r="AP16" s="334">
        <v>6187</v>
      </c>
      <c r="AQ16" s="238"/>
      <c r="AR16" s="335">
        <v>6556</v>
      </c>
      <c r="AS16" s="333">
        <v>6556</v>
      </c>
    </row>
    <row r="17" spans="1:45">
      <c r="A17" s="332" t="s">
        <v>142</v>
      </c>
      <c r="B17" s="333">
        <v>169</v>
      </c>
      <c r="C17" s="334">
        <v>168</v>
      </c>
      <c r="D17" s="238"/>
      <c r="E17" s="335">
        <v>145</v>
      </c>
      <c r="F17" s="334">
        <v>145</v>
      </c>
      <c r="G17" s="238"/>
      <c r="H17" s="335">
        <v>275</v>
      </c>
      <c r="I17" s="334">
        <v>272</v>
      </c>
      <c r="J17" s="238"/>
      <c r="K17" s="335">
        <v>298</v>
      </c>
      <c r="L17" s="334">
        <v>298</v>
      </c>
      <c r="M17" s="238"/>
      <c r="N17" s="335">
        <v>295</v>
      </c>
      <c r="O17" s="334">
        <v>295</v>
      </c>
      <c r="P17" s="238"/>
      <c r="Q17" s="335">
        <v>279</v>
      </c>
      <c r="R17" s="334">
        <v>272</v>
      </c>
      <c r="S17" s="238"/>
      <c r="T17" s="335">
        <v>225</v>
      </c>
      <c r="U17" s="334">
        <v>218</v>
      </c>
      <c r="V17" s="238"/>
      <c r="W17" s="335">
        <v>344</v>
      </c>
      <c r="X17" s="334">
        <v>342</v>
      </c>
      <c r="Y17" s="238"/>
      <c r="Z17" s="335">
        <v>238</v>
      </c>
      <c r="AA17" s="334">
        <v>237</v>
      </c>
      <c r="AB17" s="238"/>
      <c r="AC17" s="335">
        <v>259</v>
      </c>
      <c r="AD17" s="334">
        <v>255</v>
      </c>
      <c r="AE17" s="238"/>
      <c r="AF17" s="335">
        <v>297</v>
      </c>
      <c r="AG17" s="334">
        <v>291</v>
      </c>
      <c r="AH17" s="238"/>
      <c r="AI17" s="335">
        <v>500</v>
      </c>
      <c r="AJ17" s="334">
        <v>492</v>
      </c>
      <c r="AK17" s="238"/>
      <c r="AL17" s="335">
        <v>557</v>
      </c>
      <c r="AM17" s="334">
        <v>557</v>
      </c>
      <c r="AN17" s="238"/>
      <c r="AO17" s="335">
        <v>541</v>
      </c>
      <c r="AP17" s="334">
        <v>540</v>
      </c>
      <c r="AQ17" s="238"/>
      <c r="AR17" s="335">
        <v>693</v>
      </c>
      <c r="AS17" s="333">
        <v>684</v>
      </c>
    </row>
    <row r="18" spans="1:45">
      <c r="A18" s="332" t="s">
        <v>192</v>
      </c>
      <c r="B18" s="333">
        <v>447</v>
      </c>
      <c r="C18" s="334">
        <v>330</v>
      </c>
      <c r="D18" s="238"/>
      <c r="E18" s="335">
        <v>670</v>
      </c>
      <c r="F18" s="334">
        <v>566</v>
      </c>
      <c r="G18" s="238"/>
      <c r="H18" s="335">
        <v>861</v>
      </c>
      <c r="I18" s="334">
        <v>715</v>
      </c>
      <c r="J18" s="238"/>
      <c r="K18" s="335">
        <v>956</v>
      </c>
      <c r="L18" s="334">
        <v>834</v>
      </c>
      <c r="M18" s="238"/>
      <c r="N18" s="335">
        <v>1107</v>
      </c>
      <c r="O18" s="334">
        <v>963</v>
      </c>
      <c r="P18" s="238"/>
      <c r="Q18" s="335">
        <v>1296</v>
      </c>
      <c r="R18" s="334">
        <v>1051</v>
      </c>
      <c r="S18" s="238"/>
      <c r="T18" s="335">
        <v>1126</v>
      </c>
      <c r="U18" s="334">
        <v>960</v>
      </c>
      <c r="V18" s="238"/>
      <c r="W18" s="335">
        <v>1401</v>
      </c>
      <c r="X18" s="334">
        <v>1201</v>
      </c>
      <c r="Y18" s="238"/>
      <c r="Z18" s="335">
        <v>1282</v>
      </c>
      <c r="AA18" s="334">
        <v>1050</v>
      </c>
      <c r="AB18" s="238"/>
      <c r="AC18" s="335">
        <v>1060</v>
      </c>
      <c r="AD18" s="334">
        <v>926</v>
      </c>
      <c r="AE18" s="238"/>
      <c r="AF18" s="335">
        <v>1116</v>
      </c>
      <c r="AG18" s="334">
        <v>995</v>
      </c>
      <c r="AH18" s="238"/>
      <c r="AI18" s="335">
        <v>1407</v>
      </c>
      <c r="AJ18" s="334">
        <v>1242</v>
      </c>
      <c r="AK18" s="238"/>
      <c r="AL18" s="335">
        <v>1296</v>
      </c>
      <c r="AM18" s="334">
        <v>1251</v>
      </c>
      <c r="AN18" s="238"/>
      <c r="AO18" s="335">
        <v>1353</v>
      </c>
      <c r="AP18" s="334">
        <v>1292</v>
      </c>
      <c r="AQ18" s="238"/>
      <c r="AR18" s="335">
        <v>1316</v>
      </c>
      <c r="AS18" s="333">
        <v>1224</v>
      </c>
    </row>
    <row r="19" spans="1:45">
      <c r="A19" s="332" t="s">
        <v>143</v>
      </c>
      <c r="B19" s="333">
        <v>1586</v>
      </c>
      <c r="C19" s="334">
        <v>1573</v>
      </c>
      <c r="D19" s="238"/>
      <c r="E19" s="335">
        <v>976</v>
      </c>
      <c r="F19" s="334">
        <v>967</v>
      </c>
      <c r="G19" s="238"/>
      <c r="H19" s="335">
        <v>1278</v>
      </c>
      <c r="I19" s="334">
        <v>1255</v>
      </c>
      <c r="J19" s="238"/>
      <c r="K19" s="335">
        <v>1318</v>
      </c>
      <c r="L19" s="334">
        <v>1296</v>
      </c>
      <c r="M19" s="238"/>
      <c r="N19" s="335">
        <v>1300</v>
      </c>
      <c r="O19" s="334">
        <v>1280</v>
      </c>
      <c r="P19" s="238"/>
      <c r="Q19" s="335">
        <v>1363</v>
      </c>
      <c r="R19" s="334">
        <v>1343</v>
      </c>
      <c r="S19" s="238"/>
      <c r="T19" s="335">
        <v>1743</v>
      </c>
      <c r="U19" s="334">
        <v>1704</v>
      </c>
      <c r="V19" s="238"/>
      <c r="W19" s="335">
        <v>1604</v>
      </c>
      <c r="X19" s="334">
        <v>1575</v>
      </c>
      <c r="Y19" s="238"/>
      <c r="Z19" s="335">
        <v>1358</v>
      </c>
      <c r="AA19" s="334">
        <v>1322</v>
      </c>
      <c r="AB19" s="238"/>
      <c r="AC19" s="335">
        <v>1311</v>
      </c>
      <c r="AD19" s="334">
        <v>1289</v>
      </c>
      <c r="AE19" s="238"/>
      <c r="AF19" s="335">
        <v>1455</v>
      </c>
      <c r="AG19" s="334">
        <v>1440</v>
      </c>
      <c r="AH19" s="238"/>
      <c r="AI19" s="335">
        <v>1862</v>
      </c>
      <c r="AJ19" s="334">
        <v>1844</v>
      </c>
      <c r="AK19" s="238"/>
      <c r="AL19" s="335">
        <v>1615</v>
      </c>
      <c r="AM19" s="334">
        <v>1592</v>
      </c>
      <c r="AN19" s="238"/>
      <c r="AO19" s="335">
        <v>1540</v>
      </c>
      <c r="AP19" s="334">
        <v>1521</v>
      </c>
      <c r="AQ19" s="238"/>
      <c r="AR19" s="335">
        <v>1595</v>
      </c>
      <c r="AS19" s="333">
        <v>1562</v>
      </c>
    </row>
    <row r="20" spans="1:45">
      <c r="A20" s="332" t="s">
        <v>146</v>
      </c>
      <c r="B20" s="333">
        <v>317</v>
      </c>
      <c r="C20" s="334">
        <v>305</v>
      </c>
      <c r="D20" s="238"/>
      <c r="E20" s="335">
        <v>378</v>
      </c>
      <c r="F20" s="334">
        <v>365</v>
      </c>
      <c r="G20" s="238"/>
      <c r="H20" s="335">
        <v>476</v>
      </c>
      <c r="I20" s="334">
        <v>435</v>
      </c>
      <c r="J20" s="238"/>
      <c r="K20" s="335">
        <v>605</v>
      </c>
      <c r="L20" s="334">
        <v>574</v>
      </c>
      <c r="M20" s="238"/>
      <c r="N20" s="335">
        <v>579</v>
      </c>
      <c r="O20" s="334">
        <v>553</v>
      </c>
      <c r="P20" s="238"/>
      <c r="Q20" s="335">
        <v>631</v>
      </c>
      <c r="R20" s="334">
        <v>594</v>
      </c>
      <c r="S20" s="238"/>
      <c r="T20" s="335">
        <v>635</v>
      </c>
      <c r="U20" s="334">
        <v>597</v>
      </c>
      <c r="V20" s="238"/>
      <c r="W20" s="335">
        <v>619</v>
      </c>
      <c r="X20" s="334">
        <v>584</v>
      </c>
      <c r="Y20" s="238"/>
      <c r="Z20" s="335">
        <v>507</v>
      </c>
      <c r="AA20" s="334">
        <v>477</v>
      </c>
      <c r="AB20" s="238"/>
      <c r="AC20" s="335">
        <v>605</v>
      </c>
      <c r="AD20" s="334">
        <v>580</v>
      </c>
      <c r="AE20" s="238"/>
      <c r="AF20" s="335">
        <v>553</v>
      </c>
      <c r="AG20" s="334">
        <v>519</v>
      </c>
      <c r="AH20" s="238"/>
      <c r="AI20" s="335">
        <v>645</v>
      </c>
      <c r="AJ20" s="334">
        <v>592</v>
      </c>
      <c r="AK20" s="238"/>
      <c r="AL20" s="335">
        <v>620</v>
      </c>
      <c r="AM20" s="334">
        <v>578</v>
      </c>
      <c r="AN20" s="238"/>
      <c r="AO20" s="335">
        <v>649</v>
      </c>
      <c r="AP20" s="334">
        <v>604</v>
      </c>
      <c r="AQ20" s="238"/>
      <c r="AR20" s="335">
        <v>835</v>
      </c>
      <c r="AS20" s="333">
        <v>799</v>
      </c>
    </row>
    <row r="21" spans="1:45">
      <c r="A21" s="332" t="s">
        <v>328</v>
      </c>
      <c r="B21" s="333">
        <v>75</v>
      </c>
      <c r="C21" s="334">
        <v>38</v>
      </c>
      <c r="D21" s="238"/>
      <c r="E21" s="335">
        <v>98</v>
      </c>
      <c r="F21" s="334">
        <v>51</v>
      </c>
      <c r="G21" s="238"/>
      <c r="H21" s="335">
        <v>136</v>
      </c>
      <c r="I21" s="334">
        <v>86</v>
      </c>
      <c r="J21" s="238"/>
      <c r="K21" s="335">
        <v>116</v>
      </c>
      <c r="L21" s="334">
        <v>81</v>
      </c>
      <c r="M21" s="238"/>
      <c r="N21" s="335">
        <v>113</v>
      </c>
      <c r="O21" s="334">
        <v>69</v>
      </c>
      <c r="P21" s="238"/>
      <c r="Q21" s="335">
        <v>151</v>
      </c>
      <c r="R21" s="334">
        <v>91</v>
      </c>
      <c r="S21" s="238"/>
      <c r="T21" s="335" t="s">
        <v>315</v>
      </c>
      <c r="U21" s="334" t="s">
        <v>315</v>
      </c>
      <c r="V21" s="238"/>
      <c r="W21" s="335">
        <v>136</v>
      </c>
      <c r="X21" s="334">
        <v>98</v>
      </c>
      <c r="Y21" s="238"/>
      <c r="Z21" s="335">
        <v>87</v>
      </c>
      <c r="AA21" s="334">
        <v>61</v>
      </c>
      <c r="AB21" s="238"/>
      <c r="AC21" s="335">
        <v>107</v>
      </c>
      <c r="AD21" s="334">
        <v>76</v>
      </c>
      <c r="AE21" s="238"/>
      <c r="AF21" s="335" t="s">
        <v>315</v>
      </c>
      <c r="AG21" s="334" t="s">
        <v>315</v>
      </c>
      <c r="AH21" s="238"/>
      <c r="AI21" s="335" t="s">
        <v>422</v>
      </c>
      <c r="AJ21" s="334" t="s">
        <v>422</v>
      </c>
      <c r="AK21" s="238"/>
      <c r="AL21" s="335" t="s">
        <v>422</v>
      </c>
      <c r="AM21" s="334" t="s">
        <v>422</v>
      </c>
      <c r="AN21" s="238"/>
      <c r="AO21" s="335" t="s">
        <v>422</v>
      </c>
      <c r="AP21" s="334" t="s">
        <v>422</v>
      </c>
      <c r="AQ21" s="238"/>
      <c r="AR21" s="335" t="s">
        <v>422</v>
      </c>
      <c r="AS21" s="333" t="s">
        <v>422</v>
      </c>
    </row>
    <row r="22" spans="1:45">
      <c r="A22" s="332" t="s">
        <v>327</v>
      </c>
      <c r="B22" s="333">
        <v>3</v>
      </c>
      <c r="C22" s="334">
        <v>2</v>
      </c>
      <c r="D22" s="238"/>
      <c r="E22" s="335">
        <v>32</v>
      </c>
      <c r="F22" s="334">
        <v>31</v>
      </c>
      <c r="G22" s="238"/>
      <c r="H22" s="335">
        <v>31</v>
      </c>
      <c r="I22" s="334">
        <v>31</v>
      </c>
      <c r="J22" s="238"/>
      <c r="K22" s="335">
        <v>24</v>
      </c>
      <c r="L22" s="334">
        <v>24</v>
      </c>
      <c r="M22" s="238"/>
      <c r="N22" s="335">
        <v>36</v>
      </c>
      <c r="O22" s="334">
        <v>36</v>
      </c>
      <c r="P22" s="238"/>
      <c r="Q22" s="335">
        <v>67</v>
      </c>
      <c r="R22" s="334">
        <v>67</v>
      </c>
      <c r="S22" s="238"/>
      <c r="T22" s="335">
        <v>65</v>
      </c>
      <c r="U22" s="334">
        <v>61</v>
      </c>
      <c r="V22" s="238"/>
      <c r="W22" s="335">
        <v>45</v>
      </c>
      <c r="X22" s="334">
        <v>43</v>
      </c>
      <c r="Y22" s="238"/>
      <c r="Z22" s="335">
        <v>54</v>
      </c>
      <c r="AA22" s="334">
        <v>54</v>
      </c>
      <c r="AB22" s="238"/>
      <c r="AC22" s="335">
        <v>38</v>
      </c>
      <c r="AD22" s="334">
        <v>38</v>
      </c>
      <c r="AE22" s="238"/>
      <c r="AF22" s="335">
        <v>47</v>
      </c>
      <c r="AG22" s="334">
        <v>47</v>
      </c>
      <c r="AH22" s="238"/>
      <c r="AI22" s="335">
        <v>65</v>
      </c>
      <c r="AJ22" s="334">
        <v>65</v>
      </c>
      <c r="AK22" s="238"/>
      <c r="AL22" s="335">
        <v>60</v>
      </c>
      <c r="AM22" s="334">
        <v>60</v>
      </c>
      <c r="AN22" s="238"/>
      <c r="AO22" s="335">
        <v>52</v>
      </c>
      <c r="AP22" s="334">
        <v>52</v>
      </c>
      <c r="AQ22" s="238"/>
      <c r="AR22" s="335">
        <v>51</v>
      </c>
      <c r="AS22" s="333">
        <v>51</v>
      </c>
    </row>
    <row r="23" spans="1:45">
      <c r="A23" s="171"/>
      <c r="B23" s="239"/>
      <c r="C23" s="239"/>
      <c r="D23" s="239"/>
      <c r="E23" s="239"/>
      <c r="F23" s="239"/>
      <c r="G23" s="239"/>
      <c r="H23" s="240"/>
      <c r="I23" s="240"/>
      <c r="J23" s="241"/>
      <c r="K23" s="240"/>
      <c r="L23" s="240"/>
      <c r="M23" s="241"/>
      <c r="N23" s="240"/>
      <c r="O23" s="240"/>
      <c r="P23" s="241"/>
      <c r="Q23" s="240"/>
      <c r="R23" s="240"/>
      <c r="S23" s="241"/>
      <c r="T23" s="240"/>
      <c r="U23" s="240"/>
      <c r="V23" s="241"/>
      <c r="W23" s="240"/>
      <c r="X23" s="240"/>
      <c r="Y23" s="241"/>
      <c r="Z23" s="240"/>
      <c r="AA23" s="240"/>
      <c r="AB23" s="241"/>
      <c r="AC23" s="240"/>
      <c r="AD23" s="240"/>
      <c r="AE23" s="241"/>
      <c r="AF23" s="240"/>
      <c r="AG23" s="240"/>
      <c r="AH23" s="241"/>
      <c r="AI23" s="240"/>
      <c r="AJ23" s="240"/>
      <c r="AK23" s="241"/>
      <c r="AL23" s="240"/>
      <c r="AM23" s="240"/>
      <c r="AN23" s="241"/>
      <c r="AO23" s="240"/>
      <c r="AP23" s="240"/>
      <c r="AQ23" s="241"/>
      <c r="AR23" s="240"/>
      <c r="AS23" s="240"/>
    </row>
    <row r="24" spans="1:45">
      <c r="A24" s="227" t="s">
        <v>364</v>
      </c>
      <c r="B24" s="239"/>
      <c r="C24" s="239"/>
      <c r="D24" s="239"/>
      <c r="E24" s="239"/>
      <c r="F24" s="239"/>
      <c r="G24" s="239"/>
      <c r="H24" s="240"/>
      <c r="I24" s="240"/>
      <c r="J24" s="241"/>
      <c r="K24" s="240"/>
      <c r="L24" s="240"/>
      <c r="M24" s="241"/>
      <c r="N24" s="240"/>
      <c r="O24" s="240"/>
      <c r="P24" s="241"/>
      <c r="Q24" s="240"/>
      <c r="R24" s="240"/>
      <c r="S24" s="241"/>
      <c r="T24" s="240"/>
      <c r="U24" s="240"/>
      <c r="V24" s="241"/>
      <c r="W24" s="240"/>
      <c r="X24" s="240"/>
      <c r="Y24" s="241"/>
      <c r="Z24" s="240"/>
      <c r="AA24" s="240"/>
      <c r="AB24" s="241"/>
      <c r="AC24" s="240"/>
      <c r="AD24" s="240"/>
      <c r="AE24" s="241"/>
      <c r="AF24" s="240"/>
      <c r="AG24" s="240"/>
      <c r="AH24" s="241"/>
      <c r="AI24" s="240"/>
      <c r="AJ24" s="240"/>
      <c r="AK24" s="241"/>
      <c r="AL24" s="240"/>
      <c r="AM24" s="240"/>
      <c r="AN24" s="241"/>
      <c r="AO24" s="240"/>
      <c r="AP24" s="240"/>
      <c r="AQ24" s="241"/>
      <c r="AR24" s="240"/>
      <c r="AS24" s="240"/>
    </row>
    <row r="25" spans="1:45">
      <c r="A25" s="227"/>
      <c r="B25" s="242"/>
      <c r="C25" s="242"/>
      <c r="D25" s="242"/>
      <c r="E25" s="242"/>
      <c r="F25" s="242"/>
      <c r="G25" s="242"/>
      <c r="H25" s="240"/>
      <c r="I25" s="240"/>
      <c r="J25" s="241"/>
      <c r="K25" s="240"/>
      <c r="L25" s="240"/>
      <c r="M25" s="241"/>
      <c r="N25" s="240"/>
      <c r="O25" s="240"/>
      <c r="P25" s="241"/>
      <c r="Q25" s="240"/>
      <c r="R25" s="240"/>
      <c r="S25" s="241"/>
      <c r="T25" s="240"/>
      <c r="U25" s="240"/>
      <c r="V25" s="241"/>
      <c r="W25" s="240"/>
      <c r="X25" s="240"/>
      <c r="Y25" s="241"/>
      <c r="Z25" s="240"/>
      <c r="AA25" s="240"/>
      <c r="AB25" s="241"/>
      <c r="AC25" s="240"/>
      <c r="AD25" s="240"/>
      <c r="AE25" s="241"/>
      <c r="AF25" s="240"/>
      <c r="AG25" s="240"/>
      <c r="AH25" s="241"/>
      <c r="AI25" s="240"/>
      <c r="AJ25" s="240"/>
      <c r="AK25" s="241"/>
      <c r="AL25" s="240"/>
      <c r="AM25" s="240"/>
      <c r="AN25" s="241"/>
      <c r="AO25" s="240"/>
      <c r="AP25" s="240"/>
      <c r="AQ25" s="241"/>
      <c r="AR25" s="240"/>
      <c r="AS25" s="240"/>
    </row>
    <row r="26" spans="1:45" ht="51.75">
      <c r="A26" s="154"/>
      <c r="B26" s="243" t="s">
        <v>363</v>
      </c>
      <c r="C26" s="143" t="s">
        <v>2220</v>
      </c>
      <c r="D26" s="244"/>
      <c r="E26" s="245" t="s">
        <v>363</v>
      </c>
      <c r="F26" s="143" t="s">
        <v>2220</v>
      </c>
      <c r="G26" s="244"/>
      <c r="H26" s="245" t="s">
        <v>363</v>
      </c>
      <c r="I26" s="143" t="s">
        <v>2220</v>
      </c>
      <c r="J26" s="246"/>
      <c r="K26" s="245" t="s">
        <v>363</v>
      </c>
      <c r="L26" s="143" t="s">
        <v>2220</v>
      </c>
      <c r="M26" s="246"/>
      <c r="N26" s="245" t="s">
        <v>363</v>
      </c>
      <c r="O26" s="143" t="s">
        <v>2220</v>
      </c>
      <c r="P26" s="246"/>
      <c r="Q26" s="245" t="s">
        <v>363</v>
      </c>
      <c r="R26" s="143" t="s">
        <v>2220</v>
      </c>
      <c r="S26" s="246"/>
      <c r="T26" s="245" t="s">
        <v>363</v>
      </c>
      <c r="U26" s="143" t="s">
        <v>2220</v>
      </c>
      <c r="V26" s="246"/>
      <c r="W26" s="245" t="s">
        <v>363</v>
      </c>
      <c r="X26" s="143" t="s">
        <v>2220</v>
      </c>
      <c r="Y26" s="246"/>
      <c r="Z26" s="245" t="s">
        <v>363</v>
      </c>
      <c r="AA26" s="143" t="s">
        <v>2220</v>
      </c>
      <c r="AB26" s="246"/>
      <c r="AC26" s="245" t="s">
        <v>363</v>
      </c>
      <c r="AD26" s="143" t="s">
        <v>2220</v>
      </c>
      <c r="AE26" s="246"/>
      <c r="AF26" s="245" t="s">
        <v>363</v>
      </c>
      <c r="AG26" s="143" t="s">
        <v>2220</v>
      </c>
      <c r="AH26" s="246"/>
      <c r="AI26" s="245" t="s">
        <v>363</v>
      </c>
      <c r="AJ26" s="143" t="s">
        <v>2220</v>
      </c>
      <c r="AK26" s="246"/>
      <c r="AL26" s="245" t="s">
        <v>363</v>
      </c>
      <c r="AM26" s="143" t="s">
        <v>2220</v>
      </c>
      <c r="AN26" s="246"/>
      <c r="AO26" s="245" t="s">
        <v>363</v>
      </c>
      <c r="AP26" s="143" t="s">
        <v>2220</v>
      </c>
      <c r="AQ26" s="246"/>
      <c r="AR26" s="245" t="s">
        <v>363</v>
      </c>
      <c r="AS26" s="143" t="s">
        <v>2220</v>
      </c>
    </row>
    <row r="27" spans="1:45" ht="15" customHeight="1">
      <c r="A27" s="325"/>
      <c r="B27" s="468">
        <f>B8</f>
        <v>43922</v>
      </c>
      <c r="C27" s="469"/>
      <c r="D27" s="247"/>
      <c r="E27" s="468">
        <f>E8</f>
        <v>43952</v>
      </c>
      <c r="F27" s="469"/>
      <c r="G27" s="247"/>
      <c r="H27" s="468">
        <f>H8</f>
        <v>43983</v>
      </c>
      <c r="I27" s="469"/>
      <c r="J27" s="246"/>
      <c r="K27" s="468">
        <f>K8</f>
        <v>44013</v>
      </c>
      <c r="L27" s="469"/>
      <c r="M27" s="246"/>
      <c r="N27" s="468">
        <f>N8</f>
        <v>44044</v>
      </c>
      <c r="O27" s="469"/>
      <c r="P27" s="246"/>
      <c r="Q27" s="468">
        <f>Q8</f>
        <v>44075</v>
      </c>
      <c r="R27" s="469"/>
      <c r="S27" s="246"/>
      <c r="T27" s="468">
        <f>T8</f>
        <v>44105</v>
      </c>
      <c r="U27" s="469"/>
      <c r="V27" s="246"/>
      <c r="W27" s="468">
        <f>W8</f>
        <v>44136</v>
      </c>
      <c r="X27" s="469"/>
      <c r="Y27" s="246"/>
      <c r="Z27" s="468">
        <f>Z8</f>
        <v>44166</v>
      </c>
      <c r="AA27" s="469"/>
      <c r="AB27" s="246"/>
      <c r="AC27" s="468">
        <f>AC8</f>
        <v>44197</v>
      </c>
      <c r="AD27" s="469"/>
      <c r="AE27" s="246"/>
      <c r="AF27" s="468">
        <f>AF8</f>
        <v>44228</v>
      </c>
      <c r="AG27" s="469"/>
      <c r="AH27" s="246"/>
      <c r="AI27" s="468">
        <f>AI8</f>
        <v>44256</v>
      </c>
      <c r="AJ27" s="469"/>
      <c r="AK27" s="246"/>
      <c r="AL27" s="468">
        <f>AL8</f>
        <v>44287</v>
      </c>
      <c r="AM27" s="469"/>
      <c r="AN27" s="246"/>
      <c r="AO27" s="468">
        <f>AO8</f>
        <v>44317</v>
      </c>
      <c r="AP27" s="469"/>
      <c r="AQ27" s="246"/>
      <c r="AR27" s="468">
        <f>AR8</f>
        <v>44348</v>
      </c>
      <c r="AS27" s="469"/>
    </row>
    <row r="28" spans="1:45">
      <c r="A28" s="327" t="s">
        <v>28</v>
      </c>
      <c r="B28" s="336">
        <v>1.0632767741108853</v>
      </c>
      <c r="C28" s="337">
        <v>1.0228250324895209</v>
      </c>
      <c r="D28" s="338"/>
      <c r="E28" s="339">
        <v>1.250892317829883</v>
      </c>
      <c r="F28" s="337">
        <v>1.2086101806600407</v>
      </c>
      <c r="G28" s="338"/>
      <c r="H28" s="339">
        <v>1.6971427525488259</v>
      </c>
      <c r="I28" s="337">
        <v>1.6376548972232901</v>
      </c>
      <c r="J28" s="338"/>
      <c r="K28" s="339">
        <v>1.9114820712756027</v>
      </c>
      <c r="L28" s="337">
        <v>1.8637087474603262</v>
      </c>
      <c r="M28" s="338"/>
      <c r="N28" s="339">
        <v>2.0833562132776895</v>
      </c>
      <c r="O28" s="337">
        <v>2.0187432504164149</v>
      </c>
      <c r="P28" s="338"/>
      <c r="Q28" s="339">
        <v>2.3006241648820311</v>
      </c>
      <c r="R28" s="337">
        <v>2.2136803763293247</v>
      </c>
      <c r="S28" s="338"/>
      <c r="T28" s="339">
        <v>2.3570003477751542</v>
      </c>
      <c r="U28" s="337">
        <v>2.2969633737850748</v>
      </c>
      <c r="V28" s="338"/>
      <c r="W28" s="339">
        <v>2.4928156974722238</v>
      </c>
      <c r="X28" s="337">
        <v>2.4126443724488862</v>
      </c>
      <c r="Y28" s="338"/>
      <c r="Z28" s="339">
        <v>2.2654805703512531</v>
      </c>
      <c r="AA28" s="337">
        <v>2.1858583639924589</v>
      </c>
      <c r="AB28" s="338"/>
      <c r="AC28" s="339">
        <v>2.1294821810993354</v>
      </c>
      <c r="AD28" s="337">
        <v>2.0703604048834952</v>
      </c>
      <c r="AE28" s="338"/>
      <c r="AF28" s="339">
        <v>2.0725568795416689</v>
      </c>
      <c r="AG28" s="337">
        <v>2.0216718832939797</v>
      </c>
      <c r="AH28" s="338"/>
      <c r="AI28" s="339">
        <v>2.6690827887906576</v>
      </c>
      <c r="AJ28" s="337">
        <v>2.6048359050390788</v>
      </c>
      <c r="AK28" s="338"/>
      <c r="AL28" s="339">
        <v>2.4415646221148388</v>
      </c>
      <c r="AM28" s="337">
        <v>2.4007468013837792</v>
      </c>
      <c r="AN28" s="338"/>
      <c r="AO28" s="339">
        <v>2.5286914502223929</v>
      </c>
      <c r="AP28" s="337">
        <v>2.484395877949225</v>
      </c>
      <c r="AQ28" s="338"/>
      <c r="AR28" s="339">
        <v>2.7082532535280874</v>
      </c>
      <c r="AS28" s="336">
        <v>2.6540735452931377</v>
      </c>
    </row>
    <row r="29" spans="1:45">
      <c r="A29" s="332" t="s">
        <v>136</v>
      </c>
      <c r="B29" s="340">
        <v>0.30051981806367772</v>
      </c>
      <c r="C29" s="341">
        <v>0.28156811782542779</v>
      </c>
      <c r="D29" s="248"/>
      <c r="E29" s="342">
        <v>0.58750270738574828</v>
      </c>
      <c r="F29" s="341">
        <v>0.55230669265756982</v>
      </c>
      <c r="G29" s="248"/>
      <c r="H29" s="342">
        <v>0.72287199480181941</v>
      </c>
      <c r="I29" s="341">
        <v>0.67684643708035519</v>
      </c>
      <c r="J29" s="248"/>
      <c r="K29" s="342">
        <v>0.84470435347628325</v>
      </c>
      <c r="L29" s="341">
        <v>0.8311674247346762</v>
      </c>
      <c r="M29" s="248"/>
      <c r="N29" s="342">
        <v>1.0179770413688543</v>
      </c>
      <c r="O29" s="341">
        <v>0.9854884123889972</v>
      </c>
      <c r="P29" s="248"/>
      <c r="Q29" s="342">
        <v>1.1181503140567468</v>
      </c>
      <c r="R29" s="341">
        <v>1.0856616850768896</v>
      </c>
      <c r="S29" s="248"/>
      <c r="T29" s="342">
        <v>1.0017327268789258</v>
      </c>
      <c r="U29" s="341">
        <v>0.96653671215074721</v>
      </c>
      <c r="V29" s="248"/>
      <c r="W29" s="342">
        <v>1.0883690708252112</v>
      </c>
      <c r="X29" s="341">
        <v>1.0342213558587827</v>
      </c>
      <c r="Y29" s="248"/>
      <c r="Z29" s="342">
        <v>1.0802469135802468</v>
      </c>
      <c r="AA29" s="341">
        <v>1.0342213558587827</v>
      </c>
      <c r="AB29" s="248"/>
      <c r="AC29" s="342">
        <v>1.0558804418453542</v>
      </c>
      <c r="AD29" s="341">
        <v>0.98819579813731862</v>
      </c>
      <c r="AE29" s="248"/>
      <c r="AF29" s="342">
        <v>1.1750054147714966</v>
      </c>
      <c r="AG29" s="341">
        <v>1.1019059995668183</v>
      </c>
      <c r="AH29" s="248"/>
      <c r="AI29" s="342">
        <v>1.3157894736842106</v>
      </c>
      <c r="AJ29" s="341">
        <v>1.2237383582412822</v>
      </c>
      <c r="AK29" s="248"/>
      <c r="AL29" s="342">
        <v>0.96112194065410439</v>
      </c>
      <c r="AM29" s="341">
        <v>0.93946285466753299</v>
      </c>
      <c r="AN29" s="248"/>
      <c r="AO29" s="342">
        <v>1.1506389430366037</v>
      </c>
      <c r="AP29" s="341">
        <v>1.0910764565735327</v>
      </c>
      <c r="AQ29" s="248"/>
      <c r="AR29" s="342">
        <v>1.2697639159627463</v>
      </c>
      <c r="AS29" s="340">
        <v>1.2318605154862465</v>
      </c>
    </row>
    <row r="30" spans="1:45">
      <c r="A30" s="332" t="s">
        <v>137</v>
      </c>
      <c r="B30" s="340">
        <v>0.50212102848238249</v>
      </c>
      <c r="C30" s="341">
        <v>0.50212102848238249</v>
      </c>
      <c r="D30" s="248"/>
      <c r="E30" s="342">
        <v>0.33763310535884339</v>
      </c>
      <c r="F30" s="341">
        <v>0.33763310535884339</v>
      </c>
      <c r="G30" s="248"/>
      <c r="H30" s="342">
        <v>0.37226214180590422</v>
      </c>
      <c r="I30" s="341">
        <v>0.37226214180590422</v>
      </c>
      <c r="J30" s="248"/>
      <c r="K30" s="342">
        <v>0.56272184226473898</v>
      </c>
      <c r="L30" s="341">
        <v>0.53675006492944333</v>
      </c>
      <c r="M30" s="248"/>
      <c r="N30" s="342">
        <v>0.49346376937061726</v>
      </c>
      <c r="O30" s="341">
        <v>0.42420569647649553</v>
      </c>
      <c r="P30" s="248"/>
      <c r="Q30" s="342">
        <v>0.72720976538827808</v>
      </c>
      <c r="R30" s="341">
        <v>0.7185525062765129</v>
      </c>
      <c r="S30" s="248"/>
      <c r="T30" s="342">
        <v>0.6666089516059216</v>
      </c>
      <c r="U30" s="341">
        <v>0.64063717427062594</v>
      </c>
      <c r="V30" s="248"/>
      <c r="W30" s="342">
        <v>2.1470002597177733</v>
      </c>
      <c r="X30" s="341">
        <v>1.9825123365942343</v>
      </c>
      <c r="Y30" s="248"/>
      <c r="Z30" s="342">
        <v>2.0777421868236514</v>
      </c>
      <c r="AA30" s="341">
        <v>2.0431131503765907</v>
      </c>
      <c r="AB30" s="248"/>
      <c r="AC30" s="342">
        <v>1.4111332352177302</v>
      </c>
      <c r="AD30" s="341">
        <v>1.4024759761059649</v>
      </c>
      <c r="AE30" s="248"/>
      <c r="AF30" s="342">
        <v>1.8266816725824604</v>
      </c>
      <c r="AG30" s="341">
        <v>1.8266816725824604</v>
      </c>
      <c r="AH30" s="248"/>
      <c r="AI30" s="342">
        <v>2.0690849277118866</v>
      </c>
      <c r="AJ30" s="341">
        <v>2.0431131503765907</v>
      </c>
      <c r="AK30" s="248"/>
      <c r="AL30" s="342">
        <v>4.0083109687472946</v>
      </c>
      <c r="AM30" s="341">
        <v>3.9217383776296426</v>
      </c>
      <c r="AN30" s="248"/>
      <c r="AO30" s="342">
        <v>4.0083109687472946</v>
      </c>
      <c r="AP30" s="341">
        <v>3.9217383776296426</v>
      </c>
      <c r="AQ30" s="248"/>
      <c r="AR30" s="342">
        <v>4.0342827460825905</v>
      </c>
      <c r="AS30" s="340">
        <v>3.904423859406112</v>
      </c>
    </row>
    <row r="31" spans="1:45">
      <c r="A31" s="332" t="s">
        <v>160</v>
      </c>
      <c r="B31" s="340">
        <v>0.34260378879484077</v>
      </c>
      <c r="C31" s="341">
        <v>0.29557973935241166</v>
      </c>
      <c r="D31" s="248"/>
      <c r="E31" s="342">
        <v>0.16794303372296118</v>
      </c>
      <c r="F31" s="341">
        <v>0.16794303372296118</v>
      </c>
      <c r="G31" s="248"/>
      <c r="H31" s="342">
        <v>0.30901518205024858</v>
      </c>
      <c r="I31" s="341">
        <v>0.2888620180034932</v>
      </c>
      <c r="J31" s="248"/>
      <c r="K31" s="342">
        <v>0.69864302028751846</v>
      </c>
      <c r="L31" s="341">
        <v>0.67177213489184473</v>
      </c>
      <c r="M31" s="248"/>
      <c r="N31" s="342">
        <v>0.77925567647453986</v>
      </c>
      <c r="O31" s="341">
        <v>0.75910251242778448</v>
      </c>
      <c r="P31" s="248"/>
      <c r="Q31" s="342">
        <v>1.6659948945317749</v>
      </c>
      <c r="R31" s="341">
        <v>1.639124009136101</v>
      </c>
      <c r="S31" s="248"/>
      <c r="T31" s="342">
        <v>1.6928657799274487</v>
      </c>
      <c r="U31" s="341">
        <v>1.6727126158806933</v>
      </c>
      <c r="V31" s="248"/>
      <c r="W31" s="342">
        <v>1.8675265349993282</v>
      </c>
      <c r="X31" s="341">
        <v>1.8003493215101438</v>
      </c>
      <c r="Y31" s="248"/>
      <c r="Z31" s="342">
        <v>1.8675265349993282</v>
      </c>
      <c r="AA31" s="341">
        <v>1.8272202069058177</v>
      </c>
      <c r="AB31" s="248"/>
      <c r="AC31" s="342">
        <v>1.6995835012763671</v>
      </c>
      <c r="AD31" s="341">
        <v>1.639124009136101</v>
      </c>
      <c r="AE31" s="248"/>
      <c r="AF31" s="342">
        <v>1.47118097541314</v>
      </c>
      <c r="AG31" s="341">
        <v>1.4443100900174661</v>
      </c>
      <c r="AH31" s="248"/>
      <c r="AI31" s="342">
        <v>1.8876796990460836</v>
      </c>
      <c r="AJ31" s="341">
        <v>1.8742442563482467</v>
      </c>
      <c r="AK31" s="248"/>
      <c r="AL31" s="342">
        <v>2.2840252586322718</v>
      </c>
      <c r="AM31" s="341">
        <v>2.2302834878409246</v>
      </c>
      <c r="AN31" s="248"/>
      <c r="AO31" s="342">
        <v>1.894397420395002</v>
      </c>
      <c r="AP31" s="341">
        <v>1.8406556496036544</v>
      </c>
      <c r="AQ31" s="248"/>
      <c r="AR31" s="342">
        <v>2.4855568990998251</v>
      </c>
      <c r="AS31" s="340">
        <v>2.4250974069595594</v>
      </c>
    </row>
    <row r="32" spans="1:45">
      <c r="A32" s="332" t="s">
        <v>138</v>
      </c>
      <c r="B32" s="340">
        <v>0.46580109757729887</v>
      </c>
      <c r="C32" s="341">
        <v>0.40422968812742605</v>
      </c>
      <c r="D32" s="248"/>
      <c r="E32" s="342">
        <v>0.5702047918618659</v>
      </c>
      <c r="F32" s="341">
        <v>0.47918618658814083</v>
      </c>
      <c r="G32" s="248"/>
      <c r="H32" s="342">
        <v>0.89947798152857716</v>
      </c>
      <c r="I32" s="341">
        <v>0.81113639405702043</v>
      </c>
      <c r="J32" s="248"/>
      <c r="K32" s="342">
        <v>1.218043099986615</v>
      </c>
      <c r="L32" s="341">
        <v>1.1404095837237318</v>
      </c>
      <c r="M32" s="248"/>
      <c r="N32" s="342">
        <v>2.1523223129433813</v>
      </c>
      <c r="O32" s="341">
        <v>1.9756391380002678</v>
      </c>
      <c r="P32" s="248"/>
      <c r="Q32" s="342">
        <v>2.2165707401954222</v>
      </c>
      <c r="R32" s="341">
        <v>1.991701244813278</v>
      </c>
      <c r="S32" s="248"/>
      <c r="T32" s="342">
        <v>2.3798688261276939</v>
      </c>
      <c r="U32" s="341">
        <v>2.256726007227948</v>
      </c>
      <c r="V32" s="248"/>
      <c r="W32" s="342">
        <v>2.5726141078838176</v>
      </c>
      <c r="X32" s="341">
        <v>2.4227011109623877</v>
      </c>
      <c r="Y32" s="248"/>
      <c r="Z32" s="342">
        <v>2.0666577432739928</v>
      </c>
      <c r="AA32" s="341">
        <v>1.8926515861330477</v>
      </c>
      <c r="AB32" s="248"/>
      <c r="AC32" s="342">
        <v>1.699906304376924</v>
      </c>
      <c r="AD32" s="341">
        <v>1.5928255922901888</v>
      </c>
      <c r="AE32" s="248"/>
      <c r="AF32" s="342">
        <v>1.9863472092089411</v>
      </c>
      <c r="AG32" s="341">
        <v>1.8471422834961853</v>
      </c>
      <c r="AH32" s="248"/>
      <c r="AI32" s="342">
        <v>2.6636327131575426</v>
      </c>
      <c r="AJ32" s="341">
        <v>2.5110426984339447</v>
      </c>
      <c r="AK32" s="248"/>
      <c r="AL32" s="342">
        <v>2.5137197162361131</v>
      </c>
      <c r="AM32" s="341">
        <v>2.3397135590951681</v>
      </c>
      <c r="AN32" s="248"/>
      <c r="AO32" s="342">
        <v>2.6208004283228483</v>
      </c>
      <c r="AP32" s="341">
        <v>2.4467942711819033</v>
      </c>
      <c r="AQ32" s="248"/>
      <c r="AR32" s="342">
        <v>2.8001606210681302</v>
      </c>
      <c r="AS32" s="340">
        <v>2.639539552938027</v>
      </c>
    </row>
    <row r="33" spans="1:45">
      <c r="A33" s="332" t="s">
        <v>139</v>
      </c>
      <c r="B33" s="340">
        <v>0.63918601617531956</v>
      </c>
      <c r="C33" s="341">
        <v>0.62940255674406476</v>
      </c>
      <c r="D33" s="248"/>
      <c r="E33" s="342">
        <v>0.83485520480041742</v>
      </c>
      <c r="F33" s="341">
        <v>0.80224367336290114</v>
      </c>
      <c r="G33" s="248"/>
      <c r="H33" s="342">
        <v>1.1381424471693191</v>
      </c>
      <c r="I33" s="341">
        <v>1.1087920688755544</v>
      </c>
      <c r="J33" s="248"/>
      <c r="K33" s="342">
        <v>1.2098878163318549</v>
      </c>
      <c r="L33" s="341">
        <v>1.1772762848943386</v>
      </c>
      <c r="M33" s="248"/>
      <c r="N33" s="342">
        <v>1.5718758152882859</v>
      </c>
      <c r="O33" s="341">
        <v>1.474041220975737</v>
      </c>
      <c r="P33" s="248"/>
      <c r="Q33" s="342">
        <v>1.562092355857031</v>
      </c>
      <c r="R33" s="341">
        <v>1.5457865901382728</v>
      </c>
      <c r="S33" s="248"/>
      <c r="T33" s="342">
        <v>2.1099660840073051</v>
      </c>
      <c r="U33" s="341">
        <v>2.0806157057135404</v>
      </c>
      <c r="V33" s="248"/>
      <c r="W33" s="342">
        <v>2.0610487868510305</v>
      </c>
      <c r="X33" s="341">
        <v>1.9729976519697365</v>
      </c>
      <c r="Y33" s="248"/>
      <c r="Z33" s="342">
        <v>1.6012261935820506</v>
      </c>
      <c r="AA33" s="341">
        <v>1.5425254369945212</v>
      </c>
      <c r="AB33" s="248"/>
      <c r="AC33" s="342">
        <v>1.6338377250195668</v>
      </c>
      <c r="AD33" s="341">
        <v>1.5294808244195148</v>
      </c>
      <c r="AE33" s="248"/>
      <c r="AF33" s="342">
        <v>1.2848943386381424</v>
      </c>
      <c r="AG33" s="341">
        <v>1.2229324289068615</v>
      </c>
      <c r="AH33" s="248"/>
      <c r="AI33" s="342">
        <v>1.5555700495695277</v>
      </c>
      <c r="AJ33" s="341">
        <v>1.5196973649882599</v>
      </c>
      <c r="AK33" s="248"/>
      <c r="AL33" s="342">
        <v>1.333811635794417</v>
      </c>
      <c r="AM33" s="341">
        <v>1.2620662666318809</v>
      </c>
      <c r="AN33" s="248"/>
      <c r="AO33" s="342">
        <v>1.333811635794417</v>
      </c>
      <c r="AP33" s="341">
        <v>1.297938951213149</v>
      </c>
      <c r="AQ33" s="248"/>
      <c r="AR33" s="342">
        <v>1.4773023741194886</v>
      </c>
      <c r="AS33" s="340">
        <v>1.385990086094443</v>
      </c>
    </row>
    <row r="34" spans="1:45">
      <c r="A34" s="332" t="s">
        <v>140</v>
      </c>
      <c r="B34" s="340">
        <v>0.2697626771384668</v>
      </c>
      <c r="C34" s="341">
        <v>0.2697626771384668</v>
      </c>
      <c r="D34" s="248"/>
      <c r="E34" s="342">
        <v>0.55489158272152983</v>
      </c>
      <c r="F34" s="341">
        <v>0.55489158272152983</v>
      </c>
      <c r="G34" s="248"/>
      <c r="H34" s="342">
        <v>0.78026293324227425</v>
      </c>
      <c r="I34" s="341">
        <v>0.78026293324227425</v>
      </c>
      <c r="J34" s="248"/>
      <c r="K34" s="342">
        <v>0.83319105344032784</v>
      </c>
      <c r="L34" s="341">
        <v>0.83319105344032784</v>
      </c>
      <c r="M34" s="248"/>
      <c r="N34" s="342">
        <v>0.84343520573672526</v>
      </c>
      <c r="O34" s="341">
        <v>0.84343520573672526</v>
      </c>
      <c r="P34" s="248"/>
      <c r="Q34" s="342">
        <v>1.0039269250469525</v>
      </c>
      <c r="R34" s="341">
        <v>1.0039269250469525</v>
      </c>
      <c r="S34" s="248"/>
      <c r="T34" s="342">
        <v>0.98343862045415742</v>
      </c>
      <c r="U34" s="341">
        <v>0.98343862045415742</v>
      </c>
      <c r="V34" s="248"/>
      <c r="W34" s="342">
        <v>1.2702748847532868</v>
      </c>
      <c r="X34" s="341">
        <v>1.2702748847532868</v>
      </c>
      <c r="Y34" s="248"/>
      <c r="Z34" s="342">
        <v>1.1900290250981731</v>
      </c>
      <c r="AA34" s="341">
        <v>1.1900290250981731</v>
      </c>
      <c r="AB34" s="248"/>
      <c r="AC34" s="342">
        <v>0.91343691309544139</v>
      </c>
      <c r="AD34" s="341">
        <v>0.91343691309544139</v>
      </c>
      <c r="AE34" s="248"/>
      <c r="AF34" s="342">
        <v>1.0773433498378009</v>
      </c>
      <c r="AG34" s="341">
        <v>1.0773433498378009</v>
      </c>
      <c r="AH34" s="248"/>
      <c r="AI34" s="342">
        <v>1.4478401912241763</v>
      </c>
      <c r="AJ34" s="341">
        <v>1.4478401912241763</v>
      </c>
      <c r="AK34" s="248"/>
      <c r="AL34" s="342">
        <v>1.3112514939388766</v>
      </c>
      <c r="AM34" s="341">
        <v>1.3112514939388766</v>
      </c>
      <c r="AN34" s="248"/>
      <c r="AO34" s="342">
        <v>1.5963803995219397</v>
      </c>
      <c r="AP34" s="341">
        <v>1.5963803995219397</v>
      </c>
      <c r="AQ34" s="248"/>
      <c r="AR34" s="342">
        <v>1.6151613453986682</v>
      </c>
      <c r="AS34" s="340">
        <v>1.6151613453986682</v>
      </c>
    </row>
    <row r="35" spans="1:45">
      <c r="A35" s="332" t="s">
        <v>141</v>
      </c>
      <c r="B35" s="340">
        <v>2.0826289809993916</v>
      </c>
      <c r="C35" s="341">
        <v>2.0826289809993916</v>
      </c>
      <c r="D35" s="248"/>
      <c r="E35" s="342">
        <v>2.9244708905267429</v>
      </c>
      <c r="F35" s="341">
        <v>2.9244708905267429</v>
      </c>
      <c r="G35" s="248"/>
      <c r="H35" s="342">
        <v>3.9869159510446952</v>
      </c>
      <c r="I35" s="341">
        <v>3.9869159510446952</v>
      </c>
      <c r="J35" s="248"/>
      <c r="K35" s="342">
        <v>4.5058827506930825</v>
      </c>
      <c r="L35" s="341">
        <v>4.5058827506930825</v>
      </c>
      <c r="M35" s="248"/>
      <c r="N35" s="342">
        <v>4.7526878085063222</v>
      </c>
      <c r="O35" s="341">
        <v>4.7526878085063222</v>
      </c>
      <c r="P35" s="248"/>
      <c r="Q35" s="342">
        <v>5.1913584420853338</v>
      </c>
      <c r="R35" s="341">
        <v>5.1913584420853338</v>
      </c>
      <c r="S35" s="248"/>
      <c r="T35" s="342">
        <v>5.3012374061802694</v>
      </c>
      <c r="U35" s="341">
        <v>5.3012374061802694</v>
      </c>
      <c r="V35" s="248"/>
      <c r="W35" s="342">
        <v>5.244607478531341</v>
      </c>
      <c r="X35" s="341">
        <v>5.244607478531341</v>
      </c>
      <c r="Y35" s="248"/>
      <c r="Z35" s="342">
        <v>5.0493610115626479</v>
      </c>
      <c r="AA35" s="341">
        <v>5.0493610115626479</v>
      </c>
      <c r="AB35" s="248"/>
      <c r="AC35" s="342">
        <v>4.882852119818784</v>
      </c>
      <c r="AD35" s="341">
        <v>4.882852119818784</v>
      </c>
      <c r="AE35" s="248"/>
      <c r="AF35" s="342">
        <v>4.4154439110149433</v>
      </c>
      <c r="AG35" s="341">
        <v>4.4154439110149433</v>
      </c>
      <c r="AH35" s="248"/>
      <c r="AI35" s="342">
        <v>5.7280749205490569</v>
      </c>
      <c r="AJ35" s="341">
        <v>5.7280749205490569</v>
      </c>
      <c r="AK35" s="248"/>
      <c r="AL35" s="342">
        <v>5.0011833119210225</v>
      </c>
      <c r="AM35" s="341">
        <v>5.0011833119210225</v>
      </c>
      <c r="AN35" s="248"/>
      <c r="AO35" s="342">
        <v>5.2293934681181957</v>
      </c>
      <c r="AP35" s="341">
        <v>5.2293934681181957</v>
      </c>
      <c r="AQ35" s="248"/>
      <c r="AR35" s="342">
        <v>5.5412806815876667</v>
      </c>
      <c r="AS35" s="340">
        <v>5.5412806815876667</v>
      </c>
    </row>
    <row r="36" spans="1:45">
      <c r="A36" s="332" t="s">
        <v>142</v>
      </c>
      <c r="B36" s="340">
        <v>0.52533416226297791</v>
      </c>
      <c r="C36" s="341">
        <v>0.52222567609574133</v>
      </c>
      <c r="D36" s="248"/>
      <c r="E36" s="342">
        <v>0.45073049424930062</v>
      </c>
      <c r="F36" s="341">
        <v>0.45073049424930062</v>
      </c>
      <c r="G36" s="248"/>
      <c r="H36" s="342">
        <v>0.85483369599005288</v>
      </c>
      <c r="I36" s="341">
        <v>0.84550823748834314</v>
      </c>
      <c r="J36" s="248"/>
      <c r="K36" s="342">
        <v>0.92632887783649365</v>
      </c>
      <c r="L36" s="341">
        <v>0.92632887783649365</v>
      </c>
      <c r="M36" s="248"/>
      <c r="N36" s="342">
        <v>0.91700341933478391</v>
      </c>
      <c r="O36" s="341">
        <v>0.91700341933478391</v>
      </c>
      <c r="P36" s="248"/>
      <c r="Q36" s="342">
        <v>0.86726764065899908</v>
      </c>
      <c r="R36" s="341">
        <v>0.84550823748834314</v>
      </c>
      <c r="S36" s="248"/>
      <c r="T36" s="342">
        <v>0.69940938762822502</v>
      </c>
      <c r="U36" s="341">
        <v>0.67764998445756919</v>
      </c>
      <c r="V36" s="248"/>
      <c r="W36" s="342">
        <v>1.0693192415293753</v>
      </c>
      <c r="X36" s="341">
        <v>1.0631022691949021</v>
      </c>
      <c r="Y36" s="248"/>
      <c r="Z36" s="342">
        <v>0.73981970780230033</v>
      </c>
      <c r="AA36" s="341">
        <v>0.73671122163506375</v>
      </c>
      <c r="AB36" s="248"/>
      <c r="AC36" s="342">
        <v>0.80509791731426794</v>
      </c>
      <c r="AD36" s="341">
        <v>0.79266397264532173</v>
      </c>
      <c r="AE36" s="248"/>
      <c r="AF36" s="342">
        <v>0.92322039166925707</v>
      </c>
      <c r="AG36" s="341">
        <v>0.9045694746658377</v>
      </c>
      <c r="AH36" s="248"/>
      <c r="AI36" s="342">
        <v>1.5542430836182779</v>
      </c>
      <c r="AJ36" s="341">
        <v>1.5293751942803855</v>
      </c>
      <c r="AK36" s="248"/>
      <c r="AL36" s="342">
        <v>1.7314267951507616</v>
      </c>
      <c r="AM36" s="341">
        <v>1.7314267951507616</v>
      </c>
      <c r="AN36" s="248"/>
      <c r="AO36" s="342">
        <v>1.6816910164749768</v>
      </c>
      <c r="AP36" s="341">
        <v>1.6785825303077402</v>
      </c>
      <c r="AQ36" s="248"/>
      <c r="AR36" s="342">
        <v>2.1541809138949333</v>
      </c>
      <c r="AS36" s="340">
        <v>2.1262045383898043</v>
      </c>
    </row>
    <row r="37" spans="1:45">
      <c r="A37" s="332" t="s">
        <v>192</v>
      </c>
      <c r="B37" s="340">
        <v>0.67532859948632729</v>
      </c>
      <c r="C37" s="341">
        <v>0.49856473787581207</v>
      </c>
      <c r="D37" s="248"/>
      <c r="E37" s="342">
        <v>1.0122374981114972</v>
      </c>
      <c r="F37" s="341">
        <v>0.85511406556881708</v>
      </c>
      <c r="G37" s="248"/>
      <c r="H37" s="342">
        <v>1.3008007251850733</v>
      </c>
      <c r="I37" s="341">
        <v>1.0802235987309261</v>
      </c>
      <c r="J37" s="248"/>
      <c r="K37" s="342">
        <v>1.4443269376038677</v>
      </c>
      <c r="L37" s="341">
        <v>1.2600090648134159</v>
      </c>
      <c r="M37" s="248"/>
      <c r="N37" s="342">
        <v>1.6724580752379514</v>
      </c>
      <c r="O37" s="341">
        <v>1.4549025532557789</v>
      </c>
      <c r="P37" s="248"/>
      <c r="Q37" s="342">
        <v>1.9579996978395529</v>
      </c>
      <c r="R37" s="341">
        <v>1.587853150022662</v>
      </c>
      <c r="S37" s="248"/>
      <c r="T37" s="342">
        <v>1.7011633177217103</v>
      </c>
      <c r="U37" s="341">
        <v>1.4503701465478169</v>
      </c>
      <c r="V37" s="248"/>
      <c r="W37" s="342">
        <v>2.1166339326182202</v>
      </c>
      <c r="X37" s="341">
        <v>1.8144734854207585</v>
      </c>
      <c r="Y37" s="248"/>
      <c r="Z37" s="342">
        <v>1.9368484665357304</v>
      </c>
      <c r="AA37" s="341">
        <v>1.5863423477866747</v>
      </c>
      <c r="AB37" s="248"/>
      <c r="AC37" s="342">
        <v>1.6014503701465479</v>
      </c>
      <c r="AD37" s="341">
        <v>1.3990028705242483</v>
      </c>
      <c r="AE37" s="248"/>
      <c r="AF37" s="342">
        <v>1.6860552953618371</v>
      </c>
      <c r="AG37" s="341">
        <v>1.5032482248073726</v>
      </c>
      <c r="AH37" s="248"/>
      <c r="AI37" s="342">
        <v>2.1256987460341441</v>
      </c>
      <c r="AJ37" s="341">
        <v>1.8764163770962381</v>
      </c>
      <c r="AK37" s="248"/>
      <c r="AL37" s="342">
        <v>1.9579996978395529</v>
      </c>
      <c r="AM37" s="341">
        <v>1.890013597220124</v>
      </c>
      <c r="AN37" s="248"/>
      <c r="AO37" s="342">
        <v>2.0441154252908293</v>
      </c>
      <c r="AP37" s="341">
        <v>1.9519564888956036</v>
      </c>
      <c r="AQ37" s="248"/>
      <c r="AR37" s="342">
        <v>1.988215742559299</v>
      </c>
      <c r="AS37" s="340">
        <v>1.8492219368484666</v>
      </c>
    </row>
    <row r="38" spans="1:45">
      <c r="A38" s="332" t="s">
        <v>143</v>
      </c>
      <c r="B38" s="340">
        <v>1.7475043522334119</v>
      </c>
      <c r="C38" s="341">
        <v>1.7331805460675642</v>
      </c>
      <c r="D38" s="248"/>
      <c r="E38" s="342">
        <v>1.0753872936820996</v>
      </c>
      <c r="F38" s="341">
        <v>1.0654708124903589</v>
      </c>
      <c r="G38" s="248"/>
      <c r="H38" s="342">
        <v>1.4081403292271755</v>
      </c>
      <c r="I38" s="341">
        <v>1.3827982106260606</v>
      </c>
      <c r="J38" s="248"/>
      <c r="K38" s="342">
        <v>1.4522135789682453</v>
      </c>
      <c r="L38" s="341">
        <v>1.4279732916106569</v>
      </c>
      <c r="M38" s="248"/>
      <c r="N38" s="342">
        <v>1.4323806165847639</v>
      </c>
      <c r="O38" s="341">
        <v>1.4103439917142291</v>
      </c>
      <c r="P38" s="248"/>
      <c r="Q38" s="342">
        <v>1.5017959849269487</v>
      </c>
      <c r="R38" s="341">
        <v>1.4797593600564138</v>
      </c>
      <c r="S38" s="248"/>
      <c r="T38" s="342">
        <v>1.9204918574671104</v>
      </c>
      <c r="U38" s="341">
        <v>1.8775204389695674</v>
      </c>
      <c r="V38" s="248"/>
      <c r="W38" s="342">
        <v>1.7673373146168934</v>
      </c>
      <c r="X38" s="341">
        <v>1.7353842085546178</v>
      </c>
      <c r="Y38" s="248"/>
      <c r="Z38" s="342">
        <v>1.496286828709315</v>
      </c>
      <c r="AA38" s="341">
        <v>1.4566209039423521</v>
      </c>
      <c r="AB38" s="248"/>
      <c r="AC38" s="342">
        <v>1.444500760263558</v>
      </c>
      <c r="AD38" s="341">
        <v>1.4202604729059698</v>
      </c>
      <c r="AE38" s="248"/>
      <c r="AF38" s="342">
        <v>1.6031644593314087</v>
      </c>
      <c r="AG38" s="341">
        <v>1.5866369906785076</v>
      </c>
      <c r="AH38" s="248"/>
      <c r="AI38" s="342">
        <v>2.0516097754467926</v>
      </c>
      <c r="AJ38" s="341">
        <v>2.0317768130633111</v>
      </c>
      <c r="AK38" s="248"/>
      <c r="AL38" s="342">
        <v>1.7794574582956875</v>
      </c>
      <c r="AM38" s="341">
        <v>1.7541153396945723</v>
      </c>
      <c r="AN38" s="248"/>
      <c r="AO38" s="342">
        <v>1.6968201150311819</v>
      </c>
      <c r="AP38" s="341">
        <v>1.6758853214041738</v>
      </c>
      <c r="AQ38" s="248"/>
      <c r="AR38" s="342">
        <v>1.7574208334251527</v>
      </c>
      <c r="AS38" s="340">
        <v>1.7210604023887701</v>
      </c>
    </row>
    <row r="39" spans="1:45">
      <c r="A39" s="332" t="s">
        <v>146</v>
      </c>
      <c r="B39" s="340">
        <v>0.7593360001916305</v>
      </c>
      <c r="C39" s="341">
        <v>0.730591419742736</v>
      </c>
      <c r="D39" s="248"/>
      <c r="E39" s="342">
        <v>0.9054542841401777</v>
      </c>
      <c r="F39" s="341">
        <v>0.87431432198720871</v>
      </c>
      <c r="G39" s="248"/>
      <c r="H39" s="342">
        <v>1.140201691139483</v>
      </c>
      <c r="I39" s="341">
        <v>1.0419910412724267</v>
      </c>
      <c r="J39" s="248"/>
      <c r="K39" s="342">
        <v>1.4492059309650993</v>
      </c>
      <c r="L39" s="341">
        <v>1.3749490981387884</v>
      </c>
      <c r="M39" s="248"/>
      <c r="N39" s="342">
        <v>1.3869260066591611</v>
      </c>
      <c r="O39" s="341">
        <v>1.3246460823532229</v>
      </c>
      <c r="P39" s="248"/>
      <c r="Q39" s="342">
        <v>1.5114858552710375</v>
      </c>
      <c r="R39" s="341">
        <v>1.4228567322202792</v>
      </c>
      <c r="S39" s="248"/>
      <c r="T39" s="342">
        <v>1.5210673820873357</v>
      </c>
      <c r="U39" s="341">
        <v>1.4300428773325029</v>
      </c>
      <c r="V39" s="248"/>
      <c r="W39" s="342">
        <v>1.4827412748221429</v>
      </c>
      <c r="X39" s="341">
        <v>1.3989029151795338</v>
      </c>
      <c r="Y39" s="248"/>
      <c r="Z39" s="342">
        <v>1.2144585239657939</v>
      </c>
      <c r="AA39" s="341">
        <v>1.1425970728435577</v>
      </c>
      <c r="AB39" s="248"/>
      <c r="AC39" s="342">
        <v>1.4492059309650993</v>
      </c>
      <c r="AD39" s="341">
        <v>1.3893213883632356</v>
      </c>
      <c r="AE39" s="248"/>
      <c r="AF39" s="342">
        <v>1.3246460823532229</v>
      </c>
      <c r="AG39" s="341">
        <v>1.2432031044146885</v>
      </c>
      <c r="AH39" s="248"/>
      <c r="AI39" s="342">
        <v>1.5450211991280811</v>
      </c>
      <c r="AJ39" s="341">
        <v>1.4180659688121302</v>
      </c>
      <c r="AK39" s="248"/>
      <c r="AL39" s="342">
        <v>1.4851366565262174</v>
      </c>
      <c r="AM39" s="341">
        <v>1.3845306249550866</v>
      </c>
      <c r="AN39" s="248"/>
      <c r="AO39" s="342">
        <v>1.5546027259443793</v>
      </c>
      <c r="AP39" s="341">
        <v>1.4468105492610248</v>
      </c>
      <c r="AQ39" s="248"/>
      <c r="AR39" s="342">
        <v>2.0001437229022443</v>
      </c>
      <c r="AS39" s="340">
        <v>1.9139099815555609</v>
      </c>
    </row>
    <row r="40" spans="1:45">
      <c r="A40" s="332" t="s">
        <v>328</v>
      </c>
      <c r="B40" s="343">
        <v>1.3727966613585196E-2</v>
      </c>
      <c r="C40" s="344">
        <v>6.9555030842164993E-3</v>
      </c>
      <c r="D40" s="248"/>
      <c r="E40" s="345">
        <v>1.7937876375084656E-2</v>
      </c>
      <c r="F40" s="344">
        <v>9.3350172972379332E-3</v>
      </c>
      <c r="G40" s="248"/>
      <c r="H40" s="345">
        <v>2.4893379459301156E-2</v>
      </c>
      <c r="I40" s="344">
        <v>1.5741401716911026E-2</v>
      </c>
      <c r="J40" s="248"/>
      <c r="K40" s="345">
        <v>2.1232588362345102E-2</v>
      </c>
      <c r="L40" s="344">
        <v>1.4826203942672011E-2</v>
      </c>
      <c r="M40" s="248"/>
      <c r="N40" s="345">
        <v>2.0683469697801694E-2</v>
      </c>
      <c r="O40" s="344">
        <v>1.2629729284498381E-2</v>
      </c>
      <c r="P40" s="248"/>
      <c r="Q40" s="345">
        <v>2.7638972782018194E-2</v>
      </c>
      <c r="R40" s="344">
        <v>1.6656599491150038E-2</v>
      </c>
      <c r="S40" s="248"/>
      <c r="T40" s="345" t="s">
        <v>315</v>
      </c>
      <c r="U40" s="344" t="s">
        <v>315</v>
      </c>
      <c r="V40" s="249"/>
      <c r="W40" s="345">
        <v>2.4893379459301156E-2</v>
      </c>
      <c r="X40" s="344">
        <v>1.7937876375084656E-2</v>
      </c>
      <c r="Y40" s="249"/>
      <c r="Z40" s="345">
        <v>1.5924441271758828E-2</v>
      </c>
      <c r="AA40" s="344">
        <v>1.1165412845715959E-2</v>
      </c>
      <c r="AB40" s="249"/>
      <c r="AC40" s="350">
        <v>1.9585232368714879E-2</v>
      </c>
      <c r="AD40" s="352">
        <v>1.3911006168432999E-2</v>
      </c>
      <c r="AE40" s="249"/>
      <c r="AF40" s="345" t="s">
        <v>315</v>
      </c>
      <c r="AG40" s="344" t="s">
        <v>315</v>
      </c>
      <c r="AH40" s="249"/>
      <c r="AI40" s="345" t="s">
        <v>422</v>
      </c>
      <c r="AJ40" s="344" t="s">
        <v>422</v>
      </c>
      <c r="AK40" s="248"/>
      <c r="AL40" s="345" t="s">
        <v>422</v>
      </c>
      <c r="AM40" s="344" t="s">
        <v>422</v>
      </c>
      <c r="AN40" s="248"/>
      <c r="AO40" s="350" t="s">
        <v>422</v>
      </c>
      <c r="AP40" s="352" t="s">
        <v>422</v>
      </c>
      <c r="AQ40" s="249"/>
      <c r="AR40" s="350" t="s">
        <v>422</v>
      </c>
      <c r="AS40" s="351" t="s">
        <v>422</v>
      </c>
    </row>
    <row r="41" spans="1:45">
      <c r="A41" s="332" t="s">
        <v>327</v>
      </c>
      <c r="B41" s="340">
        <v>4.1718815185648725E-2</v>
      </c>
      <c r="C41" s="341">
        <v>2.7812543457099152E-2</v>
      </c>
      <c r="D41" s="248"/>
      <c r="E41" s="342">
        <v>0.44500069531358644</v>
      </c>
      <c r="F41" s="341">
        <v>0.43109442358503686</v>
      </c>
      <c r="G41" s="248"/>
      <c r="H41" s="342">
        <v>0.43109442358503686</v>
      </c>
      <c r="I41" s="341">
        <v>0.43109442358503686</v>
      </c>
      <c r="J41" s="248"/>
      <c r="K41" s="342">
        <v>0.3337505214851898</v>
      </c>
      <c r="L41" s="341">
        <v>0.3337505214851898</v>
      </c>
      <c r="M41" s="248"/>
      <c r="N41" s="342">
        <v>0.50062578222778475</v>
      </c>
      <c r="O41" s="341">
        <v>0.50062578222778475</v>
      </c>
      <c r="P41" s="248"/>
      <c r="Q41" s="342">
        <v>0.93172020581282156</v>
      </c>
      <c r="R41" s="341">
        <v>0.93172020581282156</v>
      </c>
      <c r="S41" s="248"/>
      <c r="T41" s="345">
        <v>0.9039076623557224</v>
      </c>
      <c r="U41" s="344">
        <v>0.84828257544152408</v>
      </c>
      <c r="V41" s="248"/>
      <c r="W41" s="342">
        <v>0.62578222778473092</v>
      </c>
      <c r="X41" s="341">
        <v>0.59796968432763176</v>
      </c>
      <c r="Y41" s="248"/>
      <c r="Z41" s="342">
        <v>0.75093867334167708</v>
      </c>
      <c r="AA41" s="341">
        <v>0.75093867334167708</v>
      </c>
      <c r="AB41" s="248"/>
      <c r="AC41" s="342">
        <v>0.52843832568488391</v>
      </c>
      <c r="AD41" s="341">
        <v>0.52843832568488391</v>
      </c>
      <c r="AE41" s="248"/>
      <c r="AF41" s="342">
        <v>0.65359477124183007</v>
      </c>
      <c r="AG41" s="341">
        <v>0.65359477124183007</v>
      </c>
      <c r="AH41" s="248"/>
      <c r="AI41" s="342">
        <v>0.9039076623557224</v>
      </c>
      <c r="AJ41" s="341">
        <v>0.9039076623557224</v>
      </c>
      <c r="AK41" s="248"/>
      <c r="AL41" s="342">
        <v>0.83437630371297455</v>
      </c>
      <c r="AM41" s="341">
        <v>0.83437630371297455</v>
      </c>
      <c r="AN41" s="248"/>
      <c r="AO41" s="342">
        <v>0.72312612988457792</v>
      </c>
      <c r="AP41" s="341">
        <v>0.72312612988457792</v>
      </c>
      <c r="AQ41" s="248"/>
      <c r="AR41" s="342">
        <v>0.70921985815602839</v>
      </c>
      <c r="AS41" s="340">
        <v>0.70921985815602839</v>
      </c>
    </row>
    <row r="43" spans="1:45">
      <c r="A43" s="43" t="s">
        <v>410</v>
      </c>
    </row>
  </sheetData>
  <mergeCells count="30">
    <mergeCell ref="E8:F8"/>
    <mergeCell ref="H8:I8"/>
    <mergeCell ref="K8:L8"/>
    <mergeCell ref="N8:O8"/>
    <mergeCell ref="AI8:AJ8"/>
    <mergeCell ref="Q8:R8"/>
    <mergeCell ref="AL8:AM8"/>
    <mergeCell ref="AO8:AP8"/>
    <mergeCell ref="AR8:AS8"/>
    <mergeCell ref="B27:C27"/>
    <mergeCell ref="E27:F27"/>
    <mergeCell ref="H27:I27"/>
    <mergeCell ref="K27:L27"/>
    <mergeCell ref="N27:O27"/>
    <mergeCell ref="T27:U27"/>
    <mergeCell ref="T8:U8"/>
    <mergeCell ref="W8:X8"/>
    <mergeCell ref="Z8:AA8"/>
    <mergeCell ref="AC8:AD8"/>
    <mergeCell ref="AF8:AG8"/>
    <mergeCell ref="B8:C8"/>
    <mergeCell ref="AO27:AP27"/>
    <mergeCell ref="Q27:R27"/>
    <mergeCell ref="AR27:AS27"/>
    <mergeCell ref="W27:X27"/>
    <mergeCell ref="Z27:AA27"/>
    <mergeCell ref="AC27:AD27"/>
    <mergeCell ref="AF27:AG27"/>
    <mergeCell ref="AI27:AJ27"/>
    <mergeCell ref="AL27:AM27"/>
  </mergeCells>
  <hyperlinks>
    <hyperlink ref="A4" r:id="rId1"/>
  </hyperlinks>
  <pageMargins left="0.7" right="0.7" top="0.75" bottom="0.75" header="0.3" footer="0.3"/>
  <pageSetup paperSize="9" orientation="portrait"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AF155"/>
  <sheetViews>
    <sheetView zoomScale="115" workbookViewId="0"/>
  </sheetViews>
  <sheetFormatPr defaultRowHeight="15"/>
  <cols>
    <col min="1" max="1" width="30.42578125" style="6" customWidth="1"/>
    <col min="2" max="2" width="13.42578125" style="6" customWidth="1"/>
    <col min="3" max="3" width="13.28515625" style="6" customWidth="1"/>
    <col min="4" max="4" width="3.7109375" style="6" customWidth="1"/>
    <col min="5" max="5" width="12.140625" style="6" customWidth="1"/>
    <col min="6" max="6" width="11" style="6" customWidth="1"/>
    <col min="7" max="7" width="1.85546875" style="6" customWidth="1"/>
    <col min="8" max="8" width="12.140625" style="6" customWidth="1"/>
    <col min="9" max="9" width="10.85546875" style="6" customWidth="1"/>
    <col min="10" max="10" width="1.42578125" style="6" customWidth="1"/>
    <col min="11" max="11" width="13.5703125" style="6" customWidth="1"/>
    <col min="12" max="12" width="11.28515625" style="6" customWidth="1"/>
    <col min="13" max="13" width="2" style="6" customWidth="1"/>
    <col min="14" max="14" width="9.140625" style="6"/>
    <col min="15" max="15" width="11.5703125" style="6" customWidth="1"/>
    <col min="16" max="20" width="9.140625" style="6"/>
    <col min="21" max="21" width="12.28515625" style="6" customWidth="1"/>
    <col min="22" max="22" width="11.42578125" style="6" customWidth="1"/>
    <col min="23" max="254" width="9.140625" style="6"/>
    <col min="255" max="255" width="30.42578125" style="6" customWidth="1"/>
    <col min="256" max="256" width="13.5703125" style="6" customWidth="1"/>
    <col min="257" max="257" width="15.140625" style="6" customWidth="1"/>
    <col min="258" max="258" width="13.42578125" style="6" customWidth="1"/>
    <col min="259" max="259" width="17.140625" style="6" customWidth="1"/>
    <col min="260" max="260" width="7.28515625" style="6" customWidth="1"/>
    <col min="261" max="261" width="3.28515625" style="6" customWidth="1"/>
    <col min="262" max="262" width="7.5703125" style="6" bestFit="1" customWidth="1"/>
    <col min="263" max="263" width="8.7109375" style="6" bestFit="1" customWidth="1"/>
    <col min="264" max="264" width="9.140625" style="6"/>
    <col min="265" max="265" width="10.140625" style="6" bestFit="1" customWidth="1"/>
    <col min="266" max="510" width="9.140625" style="6"/>
    <col min="511" max="511" width="30.42578125" style="6" customWidth="1"/>
    <col min="512" max="512" width="13.5703125" style="6" customWidth="1"/>
    <col min="513" max="513" width="15.140625" style="6" customWidth="1"/>
    <col min="514" max="514" width="13.42578125" style="6" customWidth="1"/>
    <col min="515" max="515" width="17.140625" style="6" customWidth="1"/>
    <col min="516" max="516" width="7.28515625" style="6" customWidth="1"/>
    <col min="517" max="517" width="3.28515625" style="6" customWidth="1"/>
    <col min="518" max="518" width="7.5703125" style="6" bestFit="1" customWidth="1"/>
    <col min="519" max="519" width="8.7109375" style="6" bestFit="1" customWidth="1"/>
    <col min="520" max="520" width="9.140625" style="6"/>
    <col min="521" max="521" width="10.140625" style="6" bestFit="1" customWidth="1"/>
    <col min="522" max="766" width="9.140625" style="6"/>
    <col min="767" max="767" width="30.42578125" style="6" customWidth="1"/>
    <col min="768" max="768" width="13.5703125" style="6" customWidth="1"/>
    <col min="769" max="769" width="15.140625" style="6" customWidth="1"/>
    <col min="770" max="770" width="13.42578125" style="6" customWidth="1"/>
    <col min="771" max="771" width="17.140625" style="6" customWidth="1"/>
    <col min="772" max="772" width="7.28515625" style="6" customWidth="1"/>
    <col min="773" max="773" width="3.28515625" style="6" customWidth="1"/>
    <col min="774" max="774" width="7.5703125" style="6" bestFit="1" customWidth="1"/>
    <col min="775" max="775" width="8.7109375" style="6" bestFit="1" customWidth="1"/>
    <col min="776" max="776" width="9.140625" style="6"/>
    <col min="777" max="777" width="10.140625" style="6" bestFit="1" customWidth="1"/>
    <col min="778" max="1022" width="9.140625" style="6"/>
    <col min="1023" max="1023" width="30.42578125" style="6" customWidth="1"/>
    <col min="1024" max="1024" width="13.5703125" style="6" customWidth="1"/>
    <col min="1025" max="1025" width="15.140625" style="6" customWidth="1"/>
    <col min="1026" max="1026" width="13.42578125" style="6" customWidth="1"/>
    <col min="1027" max="1027" width="17.140625" style="6" customWidth="1"/>
    <col min="1028" max="1028" width="7.28515625" style="6" customWidth="1"/>
    <col min="1029" max="1029" width="3.28515625" style="6" customWidth="1"/>
    <col min="1030" max="1030" width="7.5703125" style="6" bestFit="1" customWidth="1"/>
    <col min="1031" max="1031" width="8.7109375" style="6" bestFit="1" customWidth="1"/>
    <col min="1032" max="1032" width="9.140625" style="6"/>
    <col min="1033" max="1033" width="10.140625" style="6" bestFit="1" customWidth="1"/>
    <col min="1034" max="1278" width="9.140625" style="6"/>
    <col min="1279" max="1279" width="30.42578125" style="6" customWidth="1"/>
    <col min="1280" max="1280" width="13.5703125" style="6" customWidth="1"/>
    <col min="1281" max="1281" width="15.140625" style="6" customWidth="1"/>
    <col min="1282" max="1282" width="13.42578125" style="6" customWidth="1"/>
    <col min="1283" max="1283" width="17.140625" style="6" customWidth="1"/>
    <col min="1284" max="1284" width="7.28515625" style="6" customWidth="1"/>
    <col min="1285" max="1285" width="3.28515625" style="6" customWidth="1"/>
    <col min="1286" max="1286" width="7.5703125" style="6" bestFit="1" customWidth="1"/>
    <col min="1287" max="1287" width="8.7109375" style="6" bestFit="1" customWidth="1"/>
    <col min="1288" max="1288" width="9.140625" style="6"/>
    <col min="1289" max="1289" width="10.140625" style="6" bestFit="1" customWidth="1"/>
    <col min="1290" max="1534" width="9.140625" style="6"/>
    <col min="1535" max="1535" width="30.42578125" style="6" customWidth="1"/>
    <col min="1536" max="1536" width="13.5703125" style="6" customWidth="1"/>
    <col min="1537" max="1537" width="15.140625" style="6" customWidth="1"/>
    <col min="1538" max="1538" width="13.42578125" style="6" customWidth="1"/>
    <col min="1539" max="1539" width="17.140625" style="6" customWidth="1"/>
    <col min="1540" max="1540" width="7.28515625" style="6" customWidth="1"/>
    <col min="1541" max="1541" width="3.28515625" style="6" customWidth="1"/>
    <col min="1542" max="1542" width="7.5703125" style="6" bestFit="1" customWidth="1"/>
    <col min="1543" max="1543" width="8.7109375" style="6" bestFit="1" customWidth="1"/>
    <col min="1544" max="1544" width="9.140625" style="6"/>
    <col min="1545" max="1545" width="10.140625" style="6" bestFit="1" customWidth="1"/>
    <col min="1546" max="1790" width="9.140625" style="6"/>
    <col min="1791" max="1791" width="30.42578125" style="6" customWidth="1"/>
    <col min="1792" max="1792" width="13.5703125" style="6" customWidth="1"/>
    <col min="1793" max="1793" width="15.140625" style="6" customWidth="1"/>
    <col min="1794" max="1794" width="13.42578125" style="6" customWidth="1"/>
    <col min="1795" max="1795" width="17.140625" style="6" customWidth="1"/>
    <col min="1796" max="1796" width="7.28515625" style="6" customWidth="1"/>
    <col min="1797" max="1797" width="3.28515625" style="6" customWidth="1"/>
    <col min="1798" max="1798" width="7.5703125" style="6" bestFit="1" customWidth="1"/>
    <col min="1799" max="1799" width="8.7109375" style="6" bestFit="1" customWidth="1"/>
    <col min="1800" max="1800" width="9.140625" style="6"/>
    <col min="1801" max="1801" width="10.140625" style="6" bestFit="1" customWidth="1"/>
    <col min="1802" max="2046" width="9.140625" style="6"/>
    <col min="2047" max="2047" width="30.42578125" style="6" customWidth="1"/>
    <col min="2048" max="2048" width="13.5703125" style="6" customWidth="1"/>
    <col min="2049" max="2049" width="15.140625" style="6" customWidth="1"/>
    <col min="2050" max="2050" width="13.42578125" style="6" customWidth="1"/>
    <col min="2051" max="2051" width="17.140625" style="6" customWidth="1"/>
    <col min="2052" max="2052" width="7.28515625" style="6" customWidth="1"/>
    <col min="2053" max="2053" width="3.28515625" style="6" customWidth="1"/>
    <col min="2054" max="2054" width="7.5703125" style="6" bestFit="1" customWidth="1"/>
    <col min="2055" max="2055" width="8.7109375" style="6" bestFit="1" customWidth="1"/>
    <col min="2056" max="2056" width="9.140625" style="6"/>
    <col min="2057" max="2057" width="10.140625" style="6" bestFit="1" customWidth="1"/>
    <col min="2058" max="2302" width="9.140625" style="6"/>
    <col min="2303" max="2303" width="30.42578125" style="6" customWidth="1"/>
    <col min="2304" max="2304" width="13.5703125" style="6" customWidth="1"/>
    <col min="2305" max="2305" width="15.140625" style="6" customWidth="1"/>
    <col min="2306" max="2306" width="13.42578125" style="6" customWidth="1"/>
    <col min="2307" max="2307" width="17.140625" style="6" customWidth="1"/>
    <col min="2308" max="2308" width="7.28515625" style="6" customWidth="1"/>
    <col min="2309" max="2309" width="3.28515625" style="6" customWidth="1"/>
    <col min="2310" max="2310" width="7.5703125" style="6" bestFit="1" customWidth="1"/>
    <col min="2311" max="2311" width="8.7109375" style="6" bestFit="1" customWidth="1"/>
    <col min="2312" max="2312" width="9.140625" style="6"/>
    <col min="2313" max="2313" width="10.140625" style="6" bestFit="1" customWidth="1"/>
    <col min="2314" max="2558" width="9.140625" style="6"/>
    <col min="2559" max="2559" width="30.42578125" style="6" customWidth="1"/>
    <col min="2560" max="2560" width="13.5703125" style="6" customWidth="1"/>
    <col min="2561" max="2561" width="15.140625" style="6" customWidth="1"/>
    <col min="2562" max="2562" width="13.42578125" style="6" customWidth="1"/>
    <col min="2563" max="2563" width="17.140625" style="6" customWidth="1"/>
    <col min="2564" max="2564" width="7.28515625" style="6" customWidth="1"/>
    <col min="2565" max="2565" width="3.28515625" style="6" customWidth="1"/>
    <col min="2566" max="2566" width="7.5703125" style="6" bestFit="1" customWidth="1"/>
    <col min="2567" max="2567" width="8.7109375" style="6" bestFit="1" customWidth="1"/>
    <col min="2568" max="2568" width="9.140625" style="6"/>
    <col min="2569" max="2569" width="10.140625" style="6" bestFit="1" customWidth="1"/>
    <col min="2570" max="2814" width="9.140625" style="6"/>
    <col min="2815" max="2815" width="30.42578125" style="6" customWidth="1"/>
    <col min="2816" max="2816" width="13.5703125" style="6" customWidth="1"/>
    <col min="2817" max="2817" width="15.140625" style="6" customWidth="1"/>
    <col min="2818" max="2818" width="13.42578125" style="6" customWidth="1"/>
    <col min="2819" max="2819" width="17.140625" style="6" customWidth="1"/>
    <col min="2820" max="2820" width="7.28515625" style="6" customWidth="1"/>
    <col min="2821" max="2821" width="3.28515625" style="6" customWidth="1"/>
    <col min="2822" max="2822" width="7.5703125" style="6" bestFit="1" customWidth="1"/>
    <col min="2823" max="2823" width="8.7109375" style="6" bestFit="1" customWidth="1"/>
    <col min="2824" max="2824" width="9.140625" style="6"/>
    <col min="2825" max="2825" width="10.140625" style="6" bestFit="1" customWidth="1"/>
    <col min="2826" max="3070" width="9.140625" style="6"/>
    <col min="3071" max="3071" width="30.42578125" style="6" customWidth="1"/>
    <col min="3072" max="3072" width="13.5703125" style="6" customWidth="1"/>
    <col min="3073" max="3073" width="15.140625" style="6" customWidth="1"/>
    <col min="3074" max="3074" width="13.42578125" style="6" customWidth="1"/>
    <col min="3075" max="3075" width="17.140625" style="6" customWidth="1"/>
    <col min="3076" max="3076" width="7.28515625" style="6" customWidth="1"/>
    <col min="3077" max="3077" width="3.28515625" style="6" customWidth="1"/>
    <col min="3078" max="3078" width="7.5703125" style="6" bestFit="1" customWidth="1"/>
    <col min="3079" max="3079" width="8.7109375" style="6" bestFit="1" customWidth="1"/>
    <col min="3080" max="3080" width="9.140625" style="6"/>
    <col min="3081" max="3081" width="10.140625" style="6" bestFit="1" customWidth="1"/>
    <col min="3082" max="3326" width="9.140625" style="6"/>
    <col min="3327" max="3327" width="30.42578125" style="6" customWidth="1"/>
    <col min="3328" max="3328" width="13.5703125" style="6" customWidth="1"/>
    <col min="3329" max="3329" width="15.140625" style="6" customWidth="1"/>
    <col min="3330" max="3330" width="13.42578125" style="6" customWidth="1"/>
    <col min="3331" max="3331" width="17.140625" style="6" customWidth="1"/>
    <col min="3332" max="3332" width="7.28515625" style="6" customWidth="1"/>
    <col min="3333" max="3333" width="3.28515625" style="6" customWidth="1"/>
    <col min="3334" max="3334" width="7.5703125" style="6" bestFit="1" customWidth="1"/>
    <col min="3335" max="3335" width="8.7109375" style="6" bestFit="1" customWidth="1"/>
    <col min="3336" max="3336" width="9.140625" style="6"/>
    <col min="3337" max="3337" width="10.140625" style="6" bestFit="1" customWidth="1"/>
    <col min="3338" max="3582" width="9.140625" style="6"/>
    <col min="3583" max="3583" width="30.42578125" style="6" customWidth="1"/>
    <col min="3584" max="3584" width="13.5703125" style="6" customWidth="1"/>
    <col min="3585" max="3585" width="15.140625" style="6" customWidth="1"/>
    <col min="3586" max="3586" width="13.42578125" style="6" customWidth="1"/>
    <col min="3587" max="3587" width="17.140625" style="6" customWidth="1"/>
    <col min="3588" max="3588" width="7.28515625" style="6" customWidth="1"/>
    <col min="3589" max="3589" width="3.28515625" style="6" customWidth="1"/>
    <col min="3590" max="3590" width="7.5703125" style="6" bestFit="1" customWidth="1"/>
    <col min="3591" max="3591" width="8.7109375" style="6" bestFit="1" customWidth="1"/>
    <col min="3592" max="3592" width="9.140625" style="6"/>
    <col min="3593" max="3593" width="10.140625" style="6" bestFit="1" customWidth="1"/>
    <col min="3594" max="3838" width="9.140625" style="6"/>
    <col min="3839" max="3839" width="30.42578125" style="6" customWidth="1"/>
    <col min="3840" max="3840" width="13.5703125" style="6" customWidth="1"/>
    <col min="3841" max="3841" width="15.140625" style="6" customWidth="1"/>
    <col min="3842" max="3842" width="13.42578125" style="6" customWidth="1"/>
    <col min="3843" max="3843" width="17.140625" style="6" customWidth="1"/>
    <col min="3844" max="3844" width="7.28515625" style="6" customWidth="1"/>
    <col min="3845" max="3845" width="3.28515625" style="6" customWidth="1"/>
    <col min="3846" max="3846" width="7.5703125" style="6" bestFit="1" customWidth="1"/>
    <col min="3847" max="3847" width="8.7109375" style="6" bestFit="1" customWidth="1"/>
    <col min="3848" max="3848" width="9.140625" style="6"/>
    <col min="3849" max="3849" width="10.140625" style="6" bestFit="1" customWidth="1"/>
    <col min="3850" max="4094" width="9.140625" style="6"/>
    <col min="4095" max="4095" width="30.42578125" style="6" customWidth="1"/>
    <col min="4096" max="4096" width="13.5703125" style="6" customWidth="1"/>
    <col min="4097" max="4097" width="15.140625" style="6" customWidth="1"/>
    <col min="4098" max="4098" width="13.42578125" style="6" customWidth="1"/>
    <col min="4099" max="4099" width="17.140625" style="6" customWidth="1"/>
    <col min="4100" max="4100" width="7.28515625" style="6" customWidth="1"/>
    <col min="4101" max="4101" width="3.28515625" style="6" customWidth="1"/>
    <col min="4102" max="4102" width="7.5703125" style="6" bestFit="1" customWidth="1"/>
    <col min="4103" max="4103" width="8.7109375" style="6" bestFit="1" customWidth="1"/>
    <col min="4104" max="4104" width="9.140625" style="6"/>
    <col min="4105" max="4105" width="10.140625" style="6" bestFit="1" customWidth="1"/>
    <col min="4106" max="4350" width="9.140625" style="6"/>
    <col min="4351" max="4351" width="30.42578125" style="6" customWidth="1"/>
    <col min="4352" max="4352" width="13.5703125" style="6" customWidth="1"/>
    <col min="4353" max="4353" width="15.140625" style="6" customWidth="1"/>
    <col min="4354" max="4354" width="13.42578125" style="6" customWidth="1"/>
    <col min="4355" max="4355" width="17.140625" style="6" customWidth="1"/>
    <col min="4356" max="4356" width="7.28515625" style="6" customWidth="1"/>
    <col min="4357" max="4357" width="3.28515625" style="6" customWidth="1"/>
    <col min="4358" max="4358" width="7.5703125" style="6" bestFit="1" customWidth="1"/>
    <col min="4359" max="4359" width="8.7109375" style="6" bestFit="1" customWidth="1"/>
    <col min="4360" max="4360" width="9.140625" style="6"/>
    <col min="4361" max="4361" width="10.140625" style="6" bestFit="1" customWidth="1"/>
    <col min="4362" max="4606" width="9.140625" style="6"/>
    <col min="4607" max="4607" width="30.42578125" style="6" customWidth="1"/>
    <col min="4608" max="4608" width="13.5703125" style="6" customWidth="1"/>
    <col min="4609" max="4609" width="15.140625" style="6" customWidth="1"/>
    <col min="4610" max="4610" width="13.42578125" style="6" customWidth="1"/>
    <col min="4611" max="4611" width="17.140625" style="6" customWidth="1"/>
    <col min="4612" max="4612" width="7.28515625" style="6" customWidth="1"/>
    <col min="4613" max="4613" width="3.28515625" style="6" customWidth="1"/>
    <col min="4614" max="4614" width="7.5703125" style="6" bestFit="1" customWidth="1"/>
    <col min="4615" max="4615" width="8.7109375" style="6" bestFit="1" customWidth="1"/>
    <col min="4616" max="4616" width="9.140625" style="6"/>
    <col min="4617" max="4617" width="10.140625" style="6" bestFit="1" customWidth="1"/>
    <col min="4618" max="4862" width="9.140625" style="6"/>
    <col min="4863" max="4863" width="30.42578125" style="6" customWidth="1"/>
    <col min="4864" max="4864" width="13.5703125" style="6" customWidth="1"/>
    <col min="4865" max="4865" width="15.140625" style="6" customWidth="1"/>
    <col min="4866" max="4866" width="13.42578125" style="6" customWidth="1"/>
    <col min="4867" max="4867" width="17.140625" style="6" customWidth="1"/>
    <col min="4868" max="4868" width="7.28515625" style="6" customWidth="1"/>
    <col min="4869" max="4869" width="3.28515625" style="6" customWidth="1"/>
    <col min="4870" max="4870" width="7.5703125" style="6" bestFit="1" customWidth="1"/>
    <col min="4871" max="4871" width="8.7109375" style="6" bestFit="1" customWidth="1"/>
    <col min="4872" max="4872" width="9.140625" style="6"/>
    <col min="4873" max="4873" width="10.140625" style="6" bestFit="1" customWidth="1"/>
    <col min="4874" max="5118" width="9.140625" style="6"/>
    <col min="5119" max="5119" width="30.42578125" style="6" customWidth="1"/>
    <col min="5120" max="5120" width="13.5703125" style="6" customWidth="1"/>
    <col min="5121" max="5121" width="15.140625" style="6" customWidth="1"/>
    <col min="5122" max="5122" width="13.42578125" style="6" customWidth="1"/>
    <col min="5123" max="5123" width="17.140625" style="6" customWidth="1"/>
    <col min="5124" max="5124" width="7.28515625" style="6" customWidth="1"/>
    <col min="5125" max="5125" width="3.28515625" style="6" customWidth="1"/>
    <col min="5126" max="5126" width="7.5703125" style="6" bestFit="1" customWidth="1"/>
    <col min="5127" max="5127" width="8.7109375" style="6" bestFit="1" customWidth="1"/>
    <col min="5128" max="5128" width="9.140625" style="6"/>
    <col min="5129" max="5129" width="10.140625" style="6" bestFit="1" customWidth="1"/>
    <col min="5130" max="5374" width="9.140625" style="6"/>
    <col min="5375" max="5375" width="30.42578125" style="6" customWidth="1"/>
    <col min="5376" max="5376" width="13.5703125" style="6" customWidth="1"/>
    <col min="5377" max="5377" width="15.140625" style="6" customWidth="1"/>
    <col min="5378" max="5378" width="13.42578125" style="6" customWidth="1"/>
    <col min="5379" max="5379" width="17.140625" style="6" customWidth="1"/>
    <col min="5380" max="5380" width="7.28515625" style="6" customWidth="1"/>
    <col min="5381" max="5381" width="3.28515625" style="6" customWidth="1"/>
    <col min="5382" max="5382" width="7.5703125" style="6" bestFit="1" customWidth="1"/>
    <col min="5383" max="5383" width="8.7109375" style="6" bestFit="1" customWidth="1"/>
    <col min="5384" max="5384" width="9.140625" style="6"/>
    <col min="5385" max="5385" width="10.140625" style="6" bestFit="1" customWidth="1"/>
    <col min="5386" max="5630" width="9.140625" style="6"/>
    <col min="5631" max="5631" width="30.42578125" style="6" customWidth="1"/>
    <col min="5632" max="5632" width="13.5703125" style="6" customWidth="1"/>
    <col min="5633" max="5633" width="15.140625" style="6" customWidth="1"/>
    <col min="5634" max="5634" width="13.42578125" style="6" customWidth="1"/>
    <col min="5635" max="5635" width="17.140625" style="6" customWidth="1"/>
    <col min="5636" max="5636" width="7.28515625" style="6" customWidth="1"/>
    <col min="5637" max="5637" width="3.28515625" style="6" customWidth="1"/>
    <col min="5638" max="5638" width="7.5703125" style="6" bestFit="1" customWidth="1"/>
    <col min="5639" max="5639" width="8.7109375" style="6" bestFit="1" customWidth="1"/>
    <col min="5640" max="5640" width="9.140625" style="6"/>
    <col min="5641" max="5641" width="10.140625" style="6" bestFit="1" customWidth="1"/>
    <col min="5642" max="5886" width="9.140625" style="6"/>
    <col min="5887" max="5887" width="30.42578125" style="6" customWidth="1"/>
    <col min="5888" max="5888" width="13.5703125" style="6" customWidth="1"/>
    <col min="5889" max="5889" width="15.140625" style="6" customWidth="1"/>
    <col min="5890" max="5890" width="13.42578125" style="6" customWidth="1"/>
    <col min="5891" max="5891" width="17.140625" style="6" customWidth="1"/>
    <col min="5892" max="5892" width="7.28515625" style="6" customWidth="1"/>
    <col min="5893" max="5893" width="3.28515625" style="6" customWidth="1"/>
    <col min="5894" max="5894" width="7.5703125" style="6" bestFit="1" customWidth="1"/>
    <col min="5895" max="5895" width="8.7109375" style="6" bestFit="1" customWidth="1"/>
    <col min="5896" max="5896" width="9.140625" style="6"/>
    <col min="5897" max="5897" width="10.140625" style="6" bestFit="1" customWidth="1"/>
    <col min="5898" max="6142" width="9.140625" style="6"/>
    <col min="6143" max="6143" width="30.42578125" style="6" customWidth="1"/>
    <col min="6144" max="6144" width="13.5703125" style="6" customWidth="1"/>
    <col min="6145" max="6145" width="15.140625" style="6" customWidth="1"/>
    <col min="6146" max="6146" width="13.42578125" style="6" customWidth="1"/>
    <col min="6147" max="6147" width="17.140625" style="6" customWidth="1"/>
    <col min="6148" max="6148" width="7.28515625" style="6" customWidth="1"/>
    <col min="6149" max="6149" width="3.28515625" style="6" customWidth="1"/>
    <col min="6150" max="6150" width="7.5703125" style="6" bestFit="1" customWidth="1"/>
    <col min="6151" max="6151" width="8.7109375" style="6" bestFit="1" customWidth="1"/>
    <col min="6152" max="6152" width="9.140625" style="6"/>
    <col min="6153" max="6153" width="10.140625" style="6" bestFit="1" customWidth="1"/>
    <col min="6154" max="6398" width="9.140625" style="6"/>
    <col min="6399" max="6399" width="30.42578125" style="6" customWidth="1"/>
    <col min="6400" max="6400" width="13.5703125" style="6" customWidth="1"/>
    <col min="6401" max="6401" width="15.140625" style="6" customWidth="1"/>
    <col min="6402" max="6402" width="13.42578125" style="6" customWidth="1"/>
    <col min="6403" max="6403" width="17.140625" style="6" customWidth="1"/>
    <col min="6404" max="6404" width="7.28515625" style="6" customWidth="1"/>
    <col min="6405" max="6405" width="3.28515625" style="6" customWidth="1"/>
    <col min="6406" max="6406" width="7.5703125" style="6" bestFit="1" customWidth="1"/>
    <col min="6407" max="6407" width="8.7109375" style="6" bestFit="1" customWidth="1"/>
    <col min="6408" max="6408" width="9.140625" style="6"/>
    <col min="6409" max="6409" width="10.140625" style="6" bestFit="1" customWidth="1"/>
    <col min="6410" max="6654" width="9.140625" style="6"/>
    <col min="6655" max="6655" width="30.42578125" style="6" customWidth="1"/>
    <col min="6656" max="6656" width="13.5703125" style="6" customWidth="1"/>
    <col min="6657" max="6657" width="15.140625" style="6" customWidth="1"/>
    <col min="6658" max="6658" width="13.42578125" style="6" customWidth="1"/>
    <col min="6659" max="6659" width="17.140625" style="6" customWidth="1"/>
    <col min="6660" max="6660" width="7.28515625" style="6" customWidth="1"/>
    <col min="6661" max="6661" width="3.28515625" style="6" customWidth="1"/>
    <col min="6662" max="6662" width="7.5703125" style="6" bestFit="1" customWidth="1"/>
    <col min="6663" max="6663" width="8.7109375" style="6" bestFit="1" customWidth="1"/>
    <col min="6664" max="6664" width="9.140625" style="6"/>
    <col min="6665" max="6665" width="10.140625" style="6" bestFit="1" customWidth="1"/>
    <col min="6666" max="6910" width="9.140625" style="6"/>
    <col min="6911" max="6911" width="30.42578125" style="6" customWidth="1"/>
    <col min="6912" max="6912" width="13.5703125" style="6" customWidth="1"/>
    <col min="6913" max="6913" width="15.140625" style="6" customWidth="1"/>
    <col min="6914" max="6914" width="13.42578125" style="6" customWidth="1"/>
    <col min="6915" max="6915" width="17.140625" style="6" customWidth="1"/>
    <col min="6916" max="6916" width="7.28515625" style="6" customWidth="1"/>
    <col min="6917" max="6917" width="3.28515625" style="6" customWidth="1"/>
    <col min="6918" max="6918" width="7.5703125" style="6" bestFit="1" customWidth="1"/>
    <col min="6919" max="6919" width="8.7109375" style="6" bestFit="1" customWidth="1"/>
    <col min="6920" max="6920" width="9.140625" style="6"/>
    <col min="6921" max="6921" width="10.140625" style="6" bestFit="1" customWidth="1"/>
    <col min="6922" max="7166" width="9.140625" style="6"/>
    <col min="7167" max="7167" width="30.42578125" style="6" customWidth="1"/>
    <col min="7168" max="7168" width="13.5703125" style="6" customWidth="1"/>
    <col min="7169" max="7169" width="15.140625" style="6" customWidth="1"/>
    <col min="7170" max="7170" width="13.42578125" style="6" customWidth="1"/>
    <col min="7171" max="7171" width="17.140625" style="6" customWidth="1"/>
    <col min="7172" max="7172" width="7.28515625" style="6" customWidth="1"/>
    <col min="7173" max="7173" width="3.28515625" style="6" customWidth="1"/>
    <col min="7174" max="7174" width="7.5703125" style="6" bestFit="1" customWidth="1"/>
    <col min="7175" max="7175" width="8.7109375" style="6" bestFit="1" customWidth="1"/>
    <col min="7176" max="7176" width="9.140625" style="6"/>
    <col min="7177" max="7177" width="10.140625" style="6" bestFit="1" customWidth="1"/>
    <col min="7178" max="7422" width="9.140625" style="6"/>
    <col min="7423" max="7423" width="30.42578125" style="6" customWidth="1"/>
    <col min="7424" max="7424" width="13.5703125" style="6" customWidth="1"/>
    <col min="7425" max="7425" width="15.140625" style="6" customWidth="1"/>
    <col min="7426" max="7426" width="13.42578125" style="6" customWidth="1"/>
    <col min="7427" max="7427" width="17.140625" style="6" customWidth="1"/>
    <col min="7428" max="7428" width="7.28515625" style="6" customWidth="1"/>
    <col min="7429" max="7429" width="3.28515625" style="6" customWidth="1"/>
    <col min="7430" max="7430" width="7.5703125" style="6" bestFit="1" customWidth="1"/>
    <col min="7431" max="7431" width="8.7109375" style="6" bestFit="1" customWidth="1"/>
    <col min="7432" max="7432" width="9.140625" style="6"/>
    <col min="7433" max="7433" width="10.140625" style="6" bestFit="1" customWidth="1"/>
    <col min="7434" max="7678" width="9.140625" style="6"/>
    <col min="7679" max="7679" width="30.42578125" style="6" customWidth="1"/>
    <col min="7680" max="7680" width="13.5703125" style="6" customWidth="1"/>
    <col min="7681" max="7681" width="15.140625" style="6" customWidth="1"/>
    <col min="7682" max="7682" width="13.42578125" style="6" customWidth="1"/>
    <col min="7683" max="7683" width="17.140625" style="6" customWidth="1"/>
    <col min="7684" max="7684" width="7.28515625" style="6" customWidth="1"/>
    <col min="7685" max="7685" width="3.28515625" style="6" customWidth="1"/>
    <col min="7686" max="7686" width="7.5703125" style="6" bestFit="1" customWidth="1"/>
    <col min="7687" max="7687" width="8.7109375" style="6" bestFit="1" customWidth="1"/>
    <col min="7688" max="7688" width="9.140625" style="6"/>
    <col min="7689" max="7689" width="10.140625" style="6" bestFit="1" customWidth="1"/>
    <col min="7690" max="7934" width="9.140625" style="6"/>
    <col min="7935" max="7935" width="30.42578125" style="6" customWidth="1"/>
    <col min="7936" max="7936" width="13.5703125" style="6" customWidth="1"/>
    <col min="7937" max="7937" width="15.140625" style="6" customWidth="1"/>
    <col min="7938" max="7938" width="13.42578125" style="6" customWidth="1"/>
    <col min="7939" max="7939" width="17.140625" style="6" customWidth="1"/>
    <col min="7940" max="7940" width="7.28515625" style="6" customWidth="1"/>
    <col min="7941" max="7941" width="3.28515625" style="6" customWidth="1"/>
    <col min="7942" max="7942" width="7.5703125" style="6" bestFit="1" customWidth="1"/>
    <col min="7943" max="7943" width="8.7109375" style="6" bestFit="1" customWidth="1"/>
    <col min="7944" max="7944" width="9.140625" style="6"/>
    <col min="7945" max="7945" width="10.140625" style="6" bestFit="1" customWidth="1"/>
    <col min="7946" max="8190" width="9.140625" style="6"/>
    <col min="8191" max="8191" width="30.42578125" style="6" customWidth="1"/>
    <col min="8192" max="8192" width="13.5703125" style="6" customWidth="1"/>
    <col min="8193" max="8193" width="15.140625" style="6" customWidth="1"/>
    <col min="8194" max="8194" width="13.42578125" style="6" customWidth="1"/>
    <col min="8195" max="8195" width="17.140625" style="6" customWidth="1"/>
    <col min="8196" max="8196" width="7.28515625" style="6" customWidth="1"/>
    <col min="8197" max="8197" width="3.28515625" style="6" customWidth="1"/>
    <col min="8198" max="8198" width="7.5703125" style="6" bestFit="1" customWidth="1"/>
    <col min="8199" max="8199" width="8.7109375" style="6" bestFit="1" customWidth="1"/>
    <col min="8200" max="8200" width="9.140625" style="6"/>
    <col min="8201" max="8201" width="10.140625" style="6" bestFit="1" customWidth="1"/>
    <col min="8202" max="8446" width="9.140625" style="6"/>
    <col min="8447" max="8447" width="30.42578125" style="6" customWidth="1"/>
    <col min="8448" max="8448" width="13.5703125" style="6" customWidth="1"/>
    <col min="8449" max="8449" width="15.140625" style="6" customWidth="1"/>
    <col min="8450" max="8450" width="13.42578125" style="6" customWidth="1"/>
    <col min="8451" max="8451" width="17.140625" style="6" customWidth="1"/>
    <col min="8452" max="8452" width="7.28515625" style="6" customWidth="1"/>
    <col min="8453" max="8453" width="3.28515625" style="6" customWidth="1"/>
    <col min="8454" max="8454" width="7.5703125" style="6" bestFit="1" customWidth="1"/>
    <col min="8455" max="8455" width="8.7109375" style="6" bestFit="1" customWidth="1"/>
    <col min="8456" max="8456" width="9.140625" style="6"/>
    <col min="8457" max="8457" width="10.140625" style="6" bestFit="1" customWidth="1"/>
    <col min="8458" max="8702" width="9.140625" style="6"/>
    <col min="8703" max="8703" width="30.42578125" style="6" customWidth="1"/>
    <col min="8704" max="8704" width="13.5703125" style="6" customWidth="1"/>
    <col min="8705" max="8705" width="15.140625" style="6" customWidth="1"/>
    <col min="8706" max="8706" width="13.42578125" style="6" customWidth="1"/>
    <col min="8707" max="8707" width="17.140625" style="6" customWidth="1"/>
    <col min="8708" max="8708" width="7.28515625" style="6" customWidth="1"/>
    <col min="8709" max="8709" width="3.28515625" style="6" customWidth="1"/>
    <col min="8710" max="8710" width="7.5703125" style="6" bestFit="1" customWidth="1"/>
    <col min="8711" max="8711" width="8.7109375" style="6" bestFit="1" customWidth="1"/>
    <col min="8712" max="8712" width="9.140625" style="6"/>
    <col min="8713" max="8713" width="10.140625" style="6" bestFit="1" customWidth="1"/>
    <col min="8714" max="8958" width="9.140625" style="6"/>
    <col min="8959" max="8959" width="30.42578125" style="6" customWidth="1"/>
    <col min="8960" max="8960" width="13.5703125" style="6" customWidth="1"/>
    <col min="8961" max="8961" width="15.140625" style="6" customWidth="1"/>
    <col min="8962" max="8962" width="13.42578125" style="6" customWidth="1"/>
    <col min="8963" max="8963" width="17.140625" style="6" customWidth="1"/>
    <col min="8964" max="8964" width="7.28515625" style="6" customWidth="1"/>
    <col min="8965" max="8965" width="3.28515625" style="6" customWidth="1"/>
    <col min="8966" max="8966" width="7.5703125" style="6" bestFit="1" customWidth="1"/>
    <col min="8967" max="8967" width="8.7109375" style="6" bestFit="1" customWidth="1"/>
    <col min="8968" max="8968" width="9.140625" style="6"/>
    <col min="8969" max="8969" width="10.140625" style="6" bestFit="1" customWidth="1"/>
    <col min="8970" max="9214" width="9.140625" style="6"/>
    <col min="9215" max="9215" width="30.42578125" style="6" customWidth="1"/>
    <col min="9216" max="9216" width="13.5703125" style="6" customWidth="1"/>
    <col min="9217" max="9217" width="15.140625" style="6" customWidth="1"/>
    <col min="9218" max="9218" width="13.42578125" style="6" customWidth="1"/>
    <col min="9219" max="9219" width="17.140625" style="6" customWidth="1"/>
    <col min="9220" max="9220" width="7.28515625" style="6" customWidth="1"/>
    <col min="9221" max="9221" width="3.28515625" style="6" customWidth="1"/>
    <col min="9222" max="9222" width="7.5703125" style="6" bestFit="1" customWidth="1"/>
    <col min="9223" max="9223" width="8.7109375" style="6" bestFit="1" customWidth="1"/>
    <col min="9224" max="9224" width="9.140625" style="6"/>
    <col min="9225" max="9225" width="10.140625" style="6" bestFit="1" customWidth="1"/>
    <col min="9226" max="9470" width="9.140625" style="6"/>
    <col min="9471" max="9471" width="30.42578125" style="6" customWidth="1"/>
    <col min="9472" max="9472" width="13.5703125" style="6" customWidth="1"/>
    <col min="9473" max="9473" width="15.140625" style="6" customWidth="1"/>
    <col min="9474" max="9474" width="13.42578125" style="6" customWidth="1"/>
    <col min="9475" max="9475" width="17.140625" style="6" customWidth="1"/>
    <col min="9476" max="9476" width="7.28515625" style="6" customWidth="1"/>
    <col min="9477" max="9477" width="3.28515625" style="6" customWidth="1"/>
    <col min="9478" max="9478" width="7.5703125" style="6" bestFit="1" customWidth="1"/>
    <col min="9479" max="9479" width="8.7109375" style="6" bestFit="1" customWidth="1"/>
    <col min="9480" max="9480" width="9.140625" style="6"/>
    <col min="9481" max="9481" width="10.140625" style="6" bestFit="1" customWidth="1"/>
    <col min="9482" max="9726" width="9.140625" style="6"/>
    <col min="9727" max="9727" width="30.42578125" style="6" customWidth="1"/>
    <col min="9728" max="9728" width="13.5703125" style="6" customWidth="1"/>
    <col min="9729" max="9729" width="15.140625" style="6" customWidth="1"/>
    <col min="9730" max="9730" width="13.42578125" style="6" customWidth="1"/>
    <col min="9731" max="9731" width="17.140625" style="6" customWidth="1"/>
    <col min="9732" max="9732" width="7.28515625" style="6" customWidth="1"/>
    <col min="9733" max="9733" width="3.28515625" style="6" customWidth="1"/>
    <col min="9734" max="9734" width="7.5703125" style="6" bestFit="1" customWidth="1"/>
    <col min="9735" max="9735" width="8.7109375" style="6" bestFit="1" customWidth="1"/>
    <col min="9736" max="9736" width="9.140625" style="6"/>
    <col min="9737" max="9737" width="10.140625" style="6" bestFit="1" customWidth="1"/>
    <col min="9738" max="9982" width="9.140625" style="6"/>
    <col min="9983" max="9983" width="30.42578125" style="6" customWidth="1"/>
    <col min="9984" max="9984" width="13.5703125" style="6" customWidth="1"/>
    <col min="9985" max="9985" width="15.140625" style="6" customWidth="1"/>
    <col min="9986" max="9986" width="13.42578125" style="6" customWidth="1"/>
    <col min="9987" max="9987" width="17.140625" style="6" customWidth="1"/>
    <col min="9988" max="9988" width="7.28515625" style="6" customWidth="1"/>
    <col min="9989" max="9989" width="3.28515625" style="6" customWidth="1"/>
    <col min="9990" max="9990" width="7.5703125" style="6" bestFit="1" customWidth="1"/>
    <col min="9991" max="9991" width="8.7109375" style="6" bestFit="1" customWidth="1"/>
    <col min="9992" max="9992" width="9.140625" style="6"/>
    <col min="9993" max="9993" width="10.140625" style="6" bestFit="1" customWidth="1"/>
    <col min="9994" max="10238" width="9.140625" style="6"/>
    <col min="10239" max="10239" width="30.42578125" style="6" customWidth="1"/>
    <col min="10240" max="10240" width="13.5703125" style="6" customWidth="1"/>
    <col min="10241" max="10241" width="15.140625" style="6" customWidth="1"/>
    <col min="10242" max="10242" width="13.42578125" style="6" customWidth="1"/>
    <col min="10243" max="10243" width="17.140625" style="6" customWidth="1"/>
    <col min="10244" max="10244" width="7.28515625" style="6" customWidth="1"/>
    <col min="10245" max="10245" width="3.28515625" style="6" customWidth="1"/>
    <col min="10246" max="10246" width="7.5703125" style="6" bestFit="1" customWidth="1"/>
    <col min="10247" max="10247" width="8.7109375" style="6" bestFit="1" customWidth="1"/>
    <col min="10248" max="10248" width="9.140625" style="6"/>
    <col min="10249" max="10249" width="10.140625" style="6" bestFit="1" customWidth="1"/>
    <col min="10250" max="10494" width="9.140625" style="6"/>
    <col min="10495" max="10495" width="30.42578125" style="6" customWidth="1"/>
    <col min="10496" max="10496" width="13.5703125" style="6" customWidth="1"/>
    <col min="10497" max="10497" width="15.140625" style="6" customWidth="1"/>
    <col min="10498" max="10498" width="13.42578125" style="6" customWidth="1"/>
    <col min="10499" max="10499" width="17.140625" style="6" customWidth="1"/>
    <col min="10500" max="10500" width="7.28515625" style="6" customWidth="1"/>
    <col min="10501" max="10501" width="3.28515625" style="6" customWidth="1"/>
    <col min="10502" max="10502" width="7.5703125" style="6" bestFit="1" customWidth="1"/>
    <col min="10503" max="10503" width="8.7109375" style="6" bestFit="1" customWidth="1"/>
    <col min="10504" max="10504" width="9.140625" style="6"/>
    <col min="10505" max="10505" width="10.140625" style="6" bestFit="1" customWidth="1"/>
    <col min="10506" max="10750" width="9.140625" style="6"/>
    <col min="10751" max="10751" width="30.42578125" style="6" customWidth="1"/>
    <col min="10752" max="10752" width="13.5703125" style="6" customWidth="1"/>
    <col min="10753" max="10753" width="15.140625" style="6" customWidth="1"/>
    <col min="10754" max="10754" width="13.42578125" style="6" customWidth="1"/>
    <col min="10755" max="10755" width="17.140625" style="6" customWidth="1"/>
    <col min="10756" max="10756" width="7.28515625" style="6" customWidth="1"/>
    <col min="10757" max="10757" width="3.28515625" style="6" customWidth="1"/>
    <col min="10758" max="10758" width="7.5703125" style="6" bestFit="1" customWidth="1"/>
    <col min="10759" max="10759" width="8.7109375" style="6" bestFit="1" customWidth="1"/>
    <col min="10760" max="10760" width="9.140625" style="6"/>
    <col min="10761" max="10761" width="10.140625" style="6" bestFit="1" customWidth="1"/>
    <col min="10762" max="11006" width="9.140625" style="6"/>
    <col min="11007" max="11007" width="30.42578125" style="6" customWidth="1"/>
    <col min="11008" max="11008" width="13.5703125" style="6" customWidth="1"/>
    <col min="11009" max="11009" width="15.140625" style="6" customWidth="1"/>
    <col min="11010" max="11010" width="13.42578125" style="6" customWidth="1"/>
    <col min="11011" max="11011" width="17.140625" style="6" customWidth="1"/>
    <col min="11012" max="11012" width="7.28515625" style="6" customWidth="1"/>
    <col min="11013" max="11013" width="3.28515625" style="6" customWidth="1"/>
    <col min="11014" max="11014" width="7.5703125" style="6" bestFit="1" customWidth="1"/>
    <col min="11015" max="11015" width="8.7109375" style="6" bestFit="1" customWidth="1"/>
    <col min="11016" max="11016" width="9.140625" style="6"/>
    <col min="11017" max="11017" width="10.140625" style="6" bestFit="1" customWidth="1"/>
    <col min="11018" max="11262" width="9.140625" style="6"/>
    <col min="11263" max="11263" width="30.42578125" style="6" customWidth="1"/>
    <col min="11264" max="11264" width="13.5703125" style="6" customWidth="1"/>
    <col min="11265" max="11265" width="15.140625" style="6" customWidth="1"/>
    <col min="11266" max="11266" width="13.42578125" style="6" customWidth="1"/>
    <col min="11267" max="11267" width="17.140625" style="6" customWidth="1"/>
    <col min="11268" max="11268" width="7.28515625" style="6" customWidth="1"/>
    <col min="11269" max="11269" width="3.28515625" style="6" customWidth="1"/>
    <col min="11270" max="11270" width="7.5703125" style="6" bestFit="1" customWidth="1"/>
    <col min="11271" max="11271" width="8.7109375" style="6" bestFit="1" customWidth="1"/>
    <col min="11272" max="11272" width="9.140625" style="6"/>
    <col min="11273" max="11273" width="10.140625" style="6" bestFit="1" customWidth="1"/>
    <col min="11274" max="11518" width="9.140625" style="6"/>
    <col min="11519" max="11519" width="30.42578125" style="6" customWidth="1"/>
    <col min="11520" max="11520" width="13.5703125" style="6" customWidth="1"/>
    <col min="11521" max="11521" width="15.140625" style="6" customWidth="1"/>
    <col min="11522" max="11522" width="13.42578125" style="6" customWidth="1"/>
    <col min="11523" max="11523" width="17.140625" style="6" customWidth="1"/>
    <col min="11524" max="11524" width="7.28515625" style="6" customWidth="1"/>
    <col min="11525" max="11525" width="3.28515625" style="6" customWidth="1"/>
    <col min="11526" max="11526" width="7.5703125" style="6" bestFit="1" customWidth="1"/>
    <col min="11527" max="11527" width="8.7109375" style="6" bestFit="1" customWidth="1"/>
    <col min="11528" max="11528" width="9.140625" style="6"/>
    <col min="11529" max="11529" width="10.140625" style="6" bestFit="1" customWidth="1"/>
    <col min="11530" max="11774" width="9.140625" style="6"/>
    <col min="11775" max="11775" width="30.42578125" style="6" customWidth="1"/>
    <col min="11776" max="11776" width="13.5703125" style="6" customWidth="1"/>
    <col min="11777" max="11777" width="15.140625" style="6" customWidth="1"/>
    <col min="11778" max="11778" width="13.42578125" style="6" customWidth="1"/>
    <col min="11779" max="11779" width="17.140625" style="6" customWidth="1"/>
    <col min="11780" max="11780" width="7.28515625" style="6" customWidth="1"/>
    <col min="11781" max="11781" width="3.28515625" style="6" customWidth="1"/>
    <col min="11782" max="11782" width="7.5703125" style="6" bestFit="1" customWidth="1"/>
    <col min="11783" max="11783" width="8.7109375" style="6" bestFit="1" customWidth="1"/>
    <col min="11784" max="11784" width="9.140625" style="6"/>
    <col min="11785" max="11785" width="10.140625" style="6" bestFit="1" customWidth="1"/>
    <col min="11786" max="12030" width="9.140625" style="6"/>
    <col min="12031" max="12031" width="30.42578125" style="6" customWidth="1"/>
    <col min="12032" max="12032" width="13.5703125" style="6" customWidth="1"/>
    <col min="12033" max="12033" width="15.140625" style="6" customWidth="1"/>
    <col min="12034" max="12034" width="13.42578125" style="6" customWidth="1"/>
    <col min="12035" max="12035" width="17.140625" style="6" customWidth="1"/>
    <col min="12036" max="12036" width="7.28515625" style="6" customWidth="1"/>
    <col min="12037" max="12037" width="3.28515625" style="6" customWidth="1"/>
    <col min="12038" max="12038" width="7.5703125" style="6" bestFit="1" customWidth="1"/>
    <col min="12039" max="12039" width="8.7109375" style="6" bestFit="1" customWidth="1"/>
    <col min="12040" max="12040" width="9.140625" style="6"/>
    <col min="12041" max="12041" width="10.140625" style="6" bestFit="1" customWidth="1"/>
    <col min="12042" max="12286" width="9.140625" style="6"/>
    <col min="12287" max="12287" width="30.42578125" style="6" customWidth="1"/>
    <col min="12288" max="12288" width="13.5703125" style="6" customWidth="1"/>
    <col min="12289" max="12289" width="15.140625" style="6" customWidth="1"/>
    <col min="12290" max="12290" width="13.42578125" style="6" customWidth="1"/>
    <col min="12291" max="12291" width="17.140625" style="6" customWidth="1"/>
    <col min="12292" max="12292" width="7.28515625" style="6" customWidth="1"/>
    <col min="12293" max="12293" width="3.28515625" style="6" customWidth="1"/>
    <col min="12294" max="12294" width="7.5703125" style="6" bestFit="1" customWidth="1"/>
    <col min="12295" max="12295" width="8.7109375" style="6" bestFit="1" customWidth="1"/>
    <col min="12296" max="12296" width="9.140625" style="6"/>
    <col min="12297" max="12297" width="10.140625" style="6" bestFit="1" customWidth="1"/>
    <col min="12298" max="12542" width="9.140625" style="6"/>
    <col min="12543" max="12543" width="30.42578125" style="6" customWidth="1"/>
    <col min="12544" max="12544" width="13.5703125" style="6" customWidth="1"/>
    <col min="12545" max="12545" width="15.140625" style="6" customWidth="1"/>
    <col min="12546" max="12546" width="13.42578125" style="6" customWidth="1"/>
    <col min="12547" max="12547" width="17.140625" style="6" customWidth="1"/>
    <col min="12548" max="12548" width="7.28515625" style="6" customWidth="1"/>
    <col min="12549" max="12549" width="3.28515625" style="6" customWidth="1"/>
    <col min="12550" max="12550" width="7.5703125" style="6" bestFit="1" customWidth="1"/>
    <col min="12551" max="12551" width="8.7109375" style="6" bestFit="1" customWidth="1"/>
    <col min="12552" max="12552" width="9.140625" style="6"/>
    <col min="12553" max="12553" width="10.140625" style="6" bestFit="1" customWidth="1"/>
    <col min="12554" max="12798" width="9.140625" style="6"/>
    <col min="12799" max="12799" width="30.42578125" style="6" customWidth="1"/>
    <col min="12800" max="12800" width="13.5703125" style="6" customWidth="1"/>
    <col min="12801" max="12801" width="15.140625" style="6" customWidth="1"/>
    <col min="12802" max="12802" width="13.42578125" style="6" customWidth="1"/>
    <col min="12803" max="12803" width="17.140625" style="6" customWidth="1"/>
    <col min="12804" max="12804" width="7.28515625" style="6" customWidth="1"/>
    <col min="12805" max="12805" width="3.28515625" style="6" customWidth="1"/>
    <col min="12806" max="12806" width="7.5703125" style="6" bestFit="1" customWidth="1"/>
    <col min="12807" max="12807" width="8.7109375" style="6" bestFit="1" customWidth="1"/>
    <col min="12808" max="12808" width="9.140625" style="6"/>
    <col min="12809" max="12809" width="10.140625" style="6" bestFit="1" customWidth="1"/>
    <col min="12810" max="13054" width="9.140625" style="6"/>
    <col min="13055" max="13055" width="30.42578125" style="6" customWidth="1"/>
    <col min="13056" max="13056" width="13.5703125" style="6" customWidth="1"/>
    <col min="13057" max="13057" width="15.140625" style="6" customWidth="1"/>
    <col min="13058" max="13058" width="13.42578125" style="6" customWidth="1"/>
    <col min="13059" max="13059" width="17.140625" style="6" customWidth="1"/>
    <col min="13060" max="13060" width="7.28515625" style="6" customWidth="1"/>
    <col min="13061" max="13061" width="3.28515625" style="6" customWidth="1"/>
    <col min="13062" max="13062" width="7.5703125" style="6" bestFit="1" customWidth="1"/>
    <col min="13063" max="13063" width="8.7109375" style="6" bestFit="1" customWidth="1"/>
    <col min="13064" max="13064" width="9.140625" style="6"/>
    <col min="13065" max="13065" width="10.140625" style="6" bestFit="1" customWidth="1"/>
    <col min="13066" max="13310" width="9.140625" style="6"/>
    <col min="13311" max="13311" width="30.42578125" style="6" customWidth="1"/>
    <col min="13312" max="13312" width="13.5703125" style="6" customWidth="1"/>
    <col min="13313" max="13313" width="15.140625" style="6" customWidth="1"/>
    <col min="13314" max="13314" width="13.42578125" style="6" customWidth="1"/>
    <col min="13315" max="13315" width="17.140625" style="6" customWidth="1"/>
    <col min="13316" max="13316" width="7.28515625" style="6" customWidth="1"/>
    <col min="13317" max="13317" width="3.28515625" style="6" customWidth="1"/>
    <col min="13318" max="13318" width="7.5703125" style="6" bestFit="1" customWidth="1"/>
    <col min="13319" max="13319" width="8.7109375" style="6" bestFit="1" customWidth="1"/>
    <col min="13320" max="13320" width="9.140625" style="6"/>
    <col min="13321" max="13321" width="10.140625" style="6" bestFit="1" customWidth="1"/>
    <col min="13322" max="13566" width="9.140625" style="6"/>
    <col min="13567" max="13567" width="30.42578125" style="6" customWidth="1"/>
    <col min="13568" max="13568" width="13.5703125" style="6" customWidth="1"/>
    <col min="13569" max="13569" width="15.140625" style="6" customWidth="1"/>
    <col min="13570" max="13570" width="13.42578125" style="6" customWidth="1"/>
    <col min="13571" max="13571" width="17.140625" style="6" customWidth="1"/>
    <col min="13572" max="13572" width="7.28515625" style="6" customWidth="1"/>
    <col min="13573" max="13573" width="3.28515625" style="6" customWidth="1"/>
    <col min="13574" max="13574" width="7.5703125" style="6" bestFit="1" customWidth="1"/>
    <col min="13575" max="13575" width="8.7109375" style="6" bestFit="1" customWidth="1"/>
    <col min="13576" max="13576" width="9.140625" style="6"/>
    <col min="13577" max="13577" width="10.140625" style="6" bestFit="1" customWidth="1"/>
    <col min="13578" max="13822" width="9.140625" style="6"/>
    <col min="13823" max="13823" width="30.42578125" style="6" customWidth="1"/>
    <col min="13824" max="13824" width="13.5703125" style="6" customWidth="1"/>
    <col min="13825" max="13825" width="15.140625" style="6" customWidth="1"/>
    <col min="13826" max="13826" width="13.42578125" style="6" customWidth="1"/>
    <col min="13827" max="13827" width="17.140625" style="6" customWidth="1"/>
    <col min="13828" max="13828" width="7.28515625" style="6" customWidth="1"/>
    <col min="13829" max="13829" width="3.28515625" style="6" customWidth="1"/>
    <col min="13830" max="13830" width="7.5703125" style="6" bestFit="1" customWidth="1"/>
    <col min="13831" max="13831" width="8.7109375" style="6" bestFit="1" customWidth="1"/>
    <col min="13832" max="13832" width="9.140625" style="6"/>
    <col min="13833" max="13833" width="10.140625" style="6" bestFit="1" customWidth="1"/>
    <col min="13834" max="14078" width="9.140625" style="6"/>
    <col min="14079" max="14079" width="30.42578125" style="6" customWidth="1"/>
    <col min="14080" max="14080" width="13.5703125" style="6" customWidth="1"/>
    <col min="14081" max="14081" width="15.140625" style="6" customWidth="1"/>
    <col min="14082" max="14082" width="13.42578125" style="6" customWidth="1"/>
    <col min="14083" max="14083" width="17.140625" style="6" customWidth="1"/>
    <col min="14084" max="14084" width="7.28515625" style="6" customWidth="1"/>
    <col min="14085" max="14085" width="3.28515625" style="6" customWidth="1"/>
    <col min="14086" max="14086" width="7.5703125" style="6" bestFit="1" customWidth="1"/>
    <col min="14087" max="14087" width="8.7109375" style="6" bestFit="1" customWidth="1"/>
    <col min="14088" max="14088" width="9.140625" style="6"/>
    <col min="14089" max="14089" width="10.140625" style="6" bestFit="1" customWidth="1"/>
    <col min="14090" max="14334" width="9.140625" style="6"/>
    <col min="14335" max="14335" width="30.42578125" style="6" customWidth="1"/>
    <col min="14336" max="14336" width="13.5703125" style="6" customWidth="1"/>
    <col min="14337" max="14337" width="15.140625" style="6" customWidth="1"/>
    <col min="14338" max="14338" width="13.42578125" style="6" customWidth="1"/>
    <col min="14339" max="14339" width="17.140625" style="6" customWidth="1"/>
    <col min="14340" max="14340" width="7.28515625" style="6" customWidth="1"/>
    <col min="14341" max="14341" width="3.28515625" style="6" customWidth="1"/>
    <col min="14342" max="14342" width="7.5703125" style="6" bestFit="1" customWidth="1"/>
    <col min="14343" max="14343" width="8.7109375" style="6" bestFit="1" customWidth="1"/>
    <col min="14344" max="14344" width="9.140625" style="6"/>
    <col min="14345" max="14345" width="10.140625" style="6" bestFit="1" customWidth="1"/>
    <col min="14346" max="14590" width="9.140625" style="6"/>
    <col min="14591" max="14591" width="30.42578125" style="6" customWidth="1"/>
    <col min="14592" max="14592" width="13.5703125" style="6" customWidth="1"/>
    <col min="14593" max="14593" width="15.140625" style="6" customWidth="1"/>
    <col min="14594" max="14594" width="13.42578125" style="6" customWidth="1"/>
    <col min="14595" max="14595" width="17.140625" style="6" customWidth="1"/>
    <col min="14596" max="14596" width="7.28515625" style="6" customWidth="1"/>
    <col min="14597" max="14597" width="3.28515625" style="6" customWidth="1"/>
    <col min="14598" max="14598" width="7.5703125" style="6" bestFit="1" customWidth="1"/>
    <col min="14599" max="14599" width="8.7109375" style="6" bestFit="1" customWidth="1"/>
    <col min="14600" max="14600" width="9.140625" style="6"/>
    <col min="14601" max="14601" width="10.140625" style="6" bestFit="1" customWidth="1"/>
    <col min="14602" max="14846" width="9.140625" style="6"/>
    <col min="14847" max="14847" width="30.42578125" style="6" customWidth="1"/>
    <col min="14848" max="14848" width="13.5703125" style="6" customWidth="1"/>
    <col min="14849" max="14849" width="15.140625" style="6" customWidth="1"/>
    <col min="14850" max="14850" width="13.42578125" style="6" customWidth="1"/>
    <col min="14851" max="14851" width="17.140625" style="6" customWidth="1"/>
    <col min="14852" max="14852" width="7.28515625" style="6" customWidth="1"/>
    <col min="14853" max="14853" width="3.28515625" style="6" customWidth="1"/>
    <col min="14854" max="14854" width="7.5703125" style="6" bestFit="1" customWidth="1"/>
    <col min="14855" max="14855" width="8.7109375" style="6" bestFit="1" customWidth="1"/>
    <col min="14856" max="14856" width="9.140625" style="6"/>
    <col min="14857" max="14857" width="10.140625" style="6" bestFit="1" customWidth="1"/>
    <col min="14858" max="15102" width="9.140625" style="6"/>
    <col min="15103" max="15103" width="30.42578125" style="6" customWidth="1"/>
    <col min="15104" max="15104" width="13.5703125" style="6" customWidth="1"/>
    <col min="15105" max="15105" width="15.140625" style="6" customWidth="1"/>
    <col min="15106" max="15106" width="13.42578125" style="6" customWidth="1"/>
    <col min="15107" max="15107" width="17.140625" style="6" customWidth="1"/>
    <col min="15108" max="15108" width="7.28515625" style="6" customWidth="1"/>
    <col min="15109" max="15109" width="3.28515625" style="6" customWidth="1"/>
    <col min="15110" max="15110" width="7.5703125" style="6" bestFit="1" customWidth="1"/>
    <col min="15111" max="15111" width="8.7109375" style="6" bestFit="1" customWidth="1"/>
    <col min="15112" max="15112" width="9.140625" style="6"/>
    <col min="15113" max="15113" width="10.140625" style="6" bestFit="1" customWidth="1"/>
    <col min="15114" max="15358" width="9.140625" style="6"/>
    <col min="15359" max="15359" width="30.42578125" style="6" customWidth="1"/>
    <col min="15360" max="15360" width="13.5703125" style="6" customWidth="1"/>
    <col min="15361" max="15361" width="15.140625" style="6" customWidth="1"/>
    <col min="15362" max="15362" width="13.42578125" style="6" customWidth="1"/>
    <col min="15363" max="15363" width="17.140625" style="6" customWidth="1"/>
    <col min="15364" max="15364" width="7.28515625" style="6" customWidth="1"/>
    <col min="15365" max="15365" width="3.28515625" style="6" customWidth="1"/>
    <col min="15366" max="15366" width="7.5703125" style="6" bestFit="1" customWidth="1"/>
    <col min="15367" max="15367" width="8.7109375" style="6" bestFit="1" customWidth="1"/>
    <col min="15368" max="15368" width="9.140625" style="6"/>
    <col min="15369" max="15369" width="10.140625" style="6" bestFit="1" customWidth="1"/>
    <col min="15370" max="15614" width="9.140625" style="6"/>
    <col min="15615" max="15615" width="30.42578125" style="6" customWidth="1"/>
    <col min="15616" max="15616" width="13.5703125" style="6" customWidth="1"/>
    <col min="15617" max="15617" width="15.140625" style="6" customWidth="1"/>
    <col min="15618" max="15618" width="13.42578125" style="6" customWidth="1"/>
    <col min="15619" max="15619" width="17.140625" style="6" customWidth="1"/>
    <col min="15620" max="15620" width="7.28515625" style="6" customWidth="1"/>
    <col min="15621" max="15621" width="3.28515625" style="6" customWidth="1"/>
    <col min="15622" max="15622" width="7.5703125" style="6" bestFit="1" customWidth="1"/>
    <col min="15623" max="15623" width="8.7109375" style="6" bestFit="1" customWidth="1"/>
    <col min="15624" max="15624" width="9.140625" style="6"/>
    <col min="15625" max="15625" width="10.140625" style="6" bestFit="1" customWidth="1"/>
    <col min="15626" max="15870" width="9.140625" style="6"/>
    <col min="15871" max="15871" width="30.42578125" style="6" customWidth="1"/>
    <col min="15872" max="15872" width="13.5703125" style="6" customWidth="1"/>
    <col min="15873" max="15873" width="15.140625" style="6" customWidth="1"/>
    <col min="15874" max="15874" width="13.42578125" style="6" customWidth="1"/>
    <col min="15875" max="15875" width="17.140625" style="6" customWidth="1"/>
    <col min="15876" max="15876" width="7.28515625" style="6" customWidth="1"/>
    <col min="15877" max="15877" width="3.28515625" style="6" customWidth="1"/>
    <col min="15878" max="15878" width="7.5703125" style="6" bestFit="1" customWidth="1"/>
    <col min="15879" max="15879" width="8.7109375" style="6" bestFit="1" customWidth="1"/>
    <col min="15880" max="15880" width="9.140625" style="6"/>
    <col min="15881" max="15881" width="10.140625" style="6" bestFit="1" customWidth="1"/>
    <col min="15882" max="16126" width="9.140625" style="6"/>
    <col min="16127" max="16127" width="30.42578125" style="6" customWidth="1"/>
    <col min="16128" max="16128" width="13.5703125" style="6" customWidth="1"/>
    <col min="16129" max="16129" width="15.140625" style="6" customWidth="1"/>
    <col min="16130" max="16130" width="13.42578125" style="6" customWidth="1"/>
    <col min="16131" max="16131" width="17.140625" style="6" customWidth="1"/>
    <col min="16132" max="16132" width="7.28515625" style="6" customWidth="1"/>
    <col min="16133" max="16133" width="3.28515625" style="6" customWidth="1"/>
    <col min="16134" max="16134" width="7.5703125" style="6" bestFit="1" customWidth="1"/>
    <col min="16135" max="16135" width="8.7109375" style="6" bestFit="1" customWidth="1"/>
    <col min="16136" max="16136" width="9.140625" style="6"/>
    <col min="16137" max="16137" width="10.140625" style="6" bestFit="1" customWidth="1"/>
    <col min="16138" max="16384" width="9.140625" style="6"/>
  </cols>
  <sheetData>
    <row r="1" spans="1:22" ht="15.75">
      <c r="A1" s="205" t="s">
        <v>481</v>
      </c>
    </row>
    <row r="2" spans="1:22" ht="15.75">
      <c r="A2" s="211" t="str">
        <f xml:space="preserve"> TEXT(Referrals!B6,"mmm yyyy")&amp;" - "&amp;TEXT(Referrals!P6,"mmm yyyy")</f>
        <v>Apr 2020 - Jun 2021</v>
      </c>
      <c r="B2" s="97"/>
      <c r="C2" s="97"/>
      <c r="D2" s="97"/>
    </row>
    <row r="3" spans="1:22">
      <c r="A3" s="207" t="s">
        <v>186</v>
      </c>
      <c r="B3" s="97"/>
      <c r="C3" s="97"/>
      <c r="D3" s="97"/>
    </row>
    <row r="4" spans="1:22">
      <c r="A4" s="199" t="s">
        <v>453</v>
      </c>
      <c r="C4" s="9"/>
      <c r="D4" s="9"/>
    </row>
    <row r="5" spans="1:22">
      <c r="A5" s="9"/>
      <c r="C5" s="9"/>
      <c r="D5" s="9"/>
    </row>
    <row r="6" spans="1:22">
      <c r="A6" s="97"/>
      <c r="B6" s="97"/>
      <c r="C6" s="97"/>
      <c r="D6" s="97"/>
    </row>
    <row r="7" spans="1:22" s="131" customFormat="1" ht="43.5" customHeight="1">
      <c r="A7" s="130"/>
      <c r="B7" s="143" t="s">
        <v>363</v>
      </c>
      <c r="C7" s="143" t="s">
        <v>2220</v>
      </c>
      <c r="D7" s="130"/>
      <c r="E7" s="143" t="s">
        <v>363</v>
      </c>
      <c r="F7" s="143" t="s">
        <v>2220</v>
      </c>
      <c r="G7" s="130"/>
      <c r="H7" s="143" t="s">
        <v>363</v>
      </c>
      <c r="I7" s="143" t="s">
        <v>2220</v>
      </c>
      <c r="J7" s="130"/>
      <c r="K7" s="143" t="s">
        <v>363</v>
      </c>
      <c r="L7" s="143" t="s">
        <v>2220</v>
      </c>
      <c r="N7" s="143" t="s">
        <v>363</v>
      </c>
      <c r="O7" s="143" t="s">
        <v>2220</v>
      </c>
      <c r="Q7" s="144"/>
      <c r="R7" s="144"/>
      <c r="S7" s="130"/>
      <c r="T7" s="144"/>
      <c r="U7" s="144"/>
    </row>
    <row r="8" spans="1:22" s="131" customFormat="1" ht="12.75" customHeight="1">
      <c r="A8" s="130"/>
      <c r="B8" s="466" t="str">
        <f>TEXT(Referrals!B51,"mmm-yy")&amp;" to "&amp;TEXT(Referrals!D51,"mmm-yy")</f>
        <v>Apr-20 to Jun-20</v>
      </c>
      <c r="C8" s="467"/>
      <c r="D8" s="130"/>
      <c r="E8" s="464" t="str">
        <f>TEXT(Referrals!E51,"mmm-yy")&amp;" to "&amp;TEXT(Referrals!G51,"mmm-yy")</f>
        <v>Jul-20 to Sep-20</v>
      </c>
      <c r="F8" s="465"/>
      <c r="G8" s="130"/>
      <c r="H8" s="464" t="str">
        <f>TEXT(Referrals!H51,"mmm-yy")&amp;" to "&amp;TEXT(Referrals!J51,"mmm-yy")</f>
        <v>Oct-20 to Dec-20</v>
      </c>
      <c r="I8" s="465"/>
      <c r="J8" s="130"/>
      <c r="K8" s="464" t="str">
        <f>TEXT(Referrals!K51,"mmm-yy")&amp;" to "&amp;TEXT(Referrals!M51,"mmm-yy")</f>
        <v>Jan-21 to Mar-21</v>
      </c>
      <c r="L8" s="465"/>
      <c r="M8" s="133"/>
      <c r="N8" s="464" t="str">
        <f>TEXT(Referrals!N51,"mmm-yy")&amp;" to "&amp;TEXT(Referrals!P51,"mmm-yy")</f>
        <v>Apr-21 to Jun-21</v>
      </c>
      <c r="O8" s="465"/>
      <c r="P8" s="133"/>
      <c r="Q8" s="461"/>
      <c r="R8" s="461"/>
      <c r="S8" s="130"/>
      <c r="T8" s="461"/>
      <c r="U8" s="461"/>
    </row>
    <row r="9" spans="1:22" s="131" customFormat="1" ht="12.75">
      <c r="A9" s="300" t="s">
        <v>28</v>
      </c>
      <c r="B9" s="306">
        <v>2599</v>
      </c>
      <c r="C9" s="307">
        <v>2578</v>
      </c>
      <c r="D9" s="230"/>
      <c r="E9" s="306">
        <v>3974</v>
      </c>
      <c r="F9" s="307">
        <v>3920</v>
      </c>
      <c r="G9" s="230"/>
      <c r="H9" s="306">
        <v>3862</v>
      </c>
      <c r="I9" s="307">
        <v>3809</v>
      </c>
      <c r="J9" s="230"/>
      <c r="K9" s="306">
        <v>3933</v>
      </c>
      <c r="L9" s="307">
        <v>3891</v>
      </c>
      <c r="M9" s="231"/>
      <c r="N9" s="306">
        <v>4585</v>
      </c>
      <c r="O9" s="307">
        <v>4545</v>
      </c>
      <c r="Q9" s="134"/>
      <c r="R9" s="134"/>
      <c r="S9" s="130"/>
      <c r="T9" s="134"/>
      <c r="U9" s="134"/>
    </row>
    <row r="10" spans="1:22" s="131" customFormat="1" ht="12.75">
      <c r="A10" s="301" t="s">
        <v>136</v>
      </c>
      <c r="B10" s="304">
        <v>24</v>
      </c>
      <c r="C10" s="302">
        <v>17</v>
      </c>
      <c r="D10" s="232"/>
      <c r="E10" s="304">
        <v>63</v>
      </c>
      <c r="F10" s="302">
        <v>43</v>
      </c>
      <c r="G10" s="232"/>
      <c r="H10" s="304">
        <v>56</v>
      </c>
      <c r="I10" s="302">
        <v>46</v>
      </c>
      <c r="J10" s="232"/>
      <c r="K10" s="304">
        <v>45</v>
      </c>
      <c r="L10" s="302">
        <v>22</v>
      </c>
      <c r="M10" s="231"/>
      <c r="N10" s="304">
        <v>82</v>
      </c>
      <c r="O10" s="302">
        <v>71</v>
      </c>
      <c r="Q10" s="135"/>
      <c r="R10" s="136"/>
      <c r="S10" s="130"/>
      <c r="T10" s="135"/>
      <c r="U10" s="136"/>
      <c r="V10" s="153"/>
    </row>
    <row r="11" spans="1:22" s="131" customFormat="1" ht="12.75">
      <c r="A11" s="301" t="s">
        <v>137</v>
      </c>
      <c r="B11" s="304">
        <v>2</v>
      </c>
      <c r="C11" s="302">
        <v>2</v>
      </c>
      <c r="D11" s="232"/>
      <c r="E11" s="304">
        <v>21</v>
      </c>
      <c r="F11" s="302">
        <v>16</v>
      </c>
      <c r="G11" s="232"/>
      <c r="H11" s="304">
        <v>53</v>
      </c>
      <c r="I11" s="302">
        <v>52</v>
      </c>
      <c r="J11" s="232"/>
      <c r="K11" s="304">
        <v>38</v>
      </c>
      <c r="L11" s="302">
        <v>38</v>
      </c>
      <c r="M11" s="231"/>
      <c r="N11" s="304">
        <v>103</v>
      </c>
      <c r="O11" s="302">
        <v>101</v>
      </c>
      <c r="Q11" s="135"/>
      <c r="R11" s="136"/>
      <c r="S11" s="130"/>
      <c r="T11" s="135"/>
      <c r="U11" s="136"/>
      <c r="V11" s="153"/>
    </row>
    <row r="12" spans="1:22" s="131" customFormat="1" ht="12.75">
      <c r="A12" s="301" t="s">
        <v>160</v>
      </c>
      <c r="B12" s="304">
        <v>13</v>
      </c>
      <c r="C12" s="302">
        <v>13</v>
      </c>
      <c r="D12" s="232"/>
      <c r="E12" s="304">
        <v>42</v>
      </c>
      <c r="F12" s="302">
        <v>41</v>
      </c>
      <c r="G12" s="232"/>
      <c r="H12" s="304">
        <v>99</v>
      </c>
      <c r="I12" s="302">
        <v>99</v>
      </c>
      <c r="J12" s="232"/>
      <c r="K12" s="304">
        <v>79</v>
      </c>
      <c r="L12" s="302">
        <v>79</v>
      </c>
      <c r="M12" s="231"/>
      <c r="N12" s="304">
        <v>78</v>
      </c>
      <c r="O12" s="302">
        <v>76</v>
      </c>
      <c r="Q12" s="135"/>
      <c r="R12" s="136"/>
      <c r="S12" s="130"/>
      <c r="T12" s="135"/>
      <c r="U12" s="136"/>
      <c r="V12" s="153"/>
    </row>
    <row r="13" spans="1:22" s="131" customFormat="1" ht="12.75">
      <c r="A13" s="301" t="s">
        <v>138</v>
      </c>
      <c r="B13" s="304">
        <v>21</v>
      </c>
      <c r="C13" s="302">
        <v>20</v>
      </c>
      <c r="D13" s="232"/>
      <c r="E13" s="304">
        <v>54</v>
      </c>
      <c r="F13" s="302">
        <v>53</v>
      </c>
      <c r="G13" s="232"/>
      <c r="H13" s="304">
        <v>67</v>
      </c>
      <c r="I13" s="302">
        <v>67</v>
      </c>
      <c r="J13" s="232"/>
      <c r="K13" s="304">
        <v>52</v>
      </c>
      <c r="L13" s="302">
        <v>52</v>
      </c>
      <c r="M13" s="231"/>
      <c r="N13" s="304">
        <v>80</v>
      </c>
      <c r="O13" s="302">
        <v>79</v>
      </c>
      <c r="Q13" s="135"/>
      <c r="R13" s="136"/>
      <c r="S13" s="130"/>
      <c r="T13" s="135"/>
      <c r="U13" s="136"/>
      <c r="V13" s="153"/>
    </row>
    <row r="14" spans="1:22" s="131" customFormat="1" ht="12.75">
      <c r="A14" s="301" t="s">
        <v>139</v>
      </c>
      <c r="B14" s="304">
        <v>28</v>
      </c>
      <c r="C14" s="302">
        <v>27</v>
      </c>
      <c r="D14" s="232"/>
      <c r="E14" s="304">
        <v>35</v>
      </c>
      <c r="F14" s="302">
        <v>34</v>
      </c>
      <c r="G14" s="232"/>
      <c r="H14" s="304">
        <v>64</v>
      </c>
      <c r="I14" s="302">
        <v>56</v>
      </c>
      <c r="J14" s="232"/>
      <c r="K14" s="304">
        <v>70</v>
      </c>
      <c r="L14" s="302">
        <v>68</v>
      </c>
      <c r="M14" s="231"/>
      <c r="N14" s="304">
        <v>79</v>
      </c>
      <c r="O14" s="302">
        <v>76</v>
      </c>
      <c r="Q14" s="135"/>
      <c r="R14" s="136"/>
      <c r="S14" s="130"/>
      <c r="T14" s="135"/>
      <c r="U14" s="136"/>
      <c r="V14" s="153"/>
    </row>
    <row r="15" spans="1:22" s="131" customFormat="1" ht="12.75">
      <c r="A15" s="301" t="s">
        <v>140</v>
      </c>
      <c r="B15" s="304">
        <v>18</v>
      </c>
      <c r="C15" s="302">
        <v>18</v>
      </c>
      <c r="D15" s="232"/>
      <c r="E15" s="304">
        <v>34</v>
      </c>
      <c r="F15" s="302">
        <v>34</v>
      </c>
      <c r="G15" s="232"/>
      <c r="H15" s="304">
        <v>50</v>
      </c>
      <c r="I15" s="302">
        <v>50</v>
      </c>
      <c r="J15" s="232"/>
      <c r="K15" s="304">
        <v>57</v>
      </c>
      <c r="L15" s="302">
        <v>57</v>
      </c>
      <c r="M15" s="231"/>
      <c r="N15" s="304">
        <v>100</v>
      </c>
      <c r="O15" s="302">
        <v>100</v>
      </c>
      <c r="Q15" s="135"/>
      <c r="R15" s="136"/>
      <c r="S15" s="130"/>
      <c r="T15" s="135"/>
      <c r="U15" s="136"/>
      <c r="V15" s="153"/>
    </row>
    <row r="16" spans="1:22" s="131" customFormat="1" ht="12.75">
      <c r="A16" s="301" t="s">
        <v>141</v>
      </c>
      <c r="B16" s="304">
        <v>2061</v>
      </c>
      <c r="C16" s="302">
        <v>2061</v>
      </c>
      <c r="D16" s="232"/>
      <c r="E16" s="304">
        <v>2961</v>
      </c>
      <c r="F16" s="302">
        <v>2961</v>
      </c>
      <c r="G16" s="232"/>
      <c r="H16" s="304">
        <v>2796</v>
      </c>
      <c r="I16" s="302">
        <v>2796</v>
      </c>
      <c r="J16" s="232"/>
      <c r="K16" s="304">
        <v>2819</v>
      </c>
      <c r="L16" s="302">
        <v>2819</v>
      </c>
      <c r="M16" s="231"/>
      <c r="N16" s="304">
        <v>3111</v>
      </c>
      <c r="O16" s="302">
        <v>3111</v>
      </c>
      <c r="Q16" s="135"/>
      <c r="R16" s="136"/>
      <c r="S16" s="130"/>
      <c r="T16" s="135"/>
      <c r="U16" s="136"/>
      <c r="V16" s="153"/>
    </row>
    <row r="17" spans="1:22" s="131" customFormat="1" ht="12.75">
      <c r="A17" s="301" t="s">
        <v>142</v>
      </c>
      <c r="B17" s="304">
        <v>60</v>
      </c>
      <c r="C17" s="302">
        <v>60</v>
      </c>
      <c r="D17" s="232"/>
      <c r="E17" s="304">
        <v>78</v>
      </c>
      <c r="F17" s="302">
        <v>77</v>
      </c>
      <c r="G17" s="232"/>
      <c r="H17" s="304">
        <v>78</v>
      </c>
      <c r="I17" s="302">
        <v>75</v>
      </c>
      <c r="J17" s="232"/>
      <c r="K17" s="304">
        <v>83</v>
      </c>
      <c r="L17" s="302">
        <v>83</v>
      </c>
      <c r="M17" s="231"/>
      <c r="N17" s="304">
        <v>135</v>
      </c>
      <c r="O17" s="302">
        <v>133</v>
      </c>
      <c r="Q17" s="135"/>
      <c r="R17" s="136"/>
      <c r="S17" s="130"/>
      <c r="T17" s="135"/>
      <c r="U17" s="136"/>
      <c r="V17" s="153"/>
    </row>
    <row r="18" spans="1:22" s="131" customFormat="1" ht="12.75">
      <c r="A18" s="301" t="s">
        <v>192</v>
      </c>
      <c r="B18" s="304">
        <v>56</v>
      </c>
      <c r="C18" s="302">
        <v>55</v>
      </c>
      <c r="D18" s="232"/>
      <c r="E18" s="304">
        <v>124</v>
      </c>
      <c r="F18" s="302">
        <v>119</v>
      </c>
      <c r="G18" s="232"/>
      <c r="H18" s="304">
        <v>128</v>
      </c>
      <c r="I18" s="302">
        <v>116</v>
      </c>
      <c r="J18" s="232"/>
      <c r="K18" s="304">
        <v>145</v>
      </c>
      <c r="L18" s="302">
        <v>141</v>
      </c>
      <c r="M18" s="231"/>
      <c r="N18" s="304">
        <v>213</v>
      </c>
      <c r="O18" s="302">
        <v>208</v>
      </c>
      <c r="Q18" s="135"/>
      <c r="R18" s="136"/>
      <c r="S18" s="130"/>
      <c r="T18" s="135"/>
      <c r="U18" s="136"/>
      <c r="V18" s="153"/>
    </row>
    <row r="19" spans="1:22" s="131" customFormat="1" ht="12.75">
      <c r="A19" s="301" t="s">
        <v>143</v>
      </c>
      <c r="B19" s="304">
        <v>225</v>
      </c>
      <c r="C19" s="302">
        <v>220</v>
      </c>
      <c r="D19" s="232"/>
      <c r="E19" s="304">
        <v>281</v>
      </c>
      <c r="F19" s="302">
        <v>273</v>
      </c>
      <c r="G19" s="232"/>
      <c r="H19" s="304">
        <v>258</v>
      </c>
      <c r="I19" s="302">
        <v>250</v>
      </c>
      <c r="J19" s="232"/>
      <c r="K19" s="304">
        <v>270</v>
      </c>
      <c r="L19" s="302">
        <v>263</v>
      </c>
      <c r="M19" s="231"/>
      <c r="N19" s="304">
        <v>297</v>
      </c>
      <c r="O19" s="302">
        <v>287</v>
      </c>
      <c r="Q19" s="135"/>
      <c r="R19" s="136"/>
      <c r="S19" s="130"/>
      <c r="T19" s="135"/>
      <c r="U19" s="136"/>
      <c r="V19" s="153"/>
    </row>
    <row r="20" spans="1:22" s="131" customFormat="1" ht="12.75">
      <c r="A20" s="301" t="s">
        <v>146</v>
      </c>
      <c r="B20" s="304">
        <v>78</v>
      </c>
      <c r="C20" s="302">
        <v>77</v>
      </c>
      <c r="D20" s="232"/>
      <c r="E20" s="304">
        <v>259</v>
      </c>
      <c r="F20" s="302">
        <v>256</v>
      </c>
      <c r="G20" s="232"/>
      <c r="H20" s="304">
        <v>201</v>
      </c>
      <c r="I20" s="302">
        <v>193</v>
      </c>
      <c r="J20" s="232"/>
      <c r="K20" s="304">
        <v>267</v>
      </c>
      <c r="L20" s="302">
        <v>263</v>
      </c>
      <c r="M20" s="231"/>
      <c r="N20" s="304">
        <v>300</v>
      </c>
      <c r="O20" s="302">
        <v>296</v>
      </c>
      <c r="Q20" s="135"/>
      <c r="R20" s="136"/>
      <c r="S20" s="130"/>
      <c r="T20" s="135"/>
      <c r="U20" s="136"/>
      <c r="V20" s="153"/>
    </row>
    <row r="21" spans="1:22" s="131" customFormat="1" ht="12.75">
      <c r="A21" s="301" t="s">
        <v>328</v>
      </c>
      <c r="B21" s="304">
        <v>10</v>
      </c>
      <c r="C21" s="302">
        <v>5</v>
      </c>
      <c r="D21" s="232"/>
      <c r="E21" s="304">
        <v>16</v>
      </c>
      <c r="F21" s="302">
        <v>8</v>
      </c>
      <c r="G21" s="232"/>
      <c r="H21" s="304">
        <v>6</v>
      </c>
      <c r="I21" s="302">
        <v>5</v>
      </c>
      <c r="J21" s="232"/>
      <c r="K21" s="304">
        <v>6</v>
      </c>
      <c r="L21" s="302">
        <v>4</v>
      </c>
      <c r="M21" s="231"/>
      <c r="N21" s="304" t="s">
        <v>422</v>
      </c>
      <c r="O21" s="302" t="s">
        <v>422</v>
      </c>
      <c r="Q21" s="130"/>
      <c r="R21" s="130"/>
      <c r="S21" s="130"/>
      <c r="T21" s="130"/>
      <c r="U21" s="130"/>
      <c r="V21" s="154"/>
    </row>
    <row r="22" spans="1:22" s="131" customFormat="1" ht="12.75">
      <c r="A22" s="309" t="s">
        <v>327</v>
      </c>
      <c r="B22" s="303">
        <v>3</v>
      </c>
      <c r="C22" s="303">
        <v>3</v>
      </c>
      <c r="D22" s="233"/>
      <c r="E22" s="305">
        <v>6</v>
      </c>
      <c r="F22" s="303">
        <v>5</v>
      </c>
      <c r="G22" s="233"/>
      <c r="H22" s="305">
        <v>6</v>
      </c>
      <c r="I22" s="303">
        <v>4</v>
      </c>
      <c r="J22" s="233"/>
      <c r="K22" s="305">
        <v>2</v>
      </c>
      <c r="L22" s="303">
        <v>2</v>
      </c>
      <c r="M22" s="233"/>
      <c r="N22" s="305">
        <v>7</v>
      </c>
      <c r="O22" s="303">
        <v>7</v>
      </c>
    </row>
    <row r="23" spans="1:22" s="131" customFormat="1" ht="12.75">
      <c r="B23" s="250"/>
      <c r="C23" s="250"/>
      <c r="D23" s="232"/>
      <c r="E23" s="250"/>
      <c r="F23" s="250"/>
      <c r="G23" s="232"/>
      <c r="H23" s="250"/>
      <c r="I23" s="250"/>
      <c r="J23" s="232"/>
      <c r="K23" s="250"/>
      <c r="L23" s="250"/>
      <c r="M23" s="232"/>
      <c r="N23" s="250"/>
      <c r="O23" s="250"/>
      <c r="P23" s="130"/>
      <c r="Q23" s="130"/>
      <c r="R23" s="130"/>
      <c r="S23" s="130"/>
    </row>
    <row r="24" spans="1:22" s="131" customFormat="1" ht="12.75">
      <c r="A24" s="138" t="s">
        <v>364</v>
      </c>
      <c r="B24" s="250"/>
      <c r="C24" s="250"/>
      <c r="D24" s="234"/>
      <c r="E24" s="250"/>
      <c r="F24" s="250"/>
      <c r="G24" s="234"/>
      <c r="H24" s="250"/>
      <c r="I24" s="250"/>
      <c r="J24" s="232"/>
      <c r="K24" s="250"/>
      <c r="L24" s="250"/>
      <c r="M24" s="232"/>
      <c r="N24" s="250"/>
      <c r="O24" s="250"/>
      <c r="P24" s="130"/>
      <c r="Q24" s="130"/>
      <c r="R24" s="130"/>
      <c r="S24" s="130"/>
    </row>
    <row r="25" spans="1:22" s="131" customFormat="1" ht="12.75">
      <c r="A25" s="138"/>
      <c r="B25" s="234"/>
      <c r="C25" s="234"/>
      <c r="D25" s="234"/>
      <c r="E25" s="234"/>
      <c r="F25" s="234"/>
      <c r="G25" s="234"/>
      <c r="H25" s="234"/>
      <c r="I25" s="234"/>
      <c r="J25" s="233"/>
      <c r="K25" s="233"/>
      <c r="L25" s="234"/>
      <c r="M25" s="233"/>
      <c r="N25" s="233"/>
      <c r="O25" s="232"/>
      <c r="P25" s="130"/>
      <c r="Q25" s="130"/>
      <c r="R25" s="130"/>
      <c r="S25" s="130"/>
    </row>
    <row r="26" spans="1:22" s="131" customFormat="1" ht="43.5" customHeight="1">
      <c r="A26" s="130"/>
      <c r="B26" s="311" t="s">
        <v>363</v>
      </c>
      <c r="C26" s="143" t="s">
        <v>2220</v>
      </c>
      <c r="D26" s="232"/>
      <c r="E26" s="235" t="s">
        <v>363</v>
      </c>
      <c r="F26" s="143" t="s">
        <v>2220</v>
      </c>
      <c r="G26" s="232"/>
      <c r="H26" s="235" t="s">
        <v>363</v>
      </c>
      <c r="I26" s="143" t="s">
        <v>2220</v>
      </c>
      <c r="J26" s="232"/>
      <c r="K26" s="235" t="s">
        <v>363</v>
      </c>
      <c r="L26" s="143" t="s">
        <v>2220</v>
      </c>
      <c r="M26" s="233"/>
      <c r="N26" s="235" t="s">
        <v>363</v>
      </c>
      <c r="O26" s="143" t="s">
        <v>2220</v>
      </c>
      <c r="Q26" s="144"/>
      <c r="R26" s="144"/>
      <c r="S26" s="130"/>
      <c r="T26" s="144"/>
      <c r="U26" s="144"/>
    </row>
    <row r="27" spans="1:22" s="131" customFormat="1" ht="12.75" customHeight="1">
      <c r="A27" s="130"/>
      <c r="B27" s="462" t="s">
        <v>2128</v>
      </c>
      <c r="C27" s="463"/>
      <c r="D27" s="232"/>
      <c r="E27" s="470" t="s">
        <v>2129</v>
      </c>
      <c r="F27" s="470"/>
      <c r="G27" s="232"/>
      <c r="H27" s="470" t="s">
        <v>2130</v>
      </c>
      <c r="I27" s="470"/>
      <c r="J27" s="232"/>
      <c r="K27" s="470" t="s">
        <v>2131</v>
      </c>
      <c r="L27" s="470"/>
      <c r="M27" s="233"/>
      <c r="N27" s="470" t="s">
        <v>2132</v>
      </c>
      <c r="O27" s="470"/>
      <c r="Q27" s="461"/>
      <c r="R27" s="461"/>
      <c r="S27" s="130"/>
      <c r="T27" s="461"/>
      <c r="U27" s="461"/>
    </row>
    <row r="28" spans="1:22" s="131" customFormat="1" ht="12.75">
      <c r="A28" s="298" t="s">
        <v>28</v>
      </c>
      <c r="B28" s="321">
        <v>2.4891178907144123</v>
      </c>
      <c r="C28" s="312">
        <v>2.4690057415397288</v>
      </c>
      <c r="D28" s="230"/>
      <c r="E28" s="316">
        <v>3.8059848009615522</v>
      </c>
      <c r="F28" s="315">
        <v>3.7542678459409373</v>
      </c>
      <c r="G28" s="230"/>
      <c r="H28" s="316">
        <v>3.6987200053632399</v>
      </c>
      <c r="I28" s="315">
        <v>3.6479607717318956</v>
      </c>
      <c r="J28" s="230"/>
      <c r="K28" s="316">
        <v>3.7667182240014556</v>
      </c>
      <c r="L28" s="315">
        <v>3.7264939256520884</v>
      </c>
      <c r="M28" s="233"/>
      <c r="N28" s="316">
        <v>4.3911525698059179</v>
      </c>
      <c r="O28" s="315">
        <v>4.3528437142350915</v>
      </c>
      <c r="Q28" s="139"/>
      <c r="R28" s="139"/>
      <c r="S28" s="130"/>
      <c r="T28" s="139"/>
      <c r="U28" s="139"/>
    </row>
    <row r="29" spans="1:22" s="131" customFormat="1" ht="12.75">
      <c r="A29" s="130" t="s">
        <v>136</v>
      </c>
      <c r="B29" s="317">
        <v>0.28494087476848556</v>
      </c>
      <c r="C29" s="313">
        <v>0.20183311962767725</v>
      </c>
      <c r="D29" s="232"/>
      <c r="E29" s="317">
        <v>0.74796979626727456</v>
      </c>
      <c r="F29" s="313">
        <v>0.51051906729353658</v>
      </c>
      <c r="G29" s="232"/>
      <c r="H29" s="317">
        <v>0.6648620411264663</v>
      </c>
      <c r="I29" s="313">
        <v>0.54613667663959731</v>
      </c>
      <c r="J29" s="232"/>
      <c r="K29" s="317">
        <v>0.5342641401909104</v>
      </c>
      <c r="L29" s="313">
        <v>0.26119580187111174</v>
      </c>
      <c r="M29" s="233"/>
      <c r="N29" s="317">
        <v>0.97354798879232562</v>
      </c>
      <c r="O29" s="313">
        <v>0.84295008785676973</v>
      </c>
      <c r="Q29" s="140"/>
      <c r="R29" s="140"/>
      <c r="S29" s="130"/>
      <c r="T29" s="140"/>
      <c r="U29" s="140"/>
    </row>
    <row r="30" spans="1:22" s="131" customFormat="1" ht="12.75">
      <c r="A30" s="130" t="s">
        <v>137</v>
      </c>
      <c r="B30" s="317">
        <v>6.9890970086664797E-2</v>
      </c>
      <c r="C30" s="313">
        <v>6.9890970086664797E-2</v>
      </c>
      <c r="D30" s="232"/>
      <c r="E30" s="317">
        <v>0.73385518590998045</v>
      </c>
      <c r="F30" s="313">
        <v>0.55912776069331838</v>
      </c>
      <c r="G30" s="232"/>
      <c r="H30" s="317">
        <v>1.8521107072966172</v>
      </c>
      <c r="I30" s="313">
        <v>1.8171652222532848</v>
      </c>
      <c r="J30" s="232"/>
      <c r="K30" s="317">
        <v>1.3279284316466313</v>
      </c>
      <c r="L30" s="313">
        <v>1.3279284316466313</v>
      </c>
      <c r="M30" s="233"/>
      <c r="N30" s="317">
        <v>3.5993849594632374</v>
      </c>
      <c r="O30" s="313">
        <v>3.5294939893765727</v>
      </c>
      <c r="Q30" s="140"/>
      <c r="R30" s="140"/>
      <c r="S30" s="130"/>
      <c r="T30" s="140"/>
      <c r="U30" s="140"/>
    </row>
    <row r="31" spans="1:22" s="131" customFormat="1" ht="12.75">
      <c r="A31" s="130" t="s">
        <v>160</v>
      </c>
      <c r="B31" s="317">
        <v>0.33704952035260566</v>
      </c>
      <c r="C31" s="313">
        <v>0.33704952035260566</v>
      </c>
      <c r="D31" s="232"/>
      <c r="E31" s="317">
        <v>1.0889292196007259</v>
      </c>
      <c r="F31" s="313">
        <v>1.0630023334197563</v>
      </c>
      <c r="G31" s="232"/>
      <c r="H31" s="317">
        <v>2.5667617319159968</v>
      </c>
      <c r="I31" s="313">
        <v>2.5667617319159968</v>
      </c>
      <c r="J31" s="232"/>
      <c r="K31" s="317">
        <v>2.0482240082966037</v>
      </c>
      <c r="L31" s="313">
        <v>2.0482240082966037</v>
      </c>
      <c r="M31" s="233"/>
      <c r="N31" s="317">
        <v>2.0222971221156341</v>
      </c>
      <c r="O31" s="313">
        <v>1.9704433497536946</v>
      </c>
      <c r="Q31" s="140"/>
      <c r="R31" s="140"/>
      <c r="S31" s="130"/>
      <c r="T31" s="140"/>
      <c r="U31" s="140"/>
    </row>
    <row r="32" spans="1:22" s="131" customFormat="1" ht="12.75">
      <c r="A32" s="130" t="s">
        <v>138</v>
      </c>
      <c r="B32" s="317">
        <v>0.27264229331117573</v>
      </c>
      <c r="C32" s="313">
        <v>0.25965932696302452</v>
      </c>
      <c r="D32" s="232"/>
      <c r="E32" s="317">
        <v>0.70108018280016615</v>
      </c>
      <c r="F32" s="313">
        <v>0.68809721645201494</v>
      </c>
      <c r="G32" s="232"/>
      <c r="H32" s="317">
        <v>0.86985874532613217</v>
      </c>
      <c r="I32" s="313">
        <v>0.86985874532613217</v>
      </c>
      <c r="J32" s="232"/>
      <c r="K32" s="317">
        <v>0.67511425010386372</v>
      </c>
      <c r="L32" s="313">
        <v>0.67511425010386372</v>
      </c>
      <c r="M32" s="233"/>
      <c r="N32" s="317">
        <v>1.0386373078520981</v>
      </c>
      <c r="O32" s="313">
        <v>1.0256543415039467</v>
      </c>
      <c r="Q32" s="140"/>
      <c r="R32" s="140"/>
      <c r="S32" s="130"/>
      <c r="T32" s="140"/>
      <c r="U32" s="140"/>
    </row>
    <row r="33" spans="1:32" s="131" customFormat="1" ht="12.75">
      <c r="A33" s="130" t="s">
        <v>139</v>
      </c>
      <c r="B33" s="317">
        <v>0.47318078885997228</v>
      </c>
      <c r="C33" s="313">
        <v>0.45628147497211613</v>
      </c>
      <c r="D33" s="232"/>
      <c r="E33" s="317">
        <v>0.59147598607496532</v>
      </c>
      <c r="F33" s="313">
        <v>0.57457667218710917</v>
      </c>
      <c r="G33" s="232"/>
      <c r="H33" s="317">
        <v>1.0815560888227937</v>
      </c>
      <c r="I33" s="313">
        <v>0.94636157771994456</v>
      </c>
      <c r="J33" s="232"/>
      <c r="K33" s="317">
        <v>1.1829519721499306</v>
      </c>
      <c r="L33" s="313">
        <v>1.1491533443742183</v>
      </c>
      <c r="M33" s="233"/>
      <c r="N33" s="317">
        <v>1.335045797140636</v>
      </c>
      <c r="O33" s="313">
        <v>1.2843478554770675</v>
      </c>
      <c r="Q33" s="140"/>
      <c r="R33" s="140"/>
      <c r="S33" s="130"/>
      <c r="T33" s="140"/>
      <c r="U33" s="140"/>
    </row>
    <row r="34" spans="1:32" s="131" customFormat="1" ht="12.75">
      <c r="A34" s="130" t="s">
        <v>140</v>
      </c>
      <c r="B34" s="317">
        <v>0.16675004168751043</v>
      </c>
      <c r="C34" s="313">
        <v>0.16675004168751043</v>
      </c>
      <c r="D34" s="232"/>
      <c r="E34" s="317">
        <v>0.31497230096529744</v>
      </c>
      <c r="F34" s="313">
        <v>0.31497230096529744</v>
      </c>
      <c r="G34" s="232"/>
      <c r="H34" s="317">
        <v>0.46319456024308453</v>
      </c>
      <c r="I34" s="313">
        <v>0.46319456024308453</v>
      </c>
      <c r="J34" s="232"/>
      <c r="K34" s="317">
        <v>0.52804179867711631</v>
      </c>
      <c r="L34" s="313">
        <v>0.52804179867711631</v>
      </c>
      <c r="M34" s="233"/>
      <c r="N34" s="317">
        <v>0.92638912048616906</v>
      </c>
      <c r="O34" s="313">
        <v>0.92638912048616906</v>
      </c>
      <c r="Q34" s="140"/>
      <c r="R34" s="141"/>
      <c r="S34" s="130"/>
      <c r="T34" s="140"/>
      <c r="U34" s="141"/>
    </row>
    <row r="35" spans="1:32" s="131" customFormat="1" ht="12.75">
      <c r="A35" s="130" t="s">
        <v>141</v>
      </c>
      <c r="B35" s="317">
        <v>10.517881930268636</v>
      </c>
      <c r="C35" s="313">
        <v>10.517881930268636</v>
      </c>
      <c r="D35" s="232"/>
      <c r="E35" s="317">
        <v>15.110843471870663</v>
      </c>
      <c r="F35" s="313">
        <v>15.110843471870663</v>
      </c>
      <c r="G35" s="232"/>
      <c r="H35" s="317">
        <v>14.268800522576958</v>
      </c>
      <c r="I35" s="313">
        <v>14.268800522576958</v>
      </c>
      <c r="J35" s="232"/>
      <c r="K35" s="317">
        <v>14.386176206417899</v>
      </c>
      <c r="L35" s="313">
        <v>14.386176206417899</v>
      </c>
      <c r="M35" s="233"/>
      <c r="N35" s="317">
        <v>15.876337062137667</v>
      </c>
      <c r="O35" s="313">
        <v>15.876337062137667</v>
      </c>
      <c r="Q35" s="140"/>
      <c r="R35" s="140"/>
      <c r="S35" s="130"/>
      <c r="T35" s="140"/>
      <c r="U35" s="140"/>
    </row>
    <row r="36" spans="1:32" s="131" customFormat="1" ht="12.75">
      <c r="A36" s="130" t="s">
        <v>142</v>
      </c>
      <c r="B36" s="317">
        <v>0.796833913251348</v>
      </c>
      <c r="C36" s="313">
        <v>0.796833913251348</v>
      </c>
      <c r="D36" s="232"/>
      <c r="E36" s="317">
        <v>1.0358840872267523</v>
      </c>
      <c r="F36" s="313">
        <v>1.0226035220058967</v>
      </c>
      <c r="G36" s="232"/>
      <c r="H36" s="317">
        <v>1.0358840872267523</v>
      </c>
      <c r="I36" s="313">
        <v>0.99604239156418495</v>
      </c>
      <c r="J36" s="232"/>
      <c r="K36" s="317">
        <v>1.1022869133310313</v>
      </c>
      <c r="L36" s="313">
        <v>1.1022869133310313</v>
      </c>
      <c r="M36" s="231"/>
      <c r="N36" s="317">
        <v>1.792876304815533</v>
      </c>
      <c r="O36" s="313">
        <v>1.7663151743738212</v>
      </c>
      <c r="Q36" s="140"/>
      <c r="R36" s="140"/>
      <c r="S36" s="130"/>
      <c r="T36" s="140"/>
      <c r="U36" s="140"/>
    </row>
    <row r="37" spans="1:32" s="131" customFormat="1" ht="12.75">
      <c r="A37" s="130" t="s">
        <v>192</v>
      </c>
      <c r="B37" s="317">
        <v>0.45975124173884485</v>
      </c>
      <c r="C37" s="313">
        <v>0.45154139813636551</v>
      </c>
      <c r="D37" s="232"/>
      <c r="E37" s="317">
        <v>1.0180206067074422</v>
      </c>
      <c r="F37" s="313">
        <v>0.97697138869504541</v>
      </c>
      <c r="G37" s="232"/>
      <c r="H37" s="317">
        <v>1.0508599811173598</v>
      </c>
      <c r="I37" s="313">
        <v>0.95234185788760728</v>
      </c>
      <c r="J37" s="232"/>
      <c r="K37" s="317">
        <v>1.190427322359509</v>
      </c>
      <c r="L37" s="313">
        <v>1.1575879479495916</v>
      </c>
      <c r="M37" s="233"/>
      <c r="N37" s="317">
        <v>1.7486966873281065</v>
      </c>
      <c r="O37" s="313">
        <v>1.7076474693157095</v>
      </c>
      <c r="Q37" s="140"/>
      <c r="R37" s="140"/>
      <c r="S37" s="130"/>
      <c r="T37" s="140"/>
      <c r="U37" s="140"/>
    </row>
    <row r="38" spans="1:32" s="131" customFormat="1" ht="12.75">
      <c r="A38" s="130" t="s">
        <v>143</v>
      </c>
      <c r="B38" s="317">
        <v>1.5105334532808787</v>
      </c>
      <c r="C38" s="313">
        <v>1.4769660432079703</v>
      </c>
      <c r="D38" s="232"/>
      <c r="E38" s="317">
        <v>1.8864884460974529</v>
      </c>
      <c r="F38" s="313">
        <v>1.8327805899807994</v>
      </c>
      <c r="G38" s="232"/>
      <c r="H38" s="317">
        <v>1.7320783597620741</v>
      </c>
      <c r="I38" s="313">
        <v>1.6783705036454208</v>
      </c>
      <c r="J38" s="232"/>
      <c r="K38" s="317">
        <v>1.8126401439370543</v>
      </c>
      <c r="L38" s="313">
        <v>1.7656457698349826</v>
      </c>
      <c r="M38" s="233"/>
      <c r="N38" s="317">
        <v>1.9939041583307597</v>
      </c>
      <c r="O38" s="313">
        <v>1.9267693381849429</v>
      </c>
      <c r="Q38" s="140"/>
      <c r="R38" s="140"/>
      <c r="S38" s="130"/>
      <c r="T38" s="140"/>
      <c r="U38" s="140"/>
    </row>
    <row r="39" spans="1:32" s="131" customFormat="1" ht="12.75">
      <c r="A39" s="130" t="s">
        <v>146</v>
      </c>
      <c r="B39" s="317">
        <v>0.86965247349232366</v>
      </c>
      <c r="C39" s="313">
        <v>0.85850308280652465</v>
      </c>
      <c r="D39" s="232"/>
      <c r="E39" s="317">
        <v>2.8876921876219463</v>
      </c>
      <c r="F39" s="313">
        <v>2.8542440155645492</v>
      </c>
      <c r="G39" s="232"/>
      <c r="H39" s="317">
        <v>2.2410275278456031</v>
      </c>
      <c r="I39" s="313">
        <v>2.151832402359211</v>
      </c>
      <c r="J39" s="232"/>
      <c r="K39" s="317">
        <v>2.9768873131083384</v>
      </c>
      <c r="L39" s="313">
        <v>2.9322897503651424</v>
      </c>
      <c r="M39" s="233"/>
      <c r="N39" s="317">
        <v>3.3448172057397065</v>
      </c>
      <c r="O39" s="313">
        <v>3.30021964299651</v>
      </c>
      <c r="Q39" s="140"/>
      <c r="R39" s="140"/>
      <c r="S39" s="130"/>
      <c r="T39" s="140"/>
      <c r="U39" s="140"/>
    </row>
    <row r="40" spans="1:32" s="131" customFormat="1">
      <c r="A40" s="130" t="s">
        <v>328</v>
      </c>
      <c r="B40" s="322">
        <v>9.5772138927064723E-3</v>
      </c>
      <c r="C40" s="319">
        <v>4.7886069463532362E-3</v>
      </c>
      <c r="D40" s="236"/>
      <c r="E40" s="322">
        <v>1.5323542228330357E-2</v>
      </c>
      <c r="F40" s="319">
        <v>7.6617711141651786E-3</v>
      </c>
      <c r="G40" s="236"/>
      <c r="H40" s="322">
        <v>5.7463283356238839E-3</v>
      </c>
      <c r="I40" s="319">
        <v>4.7886069463532362E-3</v>
      </c>
      <c r="J40" s="236"/>
      <c r="K40" s="322">
        <v>5.7463283356238839E-3</v>
      </c>
      <c r="L40" s="319">
        <v>3.8308855570825893E-3</v>
      </c>
      <c r="M40" s="237"/>
      <c r="N40" s="322" t="s">
        <v>422</v>
      </c>
      <c r="O40" s="319" t="s">
        <v>422</v>
      </c>
      <c r="P40" s="125"/>
      <c r="Q40" s="140"/>
      <c r="R40" s="140"/>
      <c r="S40" s="130"/>
      <c r="T40" s="140"/>
      <c r="U40" s="140"/>
    </row>
    <row r="41" spans="1:32" s="131" customFormat="1" ht="12.75">
      <c r="A41" s="130" t="s">
        <v>327</v>
      </c>
      <c r="B41" s="323">
        <v>0.17765144785930007</v>
      </c>
      <c r="C41" s="320">
        <v>0.17765144785930007</v>
      </c>
      <c r="D41" s="233"/>
      <c r="E41" s="323">
        <v>0.35530289571860013</v>
      </c>
      <c r="F41" s="320">
        <v>0.29608574643216673</v>
      </c>
      <c r="G41" s="233"/>
      <c r="H41" s="323">
        <v>0.35530289571860013</v>
      </c>
      <c r="I41" s="320">
        <v>0.23686859714573341</v>
      </c>
      <c r="J41" s="233"/>
      <c r="K41" s="323">
        <v>0.11843429857286671</v>
      </c>
      <c r="L41" s="320">
        <v>0.11843429857286671</v>
      </c>
      <c r="M41" s="233"/>
      <c r="N41" s="323">
        <v>0.41452004500503348</v>
      </c>
      <c r="O41" s="320">
        <v>0.41452004500503348</v>
      </c>
    </row>
    <row r="42" spans="1:32">
      <c r="A42" s="104"/>
      <c r="B42" s="140"/>
      <c r="C42" s="140"/>
      <c r="D42" s="113"/>
      <c r="E42" s="113"/>
      <c r="F42" s="113"/>
      <c r="G42" s="117"/>
      <c r="H42" s="117"/>
      <c r="I42" s="117"/>
      <c r="J42" s="117"/>
      <c r="K42" s="117"/>
      <c r="L42" s="117"/>
      <c r="M42" s="117"/>
      <c r="N42" s="117"/>
      <c r="O42" s="117"/>
      <c r="P42" s="117"/>
      <c r="Q42" s="117"/>
      <c r="R42" s="117"/>
      <c r="S42" s="117"/>
      <c r="T42" s="117"/>
      <c r="U42" s="117"/>
      <c r="V42" s="120"/>
      <c r="W42" s="119"/>
      <c r="X42" s="119"/>
      <c r="Y42" s="119"/>
      <c r="Z42" s="113"/>
      <c r="AA42" s="113"/>
      <c r="AB42" s="113"/>
      <c r="AC42" s="113"/>
      <c r="AD42" s="116"/>
      <c r="AE42" s="116"/>
      <c r="AF42" s="116"/>
    </row>
    <row r="43" spans="1:32">
      <c r="A43" s="43" t="s">
        <v>410</v>
      </c>
      <c r="B43" s="140"/>
      <c r="C43" s="219"/>
      <c r="D43" s="113"/>
      <c r="E43" s="113"/>
      <c r="F43" s="113"/>
      <c r="G43" s="122"/>
      <c r="H43" s="117"/>
      <c r="I43" s="117"/>
      <c r="J43" s="117"/>
      <c r="K43" s="117"/>
      <c r="L43" s="117"/>
      <c r="M43" s="117"/>
      <c r="N43" s="117"/>
      <c r="O43" s="117"/>
      <c r="P43" s="117"/>
      <c r="Q43" s="117"/>
      <c r="R43" s="117"/>
      <c r="S43" s="117"/>
      <c r="T43" s="117"/>
      <c r="U43" s="117"/>
      <c r="V43" s="123"/>
      <c r="W43" s="119"/>
      <c r="X43" s="119"/>
      <c r="Y43" s="119"/>
      <c r="Z43" s="113"/>
      <c r="AA43" s="113"/>
      <c r="AB43" s="113"/>
      <c r="AC43" s="113"/>
      <c r="AD43" s="116"/>
      <c r="AE43" s="116"/>
      <c r="AF43" s="116"/>
    </row>
    <row r="44" spans="1:32">
      <c r="B44" s="7"/>
      <c r="C44" s="7"/>
      <c r="D44" s="17"/>
      <c r="E44" s="113"/>
      <c r="F44" s="113"/>
      <c r="G44" s="124"/>
      <c r="H44" s="125"/>
      <c r="I44" s="125"/>
      <c r="J44" s="125"/>
      <c r="L44" s="125"/>
      <c r="M44" s="125"/>
      <c r="N44" s="125"/>
      <c r="O44" s="125"/>
      <c r="P44" s="125"/>
      <c r="Q44" s="125"/>
      <c r="R44" s="125"/>
      <c r="S44" s="117"/>
      <c r="T44" s="117"/>
      <c r="U44" s="117"/>
      <c r="V44" s="117"/>
      <c r="W44" s="119"/>
      <c r="X44" s="119"/>
      <c r="Y44" s="119"/>
      <c r="Z44" s="113"/>
      <c r="AA44" s="113"/>
      <c r="AB44" s="113"/>
      <c r="AC44" s="113"/>
      <c r="AD44" s="116"/>
      <c r="AE44" s="116"/>
      <c r="AF44" s="116"/>
    </row>
    <row r="45" spans="1:32" ht="20.25">
      <c r="A45" s="76"/>
      <c r="B45" s="16"/>
      <c r="C45" s="16"/>
      <c r="D45" s="8"/>
      <c r="E45" s="17"/>
      <c r="F45" s="17"/>
      <c r="G45" s="17"/>
      <c r="H45" s="17"/>
      <c r="I45" s="113"/>
      <c r="J45" s="113"/>
      <c r="K45" s="113"/>
      <c r="L45" s="113"/>
      <c r="M45" s="113"/>
      <c r="N45" s="113"/>
      <c r="O45" s="113"/>
      <c r="P45" s="113"/>
      <c r="Q45" s="113"/>
      <c r="R45" s="113"/>
      <c r="S45" s="113"/>
      <c r="T45" s="113"/>
      <c r="U45" s="113"/>
      <c r="V45" s="113"/>
      <c r="W45" s="113"/>
      <c r="X45" s="113"/>
      <c r="Y45" s="113"/>
      <c r="Z45" s="113"/>
      <c r="AA45" s="113"/>
      <c r="AB45" s="113"/>
      <c r="AC45" s="113"/>
      <c r="AD45" s="116"/>
      <c r="AE45" s="116"/>
      <c r="AF45" s="116"/>
    </row>
    <row r="46" spans="1:32">
      <c r="A46" s="8"/>
      <c r="B46" s="16"/>
      <c r="C46" s="16"/>
      <c r="D46" s="16"/>
      <c r="E46" s="17"/>
      <c r="F46" s="17"/>
      <c r="G46" s="17"/>
      <c r="H46" s="17"/>
    </row>
    <row r="47" spans="1:32" ht="18">
      <c r="A47" s="32"/>
      <c r="B47" s="16"/>
      <c r="C47" s="16"/>
      <c r="D47" s="16"/>
      <c r="E47" s="17"/>
      <c r="F47" s="17"/>
      <c r="G47" s="17"/>
      <c r="H47" s="17"/>
      <c r="I47" s="107"/>
      <c r="J47"/>
    </row>
    <row r="48" spans="1:32">
      <c r="B48" s="16"/>
      <c r="C48" s="16"/>
      <c r="D48" s="16"/>
      <c r="E48" s="17"/>
      <c r="F48" s="17"/>
      <c r="G48" s="17"/>
      <c r="H48" s="17"/>
    </row>
    <row r="49" spans="1:10" ht="20.25">
      <c r="A49" s="76"/>
      <c r="B49" s="16"/>
      <c r="C49" s="16"/>
      <c r="D49" s="16"/>
      <c r="E49" s="17"/>
      <c r="F49" s="17"/>
      <c r="G49" s="17"/>
      <c r="H49" s="17"/>
    </row>
    <row r="50" spans="1:10">
      <c r="A50" s="438"/>
      <c r="B50" s="438"/>
      <c r="C50" s="438"/>
      <c r="D50" s="438"/>
      <c r="E50" s="438"/>
      <c r="F50" s="438"/>
      <c r="G50" s="438"/>
      <c r="H50" s="438"/>
      <c r="I50" s="438"/>
      <c r="J50" s="438"/>
    </row>
    <row r="51" spans="1:10" ht="14.25" customHeight="1">
      <c r="A51" s="428"/>
      <c r="B51" s="429"/>
      <c r="C51" s="429"/>
      <c r="D51" s="429"/>
    </row>
    <row r="52" spans="1:10" ht="14.25" customHeight="1">
      <c r="A52" s="19"/>
      <c r="B52" s="142"/>
      <c r="C52" s="142"/>
      <c r="D52" s="142"/>
    </row>
    <row r="53" spans="1:10" ht="14.25" customHeight="1">
      <c r="A53" s="19"/>
      <c r="B53" s="142"/>
      <c r="C53" s="142"/>
      <c r="D53" s="142"/>
    </row>
    <row r="54" spans="1:10" ht="14.25" customHeight="1">
      <c r="A54" s="39"/>
      <c r="B54" s="142"/>
      <c r="C54" s="142"/>
      <c r="D54" s="142"/>
    </row>
    <row r="55" spans="1:10">
      <c r="A55" s="8"/>
      <c r="B55" s="7"/>
      <c r="C55" s="7"/>
      <c r="D55" s="15"/>
    </row>
    <row r="56" spans="1:10">
      <c r="A56" s="8"/>
      <c r="B56" s="7"/>
      <c r="C56" s="7"/>
      <c r="D56" s="15"/>
    </row>
    <row r="57" spans="1:10">
      <c r="B57" s="7"/>
      <c r="C57" s="7"/>
      <c r="D57" s="15"/>
      <c r="E57" s="16"/>
    </row>
    <row r="58" spans="1:10">
      <c r="B58" s="7"/>
      <c r="C58" s="7"/>
      <c r="D58" s="15"/>
    </row>
    <row r="59" spans="1:10">
      <c r="B59" s="16"/>
      <c r="C59" s="16"/>
      <c r="D59" s="17"/>
    </row>
    <row r="60" spans="1:10">
      <c r="B60" s="12"/>
      <c r="C60" s="12"/>
      <c r="D60" s="13"/>
    </row>
    <row r="61" spans="1:10">
      <c r="B61" s="7"/>
      <c r="C61" s="7"/>
      <c r="D61" s="14"/>
    </row>
    <row r="62" spans="1:10">
      <c r="B62" s="7"/>
      <c r="C62" s="7"/>
      <c r="D62" s="15"/>
    </row>
    <row r="63" spans="1:10">
      <c r="B63" s="7"/>
      <c r="C63" s="7"/>
      <c r="D63" s="15"/>
    </row>
    <row r="64" spans="1:10">
      <c r="B64" s="16"/>
      <c r="C64" s="16"/>
      <c r="D64" s="18"/>
    </row>
    <row r="65" spans="2:4">
      <c r="B65" s="12"/>
      <c r="C65" s="12"/>
      <c r="D65" s="13"/>
    </row>
    <row r="66" spans="2:4">
      <c r="B66" s="7"/>
      <c r="C66" s="7"/>
      <c r="D66" s="14"/>
    </row>
    <row r="67" spans="2:4">
      <c r="B67" s="7"/>
      <c r="C67" s="7"/>
      <c r="D67" s="15"/>
    </row>
    <row r="68" spans="2:4">
      <c r="B68" s="7"/>
      <c r="C68" s="7"/>
      <c r="D68" s="15"/>
    </row>
    <row r="69" spans="2:4">
      <c r="B69" s="16"/>
      <c r="C69" s="16"/>
      <c r="D69" s="18"/>
    </row>
    <row r="70" spans="2:4">
      <c r="B70" s="12"/>
      <c r="C70" s="12"/>
      <c r="D70" s="13"/>
    </row>
    <row r="71" spans="2:4">
      <c r="B71" s="16"/>
      <c r="C71" s="16"/>
      <c r="D71" s="14"/>
    </row>
    <row r="72" spans="2:4">
      <c r="B72" s="16"/>
      <c r="C72" s="16"/>
      <c r="D72" s="15"/>
    </row>
    <row r="73" spans="2:4">
      <c r="B73" s="16"/>
      <c r="C73" s="16"/>
      <c r="D73" s="15"/>
    </row>
    <row r="74" spans="2:4">
      <c r="B74" s="16"/>
      <c r="C74" s="16"/>
      <c r="D74" s="18"/>
    </row>
    <row r="75" spans="2:4">
      <c r="B75" s="12"/>
      <c r="C75" s="12"/>
      <c r="D75" s="13"/>
    </row>
    <row r="76" spans="2:4">
      <c r="B76" s="7"/>
      <c r="C76" s="7"/>
      <c r="D76" s="14"/>
    </row>
    <row r="77" spans="2:4">
      <c r="B77" s="7"/>
      <c r="C77" s="7"/>
      <c r="D77" s="14"/>
    </row>
    <row r="78" spans="2:4">
      <c r="B78" s="7"/>
      <c r="C78" s="7"/>
      <c r="D78" s="14"/>
    </row>
    <row r="79" spans="2:4">
      <c r="B79" s="7"/>
      <c r="C79" s="7"/>
      <c r="D79" s="15"/>
    </row>
    <row r="80" spans="2:4">
      <c r="B80" s="7"/>
      <c r="C80" s="7"/>
      <c r="D80" s="15"/>
    </row>
    <row r="81" spans="1:4">
      <c r="B81" s="7"/>
      <c r="C81" s="7"/>
      <c r="D81" s="15"/>
    </row>
    <row r="82" spans="1:4">
      <c r="B82" s="7"/>
      <c r="C82" s="7"/>
      <c r="D82" s="15"/>
    </row>
    <row r="83" spans="1:4" ht="12.75" customHeight="1">
      <c r="B83" s="16"/>
      <c r="C83" s="12"/>
      <c r="D83" s="13"/>
    </row>
    <row r="84" spans="1:4" ht="12.75" customHeight="1">
      <c r="B84" s="12"/>
      <c r="C84" s="12"/>
      <c r="D84" s="13"/>
    </row>
    <row r="85" spans="1:4">
      <c r="B85" s="12"/>
      <c r="C85" s="12"/>
      <c r="D85" s="13"/>
    </row>
    <row r="86" spans="1:4">
      <c r="B86" s="12"/>
      <c r="C86" s="16"/>
      <c r="D86" s="18"/>
    </row>
    <row r="87" spans="1:4">
      <c r="B87" s="16"/>
      <c r="C87" s="7"/>
      <c r="D87" s="15"/>
    </row>
    <row r="88" spans="1:4">
      <c r="A88" s="6" t="s">
        <v>2133</v>
      </c>
      <c r="B88" s="7"/>
      <c r="C88" s="16"/>
      <c r="D88" s="13"/>
    </row>
    <row r="89" spans="1:4">
      <c r="A89" s="6" t="e">
        <v>#REF!</v>
      </c>
      <c r="B89" s="7"/>
      <c r="C89" s="16"/>
      <c r="D89" s="13"/>
    </row>
    <row r="90" spans="1:4">
      <c r="A90" s="6" t="s">
        <v>2134</v>
      </c>
      <c r="B90" s="7"/>
      <c r="C90" s="16"/>
      <c r="D90" s="13"/>
    </row>
    <row r="91" spans="1:4">
      <c r="A91" s="6" t="e">
        <v>#REF!</v>
      </c>
      <c r="B91" s="7"/>
      <c r="C91" s="16"/>
      <c r="D91" s="13"/>
    </row>
    <row r="92" spans="1:4">
      <c r="A92" s="16"/>
      <c r="B92" s="7"/>
      <c r="C92" s="7"/>
      <c r="D92" s="15"/>
    </row>
    <row r="93" spans="1:4">
      <c r="A93" s="29" t="e">
        <f>"Patients seen - adjusted waits for "&amp;TEXT(#REF!,"mmm-yy")</f>
        <v>#REF!</v>
      </c>
      <c r="B93" s="142"/>
      <c r="C93" s="142"/>
      <c r="D93" s="142"/>
    </row>
    <row r="94" spans="1:4">
      <c r="A94" s="29" t="e">
        <f>"Percentage of patients seen within 18 weeks for adjusted waits for "&amp;TEXT(#REF!,"mmm-yy")</f>
        <v>#REF!</v>
      </c>
      <c r="B94" s="142"/>
      <c r="C94" s="142"/>
      <c r="D94" s="142"/>
    </row>
    <row r="95" spans="1:4">
      <c r="A95" s="429"/>
      <c r="B95" s="429"/>
      <c r="C95" s="429"/>
      <c r="D95" s="429"/>
    </row>
    <row r="96" spans="1:4">
      <c r="A96" s="429"/>
      <c r="B96" s="429"/>
      <c r="C96" s="429"/>
      <c r="D96" s="429"/>
    </row>
    <row r="97" spans="1:22">
      <c r="A97" s="429"/>
      <c r="B97" s="429"/>
      <c r="C97" s="429"/>
      <c r="D97" s="429"/>
    </row>
    <row r="98" spans="1:22">
      <c r="A98" s="108"/>
      <c r="B98" s="142"/>
      <c r="C98" s="142"/>
      <c r="D98" s="142"/>
    </row>
    <row r="99" spans="1:22">
      <c r="B99" s="7"/>
      <c r="C99" s="7"/>
      <c r="D99" s="15"/>
    </row>
    <row r="100" spans="1:22">
      <c r="B100" s="7"/>
      <c r="C100" s="7"/>
      <c r="D100" s="15"/>
    </row>
    <row r="101" spans="1:22">
      <c r="B101" s="16"/>
      <c r="C101" s="16"/>
      <c r="D101" s="17"/>
    </row>
    <row r="102" spans="1:22">
      <c r="B102" s="12"/>
      <c r="C102" s="12"/>
      <c r="D102" s="13"/>
    </row>
    <row r="103" spans="1:22" s="20" customFormat="1" ht="12.75" customHeight="1">
      <c r="B103" s="21"/>
      <c r="C103" s="21"/>
      <c r="D103" s="22"/>
      <c r="U103" s="6"/>
      <c r="V103" s="6"/>
    </row>
    <row r="104" spans="1:22">
      <c r="B104" s="8"/>
      <c r="C104" s="8"/>
      <c r="D104" s="23"/>
      <c r="U104" s="20"/>
      <c r="V104" s="20"/>
    </row>
    <row r="105" spans="1:22">
      <c r="B105" s="8"/>
      <c r="C105" s="8"/>
      <c r="D105" s="25"/>
    </row>
    <row r="106" spans="1:22">
      <c r="B106" s="8"/>
      <c r="C106" s="8"/>
      <c r="D106" s="23"/>
    </row>
    <row r="107" spans="1:22">
      <c r="A107" s="16"/>
      <c r="B107" s="16"/>
      <c r="C107" s="16"/>
      <c r="D107" s="16"/>
    </row>
    <row r="108" spans="1:22">
      <c r="B108" s="7"/>
      <c r="C108" s="7"/>
      <c r="D108" s="14"/>
    </row>
    <row r="109" spans="1:22">
      <c r="B109" s="7"/>
      <c r="C109" s="7"/>
      <c r="D109" s="14"/>
    </row>
    <row r="110" spans="1:22">
      <c r="B110" s="7"/>
      <c r="C110" s="7"/>
      <c r="D110" s="14"/>
    </row>
    <row r="111" spans="1:22">
      <c r="B111" s="7"/>
      <c r="C111" s="7"/>
      <c r="D111" s="14"/>
    </row>
    <row r="112" spans="1:22">
      <c r="B112" s="7"/>
      <c r="C112" s="7"/>
      <c r="D112" s="14"/>
    </row>
    <row r="113" spans="2:4">
      <c r="B113" s="7"/>
      <c r="C113" s="7"/>
      <c r="D113" s="14"/>
    </row>
    <row r="114" spans="2:4">
      <c r="B114" s="28"/>
      <c r="C114" s="28"/>
      <c r="D114" s="14"/>
    </row>
    <row r="115" spans="2:4">
      <c r="B115" s="28"/>
      <c r="C115" s="28"/>
      <c r="D115" s="14"/>
    </row>
    <row r="116" spans="2:4">
      <c r="B116" s="28"/>
      <c r="C116" s="28"/>
      <c r="D116" s="14"/>
    </row>
    <row r="117" spans="2:4">
      <c r="B117" s="28"/>
      <c r="C117" s="28"/>
      <c r="D117" s="14"/>
    </row>
    <row r="118" spans="2:4">
      <c r="B118" s="28"/>
      <c r="C118" s="28"/>
      <c r="D118" s="28"/>
    </row>
    <row r="119" spans="2:4">
      <c r="B119" s="28"/>
      <c r="C119" s="28"/>
      <c r="D119" s="28"/>
    </row>
    <row r="120" spans="2:4">
      <c r="B120" s="28"/>
      <c r="C120" s="28"/>
      <c r="D120" s="28"/>
    </row>
    <row r="121" spans="2:4">
      <c r="B121" s="28"/>
      <c r="C121" s="28"/>
      <c r="D121" s="28"/>
    </row>
    <row r="122" spans="2:4">
      <c r="B122" s="28"/>
      <c r="C122" s="28"/>
      <c r="D122" s="28"/>
    </row>
    <row r="123" spans="2:4">
      <c r="B123" s="28"/>
      <c r="C123" s="28"/>
      <c r="D123" s="28"/>
    </row>
    <row r="124" spans="2:4">
      <c r="B124" s="28"/>
      <c r="C124" s="28"/>
      <c r="D124" s="28"/>
    </row>
    <row r="125" spans="2:4">
      <c r="B125" s="28"/>
      <c r="C125" s="28"/>
      <c r="D125" s="28"/>
    </row>
    <row r="126" spans="2:4">
      <c r="B126" s="28"/>
      <c r="C126" s="28"/>
      <c r="D126" s="28"/>
    </row>
    <row r="127" spans="2:4">
      <c r="B127" s="28"/>
      <c r="C127" s="28"/>
      <c r="D127" s="28"/>
    </row>
    <row r="128" spans="2:4">
      <c r="B128" s="28"/>
      <c r="C128" s="28"/>
      <c r="D128" s="28"/>
    </row>
    <row r="129" spans="2:4">
      <c r="B129" s="28"/>
      <c r="C129" s="28"/>
      <c r="D129" s="28"/>
    </row>
    <row r="130" spans="2:4">
      <c r="B130" s="28"/>
      <c r="C130" s="28"/>
      <c r="D130" s="28"/>
    </row>
    <row r="131" spans="2:4">
      <c r="B131" s="28"/>
      <c r="C131" s="28"/>
      <c r="D131" s="28"/>
    </row>
    <row r="132" spans="2:4">
      <c r="B132" s="28"/>
      <c r="C132" s="28"/>
      <c r="D132" s="28"/>
    </row>
    <row r="133" spans="2:4">
      <c r="B133" s="28"/>
      <c r="C133" s="28"/>
      <c r="D133" s="28"/>
    </row>
    <row r="134" spans="2:4">
      <c r="B134" s="28"/>
      <c r="C134" s="28"/>
      <c r="D134" s="28"/>
    </row>
    <row r="135" spans="2:4">
      <c r="B135" s="28"/>
      <c r="C135" s="28"/>
      <c r="D135" s="28"/>
    </row>
    <row r="136" spans="2:4">
      <c r="B136" s="28"/>
      <c r="C136" s="28"/>
      <c r="D136" s="28"/>
    </row>
    <row r="137" spans="2:4">
      <c r="B137" s="28"/>
      <c r="C137" s="28"/>
      <c r="D137" s="28"/>
    </row>
    <row r="138" spans="2:4">
      <c r="B138" s="28"/>
      <c r="C138" s="28"/>
      <c r="D138" s="28"/>
    </row>
    <row r="139" spans="2:4">
      <c r="B139" s="28"/>
      <c r="C139" s="28"/>
      <c r="D139" s="28"/>
    </row>
    <row r="140" spans="2:4">
      <c r="B140" s="28"/>
      <c r="C140" s="28"/>
      <c r="D140" s="28"/>
    </row>
    <row r="141" spans="2:4">
      <c r="B141" s="28"/>
      <c r="C141" s="28"/>
      <c r="D141" s="28"/>
    </row>
    <row r="142" spans="2:4">
      <c r="B142" s="28"/>
      <c r="C142" s="28"/>
      <c r="D142" s="28"/>
    </row>
    <row r="143" spans="2:4">
      <c r="B143" s="28"/>
      <c r="C143" s="28"/>
      <c r="D143" s="28"/>
    </row>
    <row r="144" spans="2:4">
      <c r="B144" s="28"/>
      <c r="C144" s="28"/>
      <c r="D144" s="28"/>
    </row>
    <row r="145" spans="2:4">
      <c r="B145" s="28"/>
      <c r="C145" s="28"/>
      <c r="D145" s="28"/>
    </row>
    <row r="146" spans="2:4">
      <c r="B146" s="28"/>
      <c r="C146" s="28"/>
      <c r="D146" s="28"/>
    </row>
    <row r="147" spans="2:4">
      <c r="B147" s="28"/>
      <c r="C147" s="28"/>
      <c r="D147" s="28"/>
    </row>
    <row r="148" spans="2:4">
      <c r="B148" s="28"/>
      <c r="C148" s="28"/>
      <c r="D148" s="28"/>
    </row>
    <row r="149" spans="2:4">
      <c r="B149" s="28"/>
      <c r="C149" s="28"/>
      <c r="D149" s="28"/>
    </row>
    <row r="150" spans="2:4">
      <c r="B150" s="28"/>
      <c r="C150" s="28"/>
      <c r="D150" s="28"/>
    </row>
    <row r="151" spans="2:4">
      <c r="B151" s="28"/>
      <c r="C151" s="28"/>
      <c r="D151" s="28"/>
    </row>
    <row r="152" spans="2:4">
      <c r="B152" s="28"/>
      <c r="C152" s="28"/>
      <c r="D152" s="28"/>
    </row>
    <row r="153" spans="2:4">
      <c r="B153" s="28"/>
      <c r="C153" s="28"/>
      <c r="D153" s="28"/>
    </row>
    <row r="154" spans="2:4">
      <c r="B154" s="28"/>
      <c r="C154" s="28"/>
      <c r="D154" s="28"/>
    </row>
    <row r="155" spans="2:4">
      <c r="B155" s="28"/>
      <c r="C155" s="28"/>
      <c r="D155" s="28"/>
    </row>
  </sheetData>
  <mergeCells count="19">
    <mergeCell ref="A50:J50"/>
    <mergeCell ref="A51:D51"/>
    <mergeCell ref="A95:D95"/>
    <mergeCell ref="A96:D96"/>
    <mergeCell ref="A97:D97"/>
    <mergeCell ref="T8:U8"/>
    <mergeCell ref="B27:C27"/>
    <mergeCell ref="E27:F27"/>
    <mergeCell ref="H27:I27"/>
    <mergeCell ref="K27:L27"/>
    <mergeCell ref="N27:O27"/>
    <mergeCell ref="Q27:R27"/>
    <mergeCell ref="T27:U27"/>
    <mergeCell ref="B8:C8"/>
    <mergeCell ref="E8:F8"/>
    <mergeCell ref="H8:I8"/>
    <mergeCell ref="K8:L8"/>
    <mergeCell ref="N8:O8"/>
    <mergeCell ref="Q8:R8"/>
  </mergeCells>
  <dataValidations count="1">
    <dataValidation type="list" allowBlank="1" showInputMessage="1" showErrorMessage="1" sqref="IZ27 SV27 ACR27 AMN27 AWJ27 BGF27 BQB27 BZX27 CJT27 CTP27 DDL27 DNH27 DXD27 EGZ27 EQV27 FAR27 FKN27 FUJ27 GEF27 GOB27 GXX27 HHT27 HRP27 IBL27 ILH27 IVD27 JEZ27 JOV27 JYR27 KIN27 KSJ27 LCF27 LMB27 LVX27 MFT27 MPP27 MZL27 NJH27 NTD27 OCZ27 OMV27 OWR27 PGN27 PQJ27 QAF27 QKB27 QTX27 RDT27 RNP27 RXL27 SHH27 SRD27 TAZ27 TKV27 TUR27 UEN27 UOJ27 UYF27 VIB27 VRX27 WBT27 WLP27 WVL27 IV65560 SR65560 ACN65560 AMJ65560 AWF65560 BGB65560 BPX65560 BZT65560 CJP65560 CTL65560 DDH65560 DND65560 DWZ65560 EGV65560 EQR65560 FAN65560 FKJ65560 FUF65560 GEB65560 GNX65560 GXT65560 HHP65560 HRL65560 IBH65560 ILD65560 IUZ65560 JEV65560 JOR65560 JYN65560 KIJ65560 KSF65560 LCB65560 LLX65560 LVT65560 MFP65560 MPL65560 MZH65560 NJD65560 NSZ65560 OCV65560 OMR65560 OWN65560 PGJ65560 PQF65560 QAB65560 QJX65560 QTT65560 RDP65560 RNL65560 RXH65560 SHD65560 SQZ65560 TAV65560 TKR65560 TUN65560 UEJ65560 UOF65560 UYB65560 VHX65560 VRT65560 WBP65560 WLL65560 WVH65560 IV131096 SR131096 ACN131096 AMJ131096 AWF131096 BGB131096 BPX131096 BZT131096 CJP131096 CTL131096 DDH131096 DND131096 DWZ131096 EGV131096 EQR131096 FAN131096 FKJ131096 FUF131096 GEB131096 GNX131096 GXT131096 HHP131096 HRL131096 IBH131096 ILD131096 IUZ131096 JEV131096 JOR131096 JYN131096 KIJ131096 KSF131096 LCB131096 LLX131096 LVT131096 MFP131096 MPL131096 MZH131096 NJD131096 NSZ131096 OCV131096 OMR131096 OWN131096 PGJ131096 PQF131096 QAB131096 QJX131096 QTT131096 RDP131096 RNL131096 RXH131096 SHD131096 SQZ131096 TAV131096 TKR131096 TUN131096 UEJ131096 UOF131096 UYB131096 VHX131096 VRT131096 WBP131096 WLL131096 WVH131096 IV196632 SR196632 ACN196632 AMJ196632 AWF196632 BGB196632 BPX196632 BZT196632 CJP196632 CTL196632 DDH196632 DND196632 DWZ196632 EGV196632 EQR196632 FAN196632 FKJ196632 FUF196632 GEB196632 GNX196632 GXT196632 HHP196632 HRL196632 IBH196632 ILD196632 IUZ196632 JEV196632 JOR196632 JYN196632 KIJ196632 KSF196632 LCB196632 LLX196632 LVT196632 MFP196632 MPL196632 MZH196632 NJD196632 NSZ196632 OCV196632 OMR196632 OWN196632 PGJ196632 PQF196632 QAB196632 QJX196632 QTT196632 RDP196632 RNL196632 RXH196632 SHD196632 SQZ196632 TAV196632 TKR196632 TUN196632 UEJ196632 UOF196632 UYB196632 VHX196632 VRT196632 WBP196632 WLL196632 WVH196632 IV262168 SR262168 ACN262168 AMJ262168 AWF262168 BGB262168 BPX262168 BZT262168 CJP262168 CTL262168 DDH262168 DND262168 DWZ262168 EGV262168 EQR262168 FAN262168 FKJ262168 FUF262168 GEB262168 GNX262168 GXT262168 HHP262168 HRL262168 IBH262168 ILD262168 IUZ262168 JEV262168 JOR262168 JYN262168 KIJ262168 KSF262168 LCB262168 LLX262168 LVT262168 MFP262168 MPL262168 MZH262168 NJD262168 NSZ262168 OCV262168 OMR262168 OWN262168 PGJ262168 PQF262168 QAB262168 QJX262168 QTT262168 RDP262168 RNL262168 RXH262168 SHD262168 SQZ262168 TAV262168 TKR262168 TUN262168 UEJ262168 UOF262168 UYB262168 VHX262168 VRT262168 WBP262168 WLL262168 WVH262168 IV327704 SR327704 ACN327704 AMJ327704 AWF327704 BGB327704 BPX327704 BZT327704 CJP327704 CTL327704 DDH327704 DND327704 DWZ327704 EGV327704 EQR327704 FAN327704 FKJ327704 FUF327704 GEB327704 GNX327704 GXT327704 HHP327704 HRL327704 IBH327704 ILD327704 IUZ327704 JEV327704 JOR327704 JYN327704 KIJ327704 KSF327704 LCB327704 LLX327704 LVT327704 MFP327704 MPL327704 MZH327704 NJD327704 NSZ327704 OCV327704 OMR327704 OWN327704 PGJ327704 PQF327704 QAB327704 QJX327704 QTT327704 RDP327704 RNL327704 RXH327704 SHD327704 SQZ327704 TAV327704 TKR327704 TUN327704 UEJ327704 UOF327704 UYB327704 VHX327704 VRT327704 WBP327704 WLL327704 WVH327704 IV393240 SR393240 ACN393240 AMJ393240 AWF393240 BGB393240 BPX393240 BZT393240 CJP393240 CTL393240 DDH393240 DND393240 DWZ393240 EGV393240 EQR393240 FAN393240 FKJ393240 FUF393240 GEB393240 GNX393240 GXT393240 HHP393240 HRL393240 IBH393240 ILD393240 IUZ393240 JEV393240 JOR393240 JYN393240 KIJ393240 KSF393240 LCB393240 LLX393240 LVT393240 MFP393240 MPL393240 MZH393240 NJD393240 NSZ393240 OCV393240 OMR393240 OWN393240 PGJ393240 PQF393240 QAB393240 QJX393240 QTT393240 RDP393240 RNL393240 RXH393240 SHD393240 SQZ393240 TAV393240 TKR393240 TUN393240 UEJ393240 UOF393240 UYB393240 VHX393240 VRT393240 WBP393240 WLL393240 WVH393240 IV458776 SR458776 ACN458776 AMJ458776 AWF458776 BGB458776 BPX458776 BZT458776 CJP458776 CTL458776 DDH458776 DND458776 DWZ458776 EGV458776 EQR458776 FAN458776 FKJ458776 FUF458776 GEB458776 GNX458776 GXT458776 HHP458776 HRL458776 IBH458776 ILD458776 IUZ458776 JEV458776 JOR458776 JYN458776 KIJ458776 KSF458776 LCB458776 LLX458776 LVT458776 MFP458776 MPL458776 MZH458776 NJD458776 NSZ458776 OCV458776 OMR458776 OWN458776 PGJ458776 PQF458776 QAB458776 QJX458776 QTT458776 RDP458776 RNL458776 RXH458776 SHD458776 SQZ458776 TAV458776 TKR458776 TUN458776 UEJ458776 UOF458776 UYB458776 VHX458776 VRT458776 WBP458776 WLL458776 WVH458776 IV524312 SR524312 ACN524312 AMJ524312 AWF524312 BGB524312 BPX524312 BZT524312 CJP524312 CTL524312 DDH524312 DND524312 DWZ524312 EGV524312 EQR524312 FAN524312 FKJ524312 FUF524312 GEB524312 GNX524312 GXT524312 HHP524312 HRL524312 IBH524312 ILD524312 IUZ524312 JEV524312 JOR524312 JYN524312 KIJ524312 KSF524312 LCB524312 LLX524312 LVT524312 MFP524312 MPL524312 MZH524312 NJD524312 NSZ524312 OCV524312 OMR524312 OWN524312 PGJ524312 PQF524312 QAB524312 QJX524312 QTT524312 RDP524312 RNL524312 RXH524312 SHD524312 SQZ524312 TAV524312 TKR524312 TUN524312 UEJ524312 UOF524312 UYB524312 VHX524312 VRT524312 WBP524312 WLL524312 WVH524312 IV589848 SR589848 ACN589848 AMJ589848 AWF589848 BGB589848 BPX589848 BZT589848 CJP589848 CTL589848 DDH589848 DND589848 DWZ589848 EGV589848 EQR589848 FAN589848 FKJ589848 FUF589848 GEB589848 GNX589848 GXT589848 HHP589848 HRL589848 IBH589848 ILD589848 IUZ589848 JEV589848 JOR589848 JYN589848 KIJ589848 KSF589848 LCB589848 LLX589848 LVT589848 MFP589848 MPL589848 MZH589848 NJD589848 NSZ589848 OCV589848 OMR589848 OWN589848 PGJ589848 PQF589848 QAB589848 QJX589848 QTT589848 RDP589848 RNL589848 RXH589848 SHD589848 SQZ589848 TAV589848 TKR589848 TUN589848 UEJ589848 UOF589848 UYB589848 VHX589848 VRT589848 WBP589848 WLL589848 WVH589848 IV655384 SR655384 ACN655384 AMJ655384 AWF655384 BGB655384 BPX655384 BZT655384 CJP655384 CTL655384 DDH655384 DND655384 DWZ655384 EGV655384 EQR655384 FAN655384 FKJ655384 FUF655384 GEB655384 GNX655384 GXT655384 HHP655384 HRL655384 IBH655384 ILD655384 IUZ655384 JEV655384 JOR655384 JYN655384 KIJ655384 KSF655384 LCB655384 LLX655384 LVT655384 MFP655384 MPL655384 MZH655384 NJD655384 NSZ655384 OCV655384 OMR655384 OWN655384 PGJ655384 PQF655384 QAB655384 QJX655384 QTT655384 RDP655384 RNL655384 RXH655384 SHD655384 SQZ655384 TAV655384 TKR655384 TUN655384 UEJ655384 UOF655384 UYB655384 VHX655384 VRT655384 WBP655384 WLL655384 WVH655384 IV720920 SR720920 ACN720920 AMJ720920 AWF720920 BGB720920 BPX720920 BZT720920 CJP720920 CTL720920 DDH720920 DND720920 DWZ720920 EGV720920 EQR720920 FAN720920 FKJ720920 FUF720920 GEB720920 GNX720920 GXT720920 HHP720920 HRL720920 IBH720920 ILD720920 IUZ720920 JEV720920 JOR720920 JYN720920 KIJ720920 KSF720920 LCB720920 LLX720920 LVT720920 MFP720920 MPL720920 MZH720920 NJD720920 NSZ720920 OCV720920 OMR720920 OWN720920 PGJ720920 PQF720920 QAB720920 QJX720920 QTT720920 RDP720920 RNL720920 RXH720920 SHD720920 SQZ720920 TAV720920 TKR720920 TUN720920 UEJ720920 UOF720920 UYB720920 VHX720920 VRT720920 WBP720920 WLL720920 WVH720920 IV786456 SR786456 ACN786456 AMJ786456 AWF786456 BGB786456 BPX786456 BZT786456 CJP786456 CTL786456 DDH786456 DND786456 DWZ786456 EGV786456 EQR786456 FAN786456 FKJ786456 FUF786456 GEB786456 GNX786456 GXT786456 HHP786456 HRL786456 IBH786456 ILD786456 IUZ786456 JEV786456 JOR786456 JYN786456 KIJ786456 KSF786456 LCB786456 LLX786456 LVT786456 MFP786456 MPL786456 MZH786456 NJD786456 NSZ786456 OCV786456 OMR786456 OWN786456 PGJ786456 PQF786456 QAB786456 QJX786456 QTT786456 RDP786456 RNL786456 RXH786456 SHD786456 SQZ786456 TAV786456 TKR786456 TUN786456 UEJ786456 UOF786456 UYB786456 VHX786456 VRT786456 WBP786456 WLL786456 WVH786456 IV851992 SR851992 ACN851992 AMJ851992 AWF851992 BGB851992 BPX851992 BZT851992 CJP851992 CTL851992 DDH851992 DND851992 DWZ851992 EGV851992 EQR851992 FAN851992 FKJ851992 FUF851992 GEB851992 GNX851992 GXT851992 HHP851992 HRL851992 IBH851992 ILD851992 IUZ851992 JEV851992 JOR851992 JYN851992 KIJ851992 KSF851992 LCB851992 LLX851992 LVT851992 MFP851992 MPL851992 MZH851992 NJD851992 NSZ851992 OCV851992 OMR851992 OWN851992 PGJ851992 PQF851992 QAB851992 QJX851992 QTT851992 RDP851992 RNL851992 RXH851992 SHD851992 SQZ851992 TAV851992 TKR851992 TUN851992 UEJ851992 UOF851992 UYB851992 VHX851992 VRT851992 WBP851992 WLL851992 WVH851992 IV917528 SR917528 ACN917528 AMJ917528 AWF917528 BGB917528 BPX917528 BZT917528 CJP917528 CTL917528 DDH917528 DND917528 DWZ917528 EGV917528 EQR917528 FAN917528 FKJ917528 FUF917528 GEB917528 GNX917528 GXT917528 HHP917528 HRL917528 IBH917528 ILD917528 IUZ917528 JEV917528 JOR917528 JYN917528 KIJ917528 KSF917528 LCB917528 LLX917528 LVT917528 MFP917528 MPL917528 MZH917528 NJD917528 NSZ917528 OCV917528 OMR917528 OWN917528 PGJ917528 PQF917528 QAB917528 QJX917528 QTT917528 RDP917528 RNL917528 RXH917528 SHD917528 SQZ917528 TAV917528 TKR917528 TUN917528 UEJ917528 UOF917528 UYB917528 VHX917528 VRT917528 WBP917528 WLL917528 WVH917528 IV983064 SR983064 ACN983064 AMJ983064 AWF983064 BGB983064 BPX983064 BZT983064 CJP983064 CTL983064 DDH983064 DND983064 DWZ983064 EGV983064 EQR983064 FAN983064 FKJ983064 FUF983064 GEB983064 GNX983064 GXT983064 HHP983064 HRL983064 IBH983064 ILD983064 IUZ983064 JEV983064 JOR983064 JYN983064 KIJ983064 KSF983064 LCB983064 LLX983064 LVT983064 MFP983064 MPL983064 MZH983064 NJD983064 NSZ983064 OCV983064 OMR983064 OWN983064 PGJ983064 PQF983064 QAB983064 QJX983064 QTT983064 RDP983064 RNL983064 RXH983064 SHD983064 SQZ983064 TAV983064 TKR983064 TUN983064 UEJ983064 UOF983064 UYB983064 VHX983064 VRT983064 WBP983064 WLL983064 WVH983064 WVH983039:WVH983040 IV4:IV5 SR4:SR5 ACN4:ACN5 AMJ4:AMJ5 AWF4:AWF5 BGB4:BGB5 BPX4:BPX5 BZT4:BZT5 CJP4:CJP5 CTL4:CTL5 DDH4:DDH5 DND4:DND5 DWZ4:DWZ5 EGV4:EGV5 EQR4:EQR5 FAN4:FAN5 FKJ4:FKJ5 FUF4:FUF5 GEB4:GEB5 GNX4:GNX5 GXT4:GXT5 HHP4:HHP5 HRL4:HRL5 IBH4:IBH5 ILD4:ILD5 IUZ4:IUZ5 JEV4:JEV5 JOR4:JOR5 JYN4:JYN5 KIJ4:KIJ5 KSF4:KSF5 LCB4:LCB5 LLX4:LLX5 LVT4:LVT5 MFP4:MFP5 MPL4:MPL5 MZH4:MZH5 NJD4:NJD5 NSZ4:NSZ5 OCV4:OCV5 OMR4:OMR5 OWN4:OWN5 PGJ4:PGJ5 PQF4:PQF5 QAB4:QAB5 QJX4:QJX5 QTT4:QTT5 RDP4:RDP5 RNL4:RNL5 RXH4:RXH5 SHD4:SHD5 SQZ4:SQZ5 TAV4:TAV5 TKR4:TKR5 TUN4:TUN5 UEJ4:UEJ5 UOF4:UOF5 UYB4:UYB5 VHX4:VHX5 VRT4:VRT5 WBP4:WBP5 WLL4:WLL5 WVH4:WVH5 IV65535:IV65536 SR65535:SR65536 ACN65535:ACN65536 AMJ65535:AMJ65536 AWF65535:AWF65536 BGB65535:BGB65536 BPX65535:BPX65536 BZT65535:BZT65536 CJP65535:CJP65536 CTL65535:CTL65536 DDH65535:DDH65536 DND65535:DND65536 DWZ65535:DWZ65536 EGV65535:EGV65536 EQR65535:EQR65536 FAN65535:FAN65536 FKJ65535:FKJ65536 FUF65535:FUF65536 GEB65535:GEB65536 GNX65535:GNX65536 GXT65535:GXT65536 HHP65535:HHP65536 HRL65535:HRL65536 IBH65535:IBH65536 ILD65535:ILD65536 IUZ65535:IUZ65536 JEV65535:JEV65536 JOR65535:JOR65536 JYN65535:JYN65536 KIJ65535:KIJ65536 KSF65535:KSF65536 LCB65535:LCB65536 LLX65535:LLX65536 LVT65535:LVT65536 MFP65535:MFP65536 MPL65535:MPL65536 MZH65535:MZH65536 NJD65535:NJD65536 NSZ65535:NSZ65536 OCV65535:OCV65536 OMR65535:OMR65536 OWN65535:OWN65536 PGJ65535:PGJ65536 PQF65535:PQF65536 QAB65535:QAB65536 QJX65535:QJX65536 QTT65535:QTT65536 RDP65535:RDP65536 RNL65535:RNL65536 RXH65535:RXH65536 SHD65535:SHD65536 SQZ65535:SQZ65536 TAV65535:TAV65536 TKR65535:TKR65536 TUN65535:TUN65536 UEJ65535:UEJ65536 UOF65535:UOF65536 UYB65535:UYB65536 VHX65535:VHX65536 VRT65535:VRT65536 WBP65535:WBP65536 WLL65535:WLL65536 WVH65535:WVH65536 IV131071:IV131072 SR131071:SR131072 ACN131071:ACN131072 AMJ131071:AMJ131072 AWF131071:AWF131072 BGB131071:BGB131072 BPX131071:BPX131072 BZT131071:BZT131072 CJP131071:CJP131072 CTL131071:CTL131072 DDH131071:DDH131072 DND131071:DND131072 DWZ131071:DWZ131072 EGV131071:EGV131072 EQR131071:EQR131072 FAN131071:FAN131072 FKJ131071:FKJ131072 FUF131071:FUF131072 GEB131071:GEB131072 GNX131071:GNX131072 GXT131071:GXT131072 HHP131071:HHP131072 HRL131071:HRL131072 IBH131071:IBH131072 ILD131071:ILD131072 IUZ131071:IUZ131072 JEV131071:JEV131072 JOR131071:JOR131072 JYN131071:JYN131072 KIJ131071:KIJ131072 KSF131071:KSF131072 LCB131071:LCB131072 LLX131071:LLX131072 LVT131071:LVT131072 MFP131071:MFP131072 MPL131071:MPL131072 MZH131071:MZH131072 NJD131071:NJD131072 NSZ131071:NSZ131072 OCV131071:OCV131072 OMR131071:OMR131072 OWN131071:OWN131072 PGJ131071:PGJ131072 PQF131071:PQF131072 QAB131071:QAB131072 QJX131071:QJX131072 QTT131071:QTT131072 RDP131071:RDP131072 RNL131071:RNL131072 RXH131071:RXH131072 SHD131071:SHD131072 SQZ131071:SQZ131072 TAV131071:TAV131072 TKR131071:TKR131072 TUN131071:TUN131072 UEJ131071:UEJ131072 UOF131071:UOF131072 UYB131071:UYB131072 VHX131071:VHX131072 VRT131071:VRT131072 WBP131071:WBP131072 WLL131071:WLL131072 WVH131071:WVH131072 IV196607:IV196608 SR196607:SR196608 ACN196607:ACN196608 AMJ196607:AMJ196608 AWF196607:AWF196608 BGB196607:BGB196608 BPX196607:BPX196608 BZT196607:BZT196608 CJP196607:CJP196608 CTL196607:CTL196608 DDH196607:DDH196608 DND196607:DND196608 DWZ196607:DWZ196608 EGV196607:EGV196608 EQR196607:EQR196608 FAN196607:FAN196608 FKJ196607:FKJ196608 FUF196607:FUF196608 GEB196607:GEB196608 GNX196607:GNX196608 GXT196607:GXT196608 HHP196607:HHP196608 HRL196607:HRL196608 IBH196607:IBH196608 ILD196607:ILD196608 IUZ196607:IUZ196608 JEV196607:JEV196608 JOR196607:JOR196608 JYN196607:JYN196608 KIJ196607:KIJ196608 KSF196607:KSF196608 LCB196607:LCB196608 LLX196607:LLX196608 LVT196607:LVT196608 MFP196607:MFP196608 MPL196607:MPL196608 MZH196607:MZH196608 NJD196607:NJD196608 NSZ196607:NSZ196608 OCV196607:OCV196608 OMR196607:OMR196608 OWN196607:OWN196608 PGJ196607:PGJ196608 PQF196607:PQF196608 QAB196607:QAB196608 QJX196607:QJX196608 QTT196607:QTT196608 RDP196607:RDP196608 RNL196607:RNL196608 RXH196607:RXH196608 SHD196607:SHD196608 SQZ196607:SQZ196608 TAV196607:TAV196608 TKR196607:TKR196608 TUN196607:TUN196608 UEJ196607:UEJ196608 UOF196607:UOF196608 UYB196607:UYB196608 VHX196607:VHX196608 VRT196607:VRT196608 WBP196607:WBP196608 WLL196607:WLL196608 WVH196607:WVH196608 IV262143:IV262144 SR262143:SR262144 ACN262143:ACN262144 AMJ262143:AMJ262144 AWF262143:AWF262144 BGB262143:BGB262144 BPX262143:BPX262144 BZT262143:BZT262144 CJP262143:CJP262144 CTL262143:CTL262144 DDH262143:DDH262144 DND262143:DND262144 DWZ262143:DWZ262144 EGV262143:EGV262144 EQR262143:EQR262144 FAN262143:FAN262144 FKJ262143:FKJ262144 FUF262143:FUF262144 GEB262143:GEB262144 GNX262143:GNX262144 GXT262143:GXT262144 HHP262143:HHP262144 HRL262143:HRL262144 IBH262143:IBH262144 ILD262143:ILD262144 IUZ262143:IUZ262144 JEV262143:JEV262144 JOR262143:JOR262144 JYN262143:JYN262144 KIJ262143:KIJ262144 KSF262143:KSF262144 LCB262143:LCB262144 LLX262143:LLX262144 LVT262143:LVT262144 MFP262143:MFP262144 MPL262143:MPL262144 MZH262143:MZH262144 NJD262143:NJD262144 NSZ262143:NSZ262144 OCV262143:OCV262144 OMR262143:OMR262144 OWN262143:OWN262144 PGJ262143:PGJ262144 PQF262143:PQF262144 QAB262143:QAB262144 QJX262143:QJX262144 QTT262143:QTT262144 RDP262143:RDP262144 RNL262143:RNL262144 RXH262143:RXH262144 SHD262143:SHD262144 SQZ262143:SQZ262144 TAV262143:TAV262144 TKR262143:TKR262144 TUN262143:TUN262144 UEJ262143:UEJ262144 UOF262143:UOF262144 UYB262143:UYB262144 VHX262143:VHX262144 VRT262143:VRT262144 WBP262143:WBP262144 WLL262143:WLL262144 WVH262143:WVH262144 IV327679:IV327680 SR327679:SR327680 ACN327679:ACN327680 AMJ327679:AMJ327680 AWF327679:AWF327680 BGB327679:BGB327680 BPX327679:BPX327680 BZT327679:BZT327680 CJP327679:CJP327680 CTL327679:CTL327680 DDH327679:DDH327680 DND327679:DND327680 DWZ327679:DWZ327680 EGV327679:EGV327680 EQR327679:EQR327680 FAN327679:FAN327680 FKJ327679:FKJ327680 FUF327679:FUF327680 GEB327679:GEB327680 GNX327679:GNX327680 GXT327679:GXT327680 HHP327679:HHP327680 HRL327679:HRL327680 IBH327679:IBH327680 ILD327679:ILD327680 IUZ327679:IUZ327680 JEV327679:JEV327680 JOR327679:JOR327680 JYN327679:JYN327680 KIJ327679:KIJ327680 KSF327679:KSF327680 LCB327679:LCB327680 LLX327679:LLX327680 LVT327679:LVT327680 MFP327679:MFP327680 MPL327679:MPL327680 MZH327679:MZH327680 NJD327679:NJD327680 NSZ327679:NSZ327680 OCV327679:OCV327680 OMR327679:OMR327680 OWN327679:OWN327680 PGJ327679:PGJ327680 PQF327679:PQF327680 QAB327679:QAB327680 QJX327679:QJX327680 QTT327679:QTT327680 RDP327679:RDP327680 RNL327679:RNL327680 RXH327679:RXH327680 SHD327679:SHD327680 SQZ327679:SQZ327680 TAV327679:TAV327680 TKR327679:TKR327680 TUN327679:TUN327680 UEJ327679:UEJ327680 UOF327679:UOF327680 UYB327679:UYB327680 VHX327679:VHX327680 VRT327679:VRT327680 WBP327679:WBP327680 WLL327679:WLL327680 WVH327679:WVH327680 IV393215:IV393216 SR393215:SR393216 ACN393215:ACN393216 AMJ393215:AMJ393216 AWF393215:AWF393216 BGB393215:BGB393216 BPX393215:BPX393216 BZT393215:BZT393216 CJP393215:CJP393216 CTL393215:CTL393216 DDH393215:DDH393216 DND393215:DND393216 DWZ393215:DWZ393216 EGV393215:EGV393216 EQR393215:EQR393216 FAN393215:FAN393216 FKJ393215:FKJ393216 FUF393215:FUF393216 GEB393215:GEB393216 GNX393215:GNX393216 GXT393215:GXT393216 HHP393215:HHP393216 HRL393215:HRL393216 IBH393215:IBH393216 ILD393215:ILD393216 IUZ393215:IUZ393216 JEV393215:JEV393216 JOR393215:JOR393216 JYN393215:JYN393216 KIJ393215:KIJ393216 KSF393215:KSF393216 LCB393215:LCB393216 LLX393215:LLX393216 LVT393215:LVT393216 MFP393215:MFP393216 MPL393215:MPL393216 MZH393215:MZH393216 NJD393215:NJD393216 NSZ393215:NSZ393216 OCV393215:OCV393216 OMR393215:OMR393216 OWN393215:OWN393216 PGJ393215:PGJ393216 PQF393215:PQF393216 QAB393215:QAB393216 QJX393215:QJX393216 QTT393215:QTT393216 RDP393215:RDP393216 RNL393215:RNL393216 RXH393215:RXH393216 SHD393215:SHD393216 SQZ393215:SQZ393216 TAV393215:TAV393216 TKR393215:TKR393216 TUN393215:TUN393216 UEJ393215:UEJ393216 UOF393215:UOF393216 UYB393215:UYB393216 VHX393215:VHX393216 VRT393215:VRT393216 WBP393215:WBP393216 WLL393215:WLL393216 WVH393215:WVH393216 IV458751:IV458752 SR458751:SR458752 ACN458751:ACN458752 AMJ458751:AMJ458752 AWF458751:AWF458752 BGB458751:BGB458752 BPX458751:BPX458752 BZT458751:BZT458752 CJP458751:CJP458752 CTL458751:CTL458752 DDH458751:DDH458752 DND458751:DND458752 DWZ458751:DWZ458752 EGV458751:EGV458752 EQR458751:EQR458752 FAN458751:FAN458752 FKJ458751:FKJ458752 FUF458751:FUF458752 GEB458751:GEB458752 GNX458751:GNX458752 GXT458751:GXT458752 HHP458751:HHP458752 HRL458751:HRL458752 IBH458751:IBH458752 ILD458751:ILD458752 IUZ458751:IUZ458752 JEV458751:JEV458752 JOR458751:JOR458752 JYN458751:JYN458752 KIJ458751:KIJ458752 KSF458751:KSF458752 LCB458751:LCB458752 LLX458751:LLX458752 LVT458751:LVT458752 MFP458751:MFP458752 MPL458751:MPL458752 MZH458751:MZH458752 NJD458751:NJD458752 NSZ458751:NSZ458752 OCV458751:OCV458752 OMR458751:OMR458752 OWN458751:OWN458752 PGJ458751:PGJ458752 PQF458751:PQF458752 QAB458751:QAB458752 QJX458751:QJX458752 QTT458751:QTT458752 RDP458751:RDP458752 RNL458751:RNL458752 RXH458751:RXH458752 SHD458751:SHD458752 SQZ458751:SQZ458752 TAV458751:TAV458752 TKR458751:TKR458752 TUN458751:TUN458752 UEJ458751:UEJ458752 UOF458751:UOF458752 UYB458751:UYB458752 VHX458751:VHX458752 VRT458751:VRT458752 WBP458751:WBP458752 WLL458751:WLL458752 WVH458751:WVH458752 IV524287:IV524288 SR524287:SR524288 ACN524287:ACN524288 AMJ524287:AMJ524288 AWF524287:AWF524288 BGB524287:BGB524288 BPX524287:BPX524288 BZT524287:BZT524288 CJP524287:CJP524288 CTL524287:CTL524288 DDH524287:DDH524288 DND524287:DND524288 DWZ524287:DWZ524288 EGV524287:EGV524288 EQR524287:EQR524288 FAN524287:FAN524288 FKJ524287:FKJ524288 FUF524287:FUF524288 GEB524287:GEB524288 GNX524287:GNX524288 GXT524287:GXT524288 HHP524287:HHP524288 HRL524287:HRL524288 IBH524287:IBH524288 ILD524287:ILD524288 IUZ524287:IUZ524288 JEV524287:JEV524288 JOR524287:JOR524288 JYN524287:JYN524288 KIJ524287:KIJ524288 KSF524287:KSF524288 LCB524287:LCB524288 LLX524287:LLX524288 LVT524287:LVT524288 MFP524287:MFP524288 MPL524287:MPL524288 MZH524287:MZH524288 NJD524287:NJD524288 NSZ524287:NSZ524288 OCV524287:OCV524288 OMR524287:OMR524288 OWN524287:OWN524288 PGJ524287:PGJ524288 PQF524287:PQF524288 QAB524287:QAB524288 QJX524287:QJX524288 QTT524287:QTT524288 RDP524287:RDP524288 RNL524287:RNL524288 RXH524287:RXH524288 SHD524287:SHD524288 SQZ524287:SQZ524288 TAV524287:TAV524288 TKR524287:TKR524288 TUN524287:TUN524288 UEJ524287:UEJ524288 UOF524287:UOF524288 UYB524287:UYB524288 VHX524287:VHX524288 VRT524287:VRT524288 WBP524287:WBP524288 WLL524287:WLL524288 WVH524287:WVH524288 IV589823:IV589824 SR589823:SR589824 ACN589823:ACN589824 AMJ589823:AMJ589824 AWF589823:AWF589824 BGB589823:BGB589824 BPX589823:BPX589824 BZT589823:BZT589824 CJP589823:CJP589824 CTL589823:CTL589824 DDH589823:DDH589824 DND589823:DND589824 DWZ589823:DWZ589824 EGV589823:EGV589824 EQR589823:EQR589824 FAN589823:FAN589824 FKJ589823:FKJ589824 FUF589823:FUF589824 GEB589823:GEB589824 GNX589823:GNX589824 GXT589823:GXT589824 HHP589823:HHP589824 HRL589823:HRL589824 IBH589823:IBH589824 ILD589823:ILD589824 IUZ589823:IUZ589824 JEV589823:JEV589824 JOR589823:JOR589824 JYN589823:JYN589824 KIJ589823:KIJ589824 KSF589823:KSF589824 LCB589823:LCB589824 LLX589823:LLX589824 LVT589823:LVT589824 MFP589823:MFP589824 MPL589823:MPL589824 MZH589823:MZH589824 NJD589823:NJD589824 NSZ589823:NSZ589824 OCV589823:OCV589824 OMR589823:OMR589824 OWN589823:OWN589824 PGJ589823:PGJ589824 PQF589823:PQF589824 QAB589823:QAB589824 QJX589823:QJX589824 QTT589823:QTT589824 RDP589823:RDP589824 RNL589823:RNL589824 RXH589823:RXH589824 SHD589823:SHD589824 SQZ589823:SQZ589824 TAV589823:TAV589824 TKR589823:TKR589824 TUN589823:TUN589824 UEJ589823:UEJ589824 UOF589823:UOF589824 UYB589823:UYB589824 VHX589823:VHX589824 VRT589823:VRT589824 WBP589823:WBP589824 WLL589823:WLL589824 WVH589823:WVH589824 IV655359:IV655360 SR655359:SR655360 ACN655359:ACN655360 AMJ655359:AMJ655360 AWF655359:AWF655360 BGB655359:BGB655360 BPX655359:BPX655360 BZT655359:BZT655360 CJP655359:CJP655360 CTL655359:CTL655360 DDH655359:DDH655360 DND655359:DND655360 DWZ655359:DWZ655360 EGV655359:EGV655360 EQR655359:EQR655360 FAN655359:FAN655360 FKJ655359:FKJ655360 FUF655359:FUF655360 GEB655359:GEB655360 GNX655359:GNX655360 GXT655359:GXT655360 HHP655359:HHP655360 HRL655359:HRL655360 IBH655359:IBH655360 ILD655359:ILD655360 IUZ655359:IUZ655360 JEV655359:JEV655360 JOR655359:JOR655360 JYN655359:JYN655360 KIJ655359:KIJ655360 KSF655359:KSF655360 LCB655359:LCB655360 LLX655359:LLX655360 LVT655359:LVT655360 MFP655359:MFP655360 MPL655359:MPL655360 MZH655359:MZH655360 NJD655359:NJD655360 NSZ655359:NSZ655360 OCV655359:OCV655360 OMR655359:OMR655360 OWN655359:OWN655360 PGJ655359:PGJ655360 PQF655359:PQF655360 QAB655359:QAB655360 QJX655359:QJX655360 QTT655359:QTT655360 RDP655359:RDP655360 RNL655359:RNL655360 RXH655359:RXH655360 SHD655359:SHD655360 SQZ655359:SQZ655360 TAV655359:TAV655360 TKR655359:TKR655360 TUN655359:TUN655360 UEJ655359:UEJ655360 UOF655359:UOF655360 UYB655359:UYB655360 VHX655359:VHX655360 VRT655359:VRT655360 WBP655359:WBP655360 WLL655359:WLL655360 WVH655359:WVH655360 IV720895:IV720896 SR720895:SR720896 ACN720895:ACN720896 AMJ720895:AMJ720896 AWF720895:AWF720896 BGB720895:BGB720896 BPX720895:BPX720896 BZT720895:BZT720896 CJP720895:CJP720896 CTL720895:CTL720896 DDH720895:DDH720896 DND720895:DND720896 DWZ720895:DWZ720896 EGV720895:EGV720896 EQR720895:EQR720896 FAN720895:FAN720896 FKJ720895:FKJ720896 FUF720895:FUF720896 GEB720895:GEB720896 GNX720895:GNX720896 GXT720895:GXT720896 HHP720895:HHP720896 HRL720895:HRL720896 IBH720895:IBH720896 ILD720895:ILD720896 IUZ720895:IUZ720896 JEV720895:JEV720896 JOR720895:JOR720896 JYN720895:JYN720896 KIJ720895:KIJ720896 KSF720895:KSF720896 LCB720895:LCB720896 LLX720895:LLX720896 LVT720895:LVT720896 MFP720895:MFP720896 MPL720895:MPL720896 MZH720895:MZH720896 NJD720895:NJD720896 NSZ720895:NSZ720896 OCV720895:OCV720896 OMR720895:OMR720896 OWN720895:OWN720896 PGJ720895:PGJ720896 PQF720895:PQF720896 QAB720895:QAB720896 QJX720895:QJX720896 QTT720895:QTT720896 RDP720895:RDP720896 RNL720895:RNL720896 RXH720895:RXH720896 SHD720895:SHD720896 SQZ720895:SQZ720896 TAV720895:TAV720896 TKR720895:TKR720896 TUN720895:TUN720896 UEJ720895:UEJ720896 UOF720895:UOF720896 UYB720895:UYB720896 VHX720895:VHX720896 VRT720895:VRT720896 WBP720895:WBP720896 WLL720895:WLL720896 WVH720895:WVH720896 IV786431:IV786432 SR786431:SR786432 ACN786431:ACN786432 AMJ786431:AMJ786432 AWF786431:AWF786432 BGB786431:BGB786432 BPX786431:BPX786432 BZT786431:BZT786432 CJP786431:CJP786432 CTL786431:CTL786432 DDH786431:DDH786432 DND786431:DND786432 DWZ786431:DWZ786432 EGV786431:EGV786432 EQR786431:EQR786432 FAN786431:FAN786432 FKJ786431:FKJ786432 FUF786431:FUF786432 GEB786431:GEB786432 GNX786431:GNX786432 GXT786431:GXT786432 HHP786431:HHP786432 HRL786431:HRL786432 IBH786431:IBH786432 ILD786431:ILD786432 IUZ786431:IUZ786432 JEV786431:JEV786432 JOR786431:JOR786432 JYN786431:JYN786432 KIJ786431:KIJ786432 KSF786431:KSF786432 LCB786431:LCB786432 LLX786431:LLX786432 LVT786431:LVT786432 MFP786431:MFP786432 MPL786431:MPL786432 MZH786431:MZH786432 NJD786431:NJD786432 NSZ786431:NSZ786432 OCV786431:OCV786432 OMR786431:OMR786432 OWN786431:OWN786432 PGJ786431:PGJ786432 PQF786431:PQF786432 QAB786431:QAB786432 QJX786431:QJX786432 QTT786431:QTT786432 RDP786431:RDP786432 RNL786431:RNL786432 RXH786431:RXH786432 SHD786431:SHD786432 SQZ786431:SQZ786432 TAV786431:TAV786432 TKR786431:TKR786432 TUN786431:TUN786432 UEJ786431:UEJ786432 UOF786431:UOF786432 UYB786431:UYB786432 VHX786431:VHX786432 VRT786431:VRT786432 WBP786431:WBP786432 WLL786431:WLL786432 WVH786431:WVH786432 IV851967:IV851968 SR851967:SR851968 ACN851967:ACN851968 AMJ851967:AMJ851968 AWF851967:AWF851968 BGB851967:BGB851968 BPX851967:BPX851968 BZT851967:BZT851968 CJP851967:CJP851968 CTL851967:CTL851968 DDH851967:DDH851968 DND851967:DND851968 DWZ851967:DWZ851968 EGV851967:EGV851968 EQR851967:EQR851968 FAN851967:FAN851968 FKJ851967:FKJ851968 FUF851967:FUF851968 GEB851967:GEB851968 GNX851967:GNX851968 GXT851967:GXT851968 HHP851967:HHP851968 HRL851967:HRL851968 IBH851967:IBH851968 ILD851967:ILD851968 IUZ851967:IUZ851968 JEV851967:JEV851968 JOR851967:JOR851968 JYN851967:JYN851968 KIJ851967:KIJ851968 KSF851967:KSF851968 LCB851967:LCB851968 LLX851967:LLX851968 LVT851967:LVT851968 MFP851967:MFP851968 MPL851967:MPL851968 MZH851967:MZH851968 NJD851967:NJD851968 NSZ851967:NSZ851968 OCV851967:OCV851968 OMR851967:OMR851968 OWN851967:OWN851968 PGJ851967:PGJ851968 PQF851967:PQF851968 QAB851967:QAB851968 QJX851967:QJX851968 QTT851967:QTT851968 RDP851967:RDP851968 RNL851967:RNL851968 RXH851967:RXH851968 SHD851967:SHD851968 SQZ851967:SQZ851968 TAV851967:TAV851968 TKR851967:TKR851968 TUN851967:TUN851968 UEJ851967:UEJ851968 UOF851967:UOF851968 UYB851967:UYB851968 VHX851967:VHX851968 VRT851967:VRT851968 WBP851967:WBP851968 WLL851967:WLL851968 WVH851967:WVH851968 IV917503:IV917504 SR917503:SR917504 ACN917503:ACN917504 AMJ917503:AMJ917504 AWF917503:AWF917504 BGB917503:BGB917504 BPX917503:BPX917504 BZT917503:BZT917504 CJP917503:CJP917504 CTL917503:CTL917504 DDH917503:DDH917504 DND917503:DND917504 DWZ917503:DWZ917504 EGV917503:EGV917504 EQR917503:EQR917504 FAN917503:FAN917504 FKJ917503:FKJ917504 FUF917503:FUF917504 GEB917503:GEB917504 GNX917503:GNX917504 GXT917503:GXT917504 HHP917503:HHP917504 HRL917503:HRL917504 IBH917503:IBH917504 ILD917503:ILD917504 IUZ917503:IUZ917504 JEV917503:JEV917504 JOR917503:JOR917504 JYN917503:JYN917504 KIJ917503:KIJ917504 KSF917503:KSF917504 LCB917503:LCB917504 LLX917503:LLX917504 LVT917503:LVT917504 MFP917503:MFP917504 MPL917503:MPL917504 MZH917503:MZH917504 NJD917503:NJD917504 NSZ917503:NSZ917504 OCV917503:OCV917504 OMR917503:OMR917504 OWN917503:OWN917504 PGJ917503:PGJ917504 PQF917503:PQF917504 QAB917503:QAB917504 QJX917503:QJX917504 QTT917503:QTT917504 RDP917503:RDP917504 RNL917503:RNL917504 RXH917503:RXH917504 SHD917503:SHD917504 SQZ917503:SQZ917504 TAV917503:TAV917504 TKR917503:TKR917504 TUN917503:TUN917504 UEJ917503:UEJ917504 UOF917503:UOF917504 UYB917503:UYB917504 VHX917503:VHX917504 VRT917503:VRT917504 WBP917503:WBP917504 WLL917503:WLL917504 WVH917503:WVH917504 IV983039:IV983040 SR983039:SR983040 ACN983039:ACN983040 AMJ983039:AMJ983040 AWF983039:AWF983040 BGB983039:BGB983040 BPX983039:BPX983040 BZT983039:BZT983040 CJP983039:CJP983040 CTL983039:CTL983040 DDH983039:DDH983040 DND983039:DND983040 DWZ983039:DWZ983040 EGV983039:EGV983040 EQR983039:EQR983040 FAN983039:FAN983040 FKJ983039:FKJ983040 FUF983039:FUF983040 GEB983039:GEB983040 GNX983039:GNX983040 GXT983039:GXT983040 HHP983039:HHP983040 HRL983039:HRL983040 IBH983039:IBH983040 ILD983039:ILD983040 IUZ983039:IUZ983040 JEV983039:JEV983040 JOR983039:JOR983040 JYN983039:JYN983040 KIJ983039:KIJ983040 KSF983039:KSF983040 LCB983039:LCB983040 LLX983039:LLX983040 LVT983039:LVT983040 MFP983039:MFP983040 MPL983039:MPL983040 MZH983039:MZH983040 NJD983039:NJD983040 NSZ983039:NSZ983040 OCV983039:OCV983040 OMR983039:OMR983040 OWN983039:OWN983040 PGJ983039:PGJ983040 PQF983039:PQF983040 QAB983039:QAB983040 QJX983039:QJX983040 QTT983039:QTT983040 RDP983039:RDP983040 RNL983039:RNL983040 RXH983039:RXH983040 SHD983039:SHD983040 SQZ983039:SQZ983040 TAV983039:TAV983040 TKR983039:TKR983040 TUN983039:TUN983040 UEJ983039:UEJ983040 UOF983039:UOF983040 UYB983039:UYB983040 VHX983039:VHX983040 VRT983039:VRT983040 WBP983039:WBP983040 WLL983039:WLL983040 D27">
      <formula1>MONTH</formula1>
    </dataValidation>
  </dataValidations>
  <hyperlinks>
    <hyperlink ref="A4" r:id="rId1"/>
  </hyperlinks>
  <pageMargins left="0.7" right="0.7" top="0.75" bottom="0.75" header="0.3" footer="0.3"/>
  <pageSetup paperSize="9" orientation="portrait" r:id="rId2"/>
  <drawing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123"/>
  <sheetViews>
    <sheetView topLeftCell="A15" workbookViewId="0">
      <selection activeCell="C26" sqref="C26"/>
    </sheetView>
  </sheetViews>
  <sheetFormatPr defaultRowHeight="15"/>
  <cols>
    <col min="1" max="1" width="22.28515625" style="6" customWidth="1"/>
    <col min="2" max="2" width="13.5703125" style="6" customWidth="1"/>
    <col min="3" max="3" width="15.140625" style="6" customWidth="1"/>
    <col min="4" max="4" width="12.85546875" style="6" customWidth="1"/>
    <col min="5" max="5" width="12.28515625" style="6" customWidth="1"/>
    <col min="6" max="6" width="12.42578125" style="6" customWidth="1"/>
    <col min="7" max="7" width="11.7109375" style="6" customWidth="1"/>
    <col min="8" max="10" width="14.5703125" style="6" customWidth="1"/>
    <col min="11" max="11" width="13.42578125" style="6" customWidth="1"/>
    <col min="12" max="253" width="9.140625" style="6"/>
    <col min="254" max="254" width="18.28515625" style="6" customWidth="1"/>
    <col min="255" max="255" width="13.5703125" style="6" customWidth="1"/>
    <col min="256" max="256" width="15.140625" style="6" customWidth="1"/>
    <col min="257" max="257" width="12.85546875" style="6" customWidth="1"/>
    <col min="258" max="258" width="12.28515625" style="6" customWidth="1"/>
    <col min="259" max="259" width="12.42578125" style="6" customWidth="1"/>
    <col min="260" max="260" width="11.7109375" style="6" customWidth="1"/>
    <col min="261" max="263" width="14.5703125" style="6" customWidth="1"/>
    <col min="264" max="264" width="13.42578125" style="6" customWidth="1"/>
    <col min="265" max="509" width="9.140625" style="6"/>
    <col min="510" max="510" width="18.28515625" style="6" customWidth="1"/>
    <col min="511" max="511" width="13.5703125" style="6" customWidth="1"/>
    <col min="512" max="512" width="15.140625" style="6" customWidth="1"/>
    <col min="513" max="513" width="12.85546875" style="6" customWidth="1"/>
    <col min="514" max="514" width="12.28515625" style="6" customWidth="1"/>
    <col min="515" max="515" width="12.42578125" style="6" customWidth="1"/>
    <col min="516" max="516" width="11.7109375" style="6" customWidth="1"/>
    <col min="517" max="519" width="14.5703125" style="6" customWidth="1"/>
    <col min="520" max="520" width="13.42578125" style="6" customWidth="1"/>
    <col min="521" max="765" width="9.140625" style="6"/>
    <col min="766" max="766" width="18.28515625" style="6" customWidth="1"/>
    <col min="767" max="767" width="13.5703125" style="6" customWidth="1"/>
    <col min="768" max="768" width="15.140625" style="6" customWidth="1"/>
    <col min="769" max="769" width="12.85546875" style="6" customWidth="1"/>
    <col min="770" max="770" width="12.28515625" style="6" customWidth="1"/>
    <col min="771" max="771" width="12.42578125" style="6" customWidth="1"/>
    <col min="772" max="772" width="11.7109375" style="6" customWidth="1"/>
    <col min="773" max="775" width="14.5703125" style="6" customWidth="1"/>
    <col min="776" max="776" width="13.42578125" style="6" customWidth="1"/>
    <col min="777" max="1021" width="9.140625" style="6"/>
    <col min="1022" max="1022" width="18.28515625" style="6" customWidth="1"/>
    <col min="1023" max="1023" width="13.5703125" style="6" customWidth="1"/>
    <col min="1024" max="1024" width="15.140625" style="6" customWidth="1"/>
    <col min="1025" max="1025" width="12.85546875" style="6" customWidth="1"/>
    <col min="1026" max="1026" width="12.28515625" style="6" customWidth="1"/>
    <col min="1027" max="1027" width="12.42578125" style="6" customWidth="1"/>
    <col min="1028" max="1028" width="11.7109375" style="6" customWidth="1"/>
    <col min="1029" max="1031" width="14.5703125" style="6" customWidth="1"/>
    <col min="1032" max="1032" width="13.42578125" style="6" customWidth="1"/>
    <col min="1033" max="1277" width="9.140625" style="6"/>
    <col min="1278" max="1278" width="18.28515625" style="6" customWidth="1"/>
    <col min="1279" max="1279" width="13.5703125" style="6" customWidth="1"/>
    <col min="1280" max="1280" width="15.140625" style="6" customWidth="1"/>
    <col min="1281" max="1281" width="12.85546875" style="6" customWidth="1"/>
    <col min="1282" max="1282" width="12.28515625" style="6" customWidth="1"/>
    <col min="1283" max="1283" width="12.42578125" style="6" customWidth="1"/>
    <col min="1284" max="1284" width="11.7109375" style="6" customWidth="1"/>
    <col min="1285" max="1287" width="14.5703125" style="6" customWidth="1"/>
    <col min="1288" max="1288" width="13.42578125" style="6" customWidth="1"/>
    <col min="1289" max="1533" width="9.140625" style="6"/>
    <col min="1534" max="1534" width="18.28515625" style="6" customWidth="1"/>
    <col min="1535" max="1535" width="13.5703125" style="6" customWidth="1"/>
    <col min="1536" max="1536" width="15.140625" style="6" customWidth="1"/>
    <col min="1537" max="1537" width="12.85546875" style="6" customWidth="1"/>
    <col min="1538" max="1538" width="12.28515625" style="6" customWidth="1"/>
    <col min="1539" max="1539" width="12.42578125" style="6" customWidth="1"/>
    <col min="1540" max="1540" width="11.7109375" style="6" customWidth="1"/>
    <col min="1541" max="1543" width="14.5703125" style="6" customWidth="1"/>
    <col min="1544" max="1544" width="13.42578125" style="6" customWidth="1"/>
    <col min="1545" max="1789" width="9.140625" style="6"/>
    <col min="1790" max="1790" width="18.28515625" style="6" customWidth="1"/>
    <col min="1791" max="1791" width="13.5703125" style="6" customWidth="1"/>
    <col min="1792" max="1792" width="15.140625" style="6" customWidth="1"/>
    <col min="1793" max="1793" width="12.85546875" style="6" customWidth="1"/>
    <col min="1794" max="1794" width="12.28515625" style="6" customWidth="1"/>
    <col min="1795" max="1795" width="12.42578125" style="6" customWidth="1"/>
    <col min="1796" max="1796" width="11.7109375" style="6" customWidth="1"/>
    <col min="1797" max="1799" width="14.5703125" style="6" customWidth="1"/>
    <col min="1800" max="1800" width="13.42578125" style="6" customWidth="1"/>
    <col min="1801" max="2045" width="9.140625" style="6"/>
    <col min="2046" max="2046" width="18.28515625" style="6" customWidth="1"/>
    <col min="2047" max="2047" width="13.5703125" style="6" customWidth="1"/>
    <col min="2048" max="2048" width="15.140625" style="6" customWidth="1"/>
    <col min="2049" max="2049" width="12.85546875" style="6" customWidth="1"/>
    <col min="2050" max="2050" width="12.28515625" style="6" customWidth="1"/>
    <col min="2051" max="2051" width="12.42578125" style="6" customWidth="1"/>
    <col min="2052" max="2052" width="11.7109375" style="6" customWidth="1"/>
    <col min="2053" max="2055" width="14.5703125" style="6" customWidth="1"/>
    <col min="2056" max="2056" width="13.42578125" style="6" customWidth="1"/>
    <col min="2057" max="2301" width="9.140625" style="6"/>
    <col min="2302" max="2302" width="18.28515625" style="6" customWidth="1"/>
    <col min="2303" max="2303" width="13.5703125" style="6" customWidth="1"/>
    <col min="2304" max="2304" width="15.140625" style="6" customWidth="1"/>
    <col min="2305" max="2305" width="12.85546875" style="6" customWidth="1"/>
    <col min="2306" max="2306" width="12.28515625" style="6" customWidth="1"/>
    <col min="2307" max="2307" width="12.42578125" style="6" customWidth="1"/>
    <col min="2308" max="2308" width="11.7109375" style="6" customWidth="1"/>
    <col min="2309" max="2311" width="14.5703125" style="6" customWidth="1"/>
    <col min="2312" max="2312" width="13.42578125" style="6" customWidth="1"/>
    <col min="2313" max="2557" width="9.140625" style="6"/>
    <col min="2558" max="2558" width="18.28515625" style="6" customWidth="1"/>
    <col min="2559" max="2559" width="13.5703125" style="6" customWidth="1"/>
    <col min="2560" max="2560" width="15.140625" style="6" customWidth="1"/>
    <col min="2561" max="2561" width="12.85546875" style="6" customWidth="1"/>
    <col min="2562" max="2562" width="12.28515625" style="6" customWidth="1"/>
    <col min="2563" max="2563" width="12.42578125" style="6" customWidth="1"/>
    <col min="2564" max="2564" width="11.7109375" style="6" customWidth="1"/>
    <col min="2565" max="2567" width="14.5703125" style="6" customWidth="1"/>
    <col min="2568" max="2568" width="13.42578125" style="6" customWidth="1"/>
    <col min="2569" max="2813" width="9.140625" style="6"/>
    <col min="2814" max="2814" width="18.28515625" style="6" customWidth="1"/>
    <col min="2815" max="2815" width="13.5703125" style="6" customWidth="1"/>
    <col min="2816" max="2816" width="15.140625" style="6" customWidth="1"/>
    <col min="2817" max="2817" width="12.85546875" style="6" customWidth="1"/>
    <col min="2818" max="2818" width="12.28515625" style="6" customWidth="1"/>
    <col min="2819" max="2819" width="12.42578125" style="6" customWidth="1"/>
    <col min="2820" max="2820" width="11.7109375" style="6" customWidth="1"/>
    <col min="2821" max="2823" width="14.5703125" style="6" customWidth="1"/>
    <col min="2824" max="2824" width="13.42578125" style="6" customWidth="1"/>
    <col min="2825" max="3069" width="9.140625" style="6"/>
    <col min="3070" max="3070" width="18.28515625" style="6" customWidth="1"/>
    <col min="3071" max="3071" width="13.5703125" style="6" customWidth="1"/>
    <col min="3072" max="3072" width="15.140625" style="6" customWidth="1"/>
    <col min="3073" max="3073" width="12.85546875" style="6" customWidth="1"/>
    <col min="3074" max="3074" width="12.28515625" style="6" customWidth="1"/>
    <col min="3075" max="3075" width="12.42578125" style="6" customWidth="1"/>
    <col min="3076" max="3076" width="11.7109375" style="6" customWidth="1"/>
    <col min="3077" max="3079" width="14.5703125" style="6" customWidth="1"/>
    <col min="3080" max="3080" width="13.42578125" style="6" customWidth="1"/>
    <col min="3081" max="3325" width="9.140625" style="6"/>
    <col min="3326" max="3326" width="18.28515625" style="6" customWidth="1"/>
    <col min="3327" max="3327" width="13.5703125" style="6" customWidth="1"/>
    <col min="3328" max="3328" width="15.140625" style="6" customWidth="1"/>
    <col min="3329" max="3329" width="12.85546875" style="6" customWidth="1"/>
    <col min="3330" max="3330" width="12.28515625" style="6" customWidth="1"/>
    <col min="3331" max="3331" width="12.42578125" style="6" customWidth="1"/>
    <col min="3332" max="3332" width="11.7109375" style="6" customWidth="1"/>
    <col min="3333" max="3335" width="14.5703125" style="6" customWidth="1"/>
    <col min="3336" max="3336" width="13.42578125" style="6" customWidth="1"/>
    <col min="3337" max="3581" width="9.140625" style="6"/>
    <col min="3582" max="3582" width="18.28515625" style="6" customWidth="1"/>
    <col min="3583" max="3583" width="13.5703125" style="6" customWidth="1"/>
    <col min="3584" max="3584" width="15.140625" style="6" customWidth="1"/>
    <col min="3585" max="3585" width="12.85546875" style="6" customWidth="1"/>
    <col min="3586" max="3586" width="12.28515625" style="6" customWidth="1"/>
    <col min="3587" max="3587" width="12.42578125" style="6" customWidth="1"/>
    <col min="3588" max="3588" width="11.7109375" style="6" customWidth="1"/>
    <col min="3589" max="3591" width="14.5703125" style="6" customWidth="1"/>
    <col min="3592" max="3592" width="13.42578125" style="6" customWidth="1"/>
    <col min="3593" max="3837" width="9.140625" style="6"/>
    <col min="3838" max="3838" width="18.28515625" style="6" customWidth="1"/>
    <col min="3839" max="3839" width="13.5703125" style="6" customWidth="1"/>
    <col min="3840" max="3840" width="15.140625" style="6" customWidth="1"/>
    <col min="3841" max="3841" width="12.85546875" style="6" customWidth="1"/>
    <col min="3842" max="3842" width="12.28515625" style="6" customWidth="1"/>
    <col min="3843" max="3843" width="12.42578125" style="6" customWidth="1"/>
    <col min="3844" max="3844" width="11.7109375" style="6" customWidth="1"/>
    <col min="3845" max="3847" width="14.5703125" style="6" customWidth="1"/>
    <col min="3848" max="3848" width="13.42578125" style="6" customWidth="1"/>
    <col min="3849" max="4093" width="9.140625" style="6"/>
    <col min="4094" max="4094" width="18.28515625" style="6" customWidth="1"/>
    <col min="4095" max="4095" width="13.5703125" style="6" customWidth="1"/>
    <col min="4096" max="4096" width="15.140625" style="6" customWidth="1"/>
    <col min="4097" max="4097" width="12.85546875" style="6" customWidth="1"/>
    <col min="4098" max="4098" width="12.28515625" style="6" customWidth="1"/>
    <col min="4099" max="4099" width="12.42578125" style="6" customWidth="1"/>
    <col min="4100" max="4100" width="11.7109375" style="6" customWidth="1"/>
    <col min="4101" max="4103" width="14.5703125" style="6" customWidth="1"/>
    <col min="4104" max="4104" width="13.42578125" style="6" customWidth="1"/>
    <col min="4105" max="4349" width="9.140625" style="6"/>
    <col min="4350" max="4350" width="18.28515625" style="6" customWidth="1"/>
    <col min="4351" max="4351" width="13.5703125" style="6" customWidth="1"/>
    <col min="4352" max="4352" width="15.140625" style="6" customWidth="1"/>
    <col min="4353" max="4353" width="12.85546875" style="6" customWidth="1"/>
    <col min="4354" max="4354" width="12.28515625" style="6" customWidth="1"/>
    <col min="4355" max="4355" width="12.42578125" style="6" customWidth="1"/>
    <col min="4356" max="4356" width="11.7109375" style="6" customWidth="1"/>
    <col min="4357" max="4359" width="14.5703125" style="6" customWidth="1"/>
    <col min="4360" max="4360" width="13.42578125" style="6" customWidth="1"/>
    <col min="4361" max="4605" width="9.140625" style="6"/>
    <col min="4606" max="4606" width="18.28515625" style="6" customWidth="1"/>
    <col min="4607" max="4607" width="13.5703125" style="6" customWidth="1"/>
    <col min="4608" max="4608" width="15.140625" style="6" customWidth="1"/>
    <col min="4609" max="4609" width="12.85546875" style="6" customWidth="1"/>
    <col min="4610" max="4610" width="12.28515625" style="6" customWidth="1"/>
    <col min="4611" max="4611" width="12.42578125" style="6" customWidth="1"/>
    <col min="4612" max="4612" width="11.7109375" style="6" customWidth="1"/>
    <col min="4613" max="4615" width="14.5703125" style="6" customWidth="1"/>
    <col min="4616" max="4616" width="13.42578125" style="6" customWidth="1"/>
    <col min="4617" max="4861" width="9.140625" style="6"/>
    <col min="4862" max="4862" width="18.28515625" style="6" customWidth="1"/>
    <col min="4863" max="4863" width="13.5703125" style="6" customWidth="1"/>
    <col min="4864" max="4864" width="15.140625" style="6" customWidth="1"/>
    <col min="4865" max="4865" width="12.85546875" style="6" customWidth="1"/>
    <col min="4866" max="4866" width="12.28515625" style="6" customWidth="1"/>
    <col min="4867" max="4867" width="12.42578125" style="6" customWidth="1"/>
    <col min="4868" max="4868" width="11.7109375" style="6" customWidth="1"/>
    <col min="4869" max="4871" width="14.5703125" style="6" customWidth="1"/>
    <col min="4872" max="4872" width="13.42578125" style="6" customWidth="1"/>
    <col min="4873" max="5117" width="9.140625" style="6"/>
    <col min="5118" max="5118" width="18.28515625" style="6" customWidth="1"/>
    <col min="5119" max="5119" width="13.5703125" style="6" customWidth="1"/>
    <col min="5120" max="5120" width="15.140625" style="6" customWidth="1"/>
    <col min="5121" max="5121" width="12.85546875" style="6" customWidth="1"/>
    <col min="5122" max="5122" width="12.28515625" style="6" customWidth="1"/>
    <col min="5123" max="5123" width="12.42578125" style="6" customWidth="1"/>
    <col min="5124" max="5124" width="11.7109375" style="6" customWidth="1"/>
    <col min="5125" max="5127" width="14.5703125" style="6" customWidth="1"/>
    <col min="5128" max="5128" width="13.42578125" style="6" customWidth="1"/>
    <col min="5129" max="5373" width="9.140625" style="6"/>
    <col min="5374" max="5374" width="18.28515625" style="6" customWidth="1"/>
    <col min="5375" max="5375" width="13.5703125" style="6" customWidth="1"/>
    <col min="5376" max="5376" width="15.140625" style="6" customWidth="1"/>
    <col min="5377" max="5377" width="12.85546875" style="6" customWidth="1"/>
    <col min="5378" max="5378" width="12.28515625" style="6" customWidth="1"/>
    <col min="5379" max="5379" width="12.42578125" style="6" customWidth="1"/>
    <col min="5380" max="5380" width="11.7109375" style="6" customWidth="1"/>
    <col min="5381" max="5383" width="14.5703125" style="6" customWidth="1"/>
    <col min="5384" max="5384" width="13.42578125" style="6" customWidth="1"/>
    <col min="5385" max="5629" width="9.140625" style="6"/>
    <col min="5630" max="5630" width="18.28515625" style="6" customWidth="1"/>
    <col min="5631" max="5631" width="13.5703125" style="6" customWidth="1"/>
    <col min="5632" max="5632" width="15.140625" style="6" customWidth="1"/>
    <col min="5633" max="5633" width="12.85546875" style="6" customWidth="1"/>
    <col min="5634" max="5634" width="12.28515625" style="6" customWidth="1"/>
    <col min="5635" max="5635" width="12.42578125" style="6" customWidth="1"/>
    <col min="5636" max="5636" width="11.7109375" style="6" customWidth="1"/>
    <col min="5637" max="5639" width="14.5703125" style="6" customWidth="1"/>
    <col min="5640" max="5640" width="13.42578125" style="6" customWidth="1"/>
    <col min="5641" max="5885" width="9.140625" style="6"/>
    <col min="5886" max="5886" width="18.28515625" style="6" customWidth="1"/>
    <col min="5887" max="5887" width="13.5703125" style="6" customWidth="1"/>
    <col min="5888" max="5888" width="15.140625" style="6" customWidth="1"/>
    <col min="5889" max="5889" width="12.85546875" style="6" customWidth="1"/>
    <col min="5890" max="5890" width="12.28515625" style="6" customWidth="1"/>
    <col min="5891" max="5891" width="12.42578125" style="6" customWidth="1"/>
    <col min="5892" max="5892" width="11.7109375" style="6" customWidth="1"/>
    <col min="5893" max="5895" width="14.5703125" style="6" customWidth="1"/>
    <col min="5896" max="5896" width="13.42578125" style="6" customWidth="1"/>
    <col min="5897" max="6141" width="9.140625" style="6"/>
    <col min="6142" max="6142" width="18.28515625" style="6" customWidth="1"/>
    <col min="6143" max="6143" width="13.5703125" style="6" customWidth="1"/>
    <col min="6144" max="6144" width="15.140625" style="6" customWidth="1"/>
    <col min="6145" max="6145" width="12.85546875" style="6" customWidth="1"/>
    <col min="6146" max="6146" width="12.28515625" style="6" customWidth="1"/>
    <col min="6147" max="6147" width="12.42578125" style="6" customWidth="1"/>
    <col min="6148" max="6148" width="11.7109375" style="6" customWidth="1"/>
    <col min="6149" max="6151" width="14.5703125" style="6" customWidth="1"/>
    <col min="6152" max="6152" width="13.42578125" style="6" customWidth="1"/>
    <col min="6153" max="6397" width="9.140625" style="6"/>
    <col min="6398" max="6398" width="18.28515625" style="6" customWidth="1"/>
    <col min="6399" max="6399" width="13.5703125" style="6" customWidth="1"/>
    <col min="6400" max="6400" width="15.140625" style="6" customWidth="1"/>
    <col min="6401" max="6401" width="12.85546875" style="6" customWidth="1"/>
    <col min="6402" max="6402" width="12.28515625" style="6" customWidth="1"/>
    <col min="6403" max="6403" width="12.42578125" style="6" customWidth="1"/>
    <col min="6404" max="6404" width="11.7109375" style="6" customWidth="1"/>
    <col min="6405" max="6407" width="14.5703125" style="6" customWidth="1"/>
    <col min="6408" max="6408" width="13.42578125" style="6" customWidth="1"/>
    <col min="6409" max="6653" width="9.140625" style="6"/>
    <col min="6654" max="6654" width="18.28515625" style="6" customWidth="1"/>
    <col min="6655" max="6655" width="13.5703125" style="6" customWidth="1"/>
    <col min="6656" max="6656" width="15.140625" style="6" customWidth="1"/>
    <col min="6657" max="6657" width="12.85546875" style="6" customWidth="1"/>
    <col min="6658" max="6658" width="12.28515625" style="6" customWidth="1"/>
    <col min="6659" max="6659" width="12.42578125" style="6" customWidth="1"/>
    <col min="6660" max="6660" width="11.7109375" style="6" customWidth="1"/>
    <col min="6661" max="6663" width="14.5703125" style="6" customWidth="1"/>
    <col min="6664" max="6664" width="13.42578125" style="6" customWidth="1"/>
    <col min="6665" max="6909" width="9.140625" style="6"/>
    <col min="6910" max="6910" width="18.28515625" style="6" customWidth="1"/>
    <col min="6911" max="6911" width="13.5703125" style="6" customWidth="1"/>
    <col min="6912" max="6912" width="15.140625" style="6" customWidth="1"/>
    <col min="6913" max="6913" width="12.85546875" style="6" customWidth="1"/>
    <col min="6914" max="6914" width="12.28515625" style="6" customWidth="1"/>
    <col min="6915" max="6915" width="12.42578125" style="6" customWidth="1"/>
    <col min="6916" max="6916" width="11.7109375" style="6" customWidth="1"/>
    <col min="6917" max="6919" width="14.5703125" style="6" customWidth="1"/>
    <col min="6920" max="6920" width="13.42578125" style="6" customWidth="1"/>
    <col min="6921" max="7165" width="9.140625" style="6"/>
    <col min="7166" max="7166" width="18.28515625" style="6" customWidth="1"/>
    <col min="7167" max="7167" width="13.5703125" style="6" customWidth="1"/>
    <col min="7168" max="7168" width="15.140625" style="6" customWidth="1"/>
    <col min="7169" max="7169" width="12.85546875" style="6" customWidth="1"/>
    <col min="7170" max="7170" width="12.28515625" style="6" customWidth="1"/>
    <col min="7171" max="7171" width="12.42578125" style="6" customWidth="1"/>
    <col min="7172" max="7172" width="11.7109375" style="6" customWidth="1"/>
    <col min="7173" max="7175" width="14.5703125" style="6" customWidth="1"/>
    <col min="7176" max="7176" width="13.42578125" style="6" customWidth="1"/>
    <col min="7177" max="7421" width="9.140625" style="6"/>
    <col min="7422" max="7422" width="18.28515625" style="6" customWidth="1"/>
    <col min="7423" max="7423" width="13.5703125" style="6" customWidth="1"/>
    <col min="7424" max="7424" width="15.140625" style="6" customWidth="1"/>
    <col min="7425" max="7425" width="12.85546875" style="6" customWidth="1"/>
    <col min="7426" max="7426" width="12.28515625" style="6" customWidth="1"/>
    <col min="7427" max="7427" width="12.42578125" style="6" customWidth="1"/>
    <col min="7428" max="7428" width="11.7109375" style="6" customWidth="1"/>
    <col min="7429" max="7431" width="14.5703125" style="6" customWidth="1"/>
    <col min="7432" max="7432" width="13.42578125" style="6" customWidth="1"/>
    <col min="7433" max="7677" width="9.140625" style="6"/>
    <col min="7678" max="7678" width="18.28515625" style="6" customWidth="1"/>
    <col min="7679" max="7679" width="13.5703125" style="6" customWidth="1"/>
    <col min="7680" max="7680" width="15.140625" style="6" customWidth="1"/>
    <col min="7681" max="7681" width="12.85546875" style="6" customWidth="1"/>
    <col min="7682" max="7682" width="12.28515625" style="6" customWidth="1"/>
    <col min="7683" max="7683" width="12.42578125" style="6" customWidth="1"/>
    <col min="7684" max="7684" width="11.7109375" style="6" customWidth="1"/>
    <col min="7685" max="7687" width="14.5703125" style="6" customWidth="1"/>
    <col min="7688" max="7688" width="13.42578125" style="6" customWidth="1"/>
    <col min="7689" max="7933" width="9.140625" style="6"/>
    <col min="7934" max="7934" width="18.28515625" style="6" customWidth="1"/>
    <col min="7935" max="7935" width="13.5703125" style="6" customWidth="1"/>
    <col min="7936" max="7936" width="15.140625" style="6" customWidth="1"/>
    <col min="7937" max="7937" width="12.85546875" style="6" customWidth="1"/>
    <col min="7938" max="7938" width="12.28515625" style="6" customWidth="1"/>
    <col min="7939" max="7939" width="12.42578125" style="6" customWidth="1"/>
    <col min="7940" max="7940" width="11.7109375" style="6" customWidth="1"/>
    <col min="7941" max="7943" width="14.5703125" style="6" customWidth="1"/>
    <col min="7944" max="7944" width="13.42578125" style="6" customWidth="1"/>
    <col min="7945" max="8189" width="9.140625" style="6"/>
    <col min="8190" max="8190" width="18.28515625" style="6" customWidth="1"/>
    <col min="8191" max="8191" width="13.5703125" style="6" customWidth="1"/>
    <col min="8192" max="8192" width="15.140625" style="6" customWidth="1"/>
    <col min="8193" max="8193" width="12.85546875" style="6" customWidth="1"/>
    <col min="8194" max="8194" width="12.28515625" style="6" customWidth="1"/>
    <col min="8195" max="8195" width="12.42578125" style="6" customWidth="1"/>
    <col min="8196" max="8196" width="11.7109375" style="6" customWidth="1"/>
    <col min="8197" max="8199" width="14.5703125" style="6" customWidth="1"/>
    <col min="8200" max="8200" width="13.42578125" style="6" customWidth="1"/>
    <col min="8201" max="8445" width="9.140625" style="6"/>
    <col min="8446" max="8446" width="18.28515625" style="6" customWidth="1"/>
    <col min="8447" max="8447" width="13.5703125" style="6" customWidth="1"/>
    <col min="8448" max="8448" width="15.140625" style="6" customWidth="1"/>
    <col min="8449" max="8449" width="12.85546875" style="6" customWidth="1"/>
    <col min="8450" max="8450" width="12.28515625" style="6" customWidth="1"/>
    <col min="8451" max="8451" width="12.42578125" style="6" customWidth="1"/>
    <col min="8452" max="8452" width="11.7109375" style="6" customWidth="1"/>
    <col min="8453" max="8455" width="14.5703125" style="6" customWidth="1"/>
    <col min="8456" max="8456" width="13.42578125" style="6" customWidth="1"/>
    <col min="8457" max="8701" width="9.140625" style="6"/>
    <col min="8702" max="8702" width="18.28515625" style="6" customWidth="1"/>
    <col min="8703" max="8703" width="13.5703125" style="6" customWidth="1"/>
    <col min="8704" max="8704" width="15.140625" style="6" customWidth="1"/>
    <col min="8705" max="8705" width="12.85546875" style="6" customWidth="1"/>
    <col min="8706" max="8706" width="12.28515625" style="6" customWidth="1"/>
    <col min="8707" max="8707" width="12.42578125" style="6" customWidth="1"/>
    <col min="8708" max="8708" width="11.7109375" style="6" customWidth="1"/>
    <col min="8709" max="8711" width="14.5703125" style="6" customWidth="1"/>
    <col min="8712" max="8712" width="13.42578125" style="6" customWidth="1"/>
    <col min="8713" max="8957" width="9.140625" style="6"/>
    <col min="8958" max="8958" width="18.28515625" style="6" customWidth="1"/>
    <col min="8959" max="8959" width="13.5703125" style="6" customWidth="1"/>
    <col min="8960" max="8960" width="15.140625" style="6" customWidth="1"/>
    <col min="8961" max="8961" width="12.85546875" style="6" customWidth="1"/>
    <col min="8962" max="8962" width="12.28515625" style="6" customWidth="1"/>
    <col min="8963" max="8963" width="12.42578125" style="6" customWidth="1"/>
    <col min="8964" max="8964" width="11.7109375" style="6" customWidth="1"/>
    <col min="8965" max="8967" width="14.5703125" style="6" customWidth="1"/>
    <col min="8968" max="8968" width="13.42578125" style="6" customWidth="1"/>
    <col min="8969" max="9213" width="9.140625" style="6"/>
    <col min="9214" max="9214" width="18.28515625" style="6" customWidth="1"/>
    <col min="9215" max="9215" width="13.5703125" style="6" customWidth="1"/>
    <col min="9216" max="9216" width="15.140625" style="6" customWidth="1"/>
    <col min="9217" max="9217" width="12.85546875" style="6" customWidth="1"/>
    <col min="9218" max="9218" width="12.28515625" style="6" customWidth="1"/>
    <col min="9219" max="9219" width="12.42578125" style="6" customWidth="1"/>
    <col min="9220" max="9220" width="11.7109375" style="6" customWidth="1"/>
    <col min="9221" max="9223" width="14.5703125" style="6" customWidth="1"/>
    <col min="9224" max="9224" width="13.42578125" style="6" customWidth="1"/>
    <col min="9225" max="9469" width="9.140625" style="6"/>
    <col min="9470" max="9470" width="18.28515625" style="6" customWidth="1"/>
    <col min="9471" max="9471" width="13.5703125" style="6" customWidth="1"/>
    <col min="9472" max="9472" width="15.140625" style="6" customWidth="1"/>
    <col min="9473" max="9473" width="12.85546875" style="6" customWidth="1"/>
    <col min="9474" max="9474" width="12.28515625" style="6" customWidth="1"/>
    <col min="9475" max="9475" width="12.42578125" style="6" customWidth="1"/>
    <col min="9476" max="9476" width="11.7109375" style="6" customWidth="1"/>
    <col min="9477" max="9479" width="14.5703125" style="6" customWidth="1"/>
    <col min="9480" max="9480" width="13.42578125" style="6" customWidth="1"/>
    <col min="9481" max="9725" width="9.140625" style="6"/>
    <col min="9726" max="9726" width="18.28515625" style="6" customWidth="1"/>
    <col min="9727" max="9727" width="13.5703125" style="6" customWidth="1"/>
    <col min="9728" max="9728" width="15.140625" style="6" customWidth="1"/>
    <col min="9729" max="9729" width="12.85546875" style="6" customWidth="1"/>
    <col min="9730" max="9730" width="12.28515625" style="6" customWidth="1"/>
    <col min="9731" max="9731" width="12.42578125" style="6" customWidth="1"/>
    <col min="9732" max="9732" width="11.7109375" style="6" customWidth="1"/>
    <col min="9733" max="9735" width="14.5703125" style="6" customWidth="1"/>
    <col min="9736" max="9736" width="13.42578125" style="6" customWidth="1"/>
    <col min="9737" max="9981" width="9.140625" style="6"/>
    <col min="9982" max="9982" width="18.28515625" style="6" customWidth="1"/>
    <col min="9983" max="9983" width="13.5703125" style="6" customWidth="1"/>
    <col min="9984" max="9984" width="15.140625" style="6" customWidth="1"/>
    <col min="9985" max="9985" width="12.85546875" style="6" customWidth="1"/>
    <col min="9986" max="9986" width="12.28515625" style="6" customWidth="1"/>
    <col min="9987" max="9987" width="12.42578125" style="6" customWidth="1"/>
    <col min="9988" max="9988" width="11.7109375" style="6" customWidth="1"/>
    <col min="9989" max="9991" width="14.5703125" style="6" customWidth="1"/>
    <col min="9992" max="9992" width="13.42578125" style="6" customWidth="1"/>
    <col min="9993" max="10237" width="9.140625" style="6"/>
    <col min="10238" max="10238" width="18.28515625" style="6" customWidth="1"/>
    <col min="10239" max="10239" width="13.5703125" style="6" customWidth="1"/>
    <col min="10240" max="10240" width="15.140625" style="6" customWidth="1"/>
    <col min="10241" max="10241" width="12.85546875" style="6" customWidth="1"/>
    <col min="10242" max="10242" width="12.28515625" style="6" customWidth="1"/>
    <col min="10243" max="10243" width="12.42578125" style="6" customWidth="1"/>
    <col min="10244" max="10244" width="11.7109375" style="6" customWidth="1"/>
    <col min="10245" max="10247" width="14.5703125" style="6" customWidth="1"/>
    <col min="10248" max="10248" width="13.42578125" style="6" customWidth="1"/>
    <col min="10249" max="10493" width="9.140625" style="6"/>
    <col min="10494" max="10494" width="18.28515625" style="6" customWidth="1"/>
    <col min="10495" max="10495" width="13.5703125" style="6" customWidth="1"/>
    <col min="10496" max="10496" width="15.140625" style="6" customWidth="1"/>
    <col min="10497" max="10497" width="12.85546875" style="6" customWidth="1"/>
    <col min="10498" max="10498" width="12.28515625" style="6" customWidth="1"/>
    <col min="10499" max="10499" width="12.42578125" style="6" customWidth="1"/>
    <col min="10500" max="10500" width="11.7109375" style="6" customWidth="1"/>
    <col min="10501" max="10503" width="14.5703125" style="6" customWidth="1"/>
    <col min="10504" max="10504" width="13.42578125" style="6" customWidth="1"/>
    <col min="10505" max="10749" width="9.140625" style="6"/>
    <col min="10750" max="10750" width="18.28515625" style="6" customWidth="1"/>
    <col min="10751" max="10751" width="13.5703125" style="6" customWidth="1"/>
    <col min="10752" max="10752" width="15.140625" style="6" customWidth="1"/>
    <col min="10753" max="10753" width="12.85546875" style="6" customWidth="1"/>
    <col min="10754" max="10754" width="12.28515625" style="6" customWidth="1"/>
    <col min="10755" max="10755" width="12.42578125" style="6" customWidth="1"/>
    <col min="10756" max="10756" width="11.7109375" style="6" customWidth="1"/>
    <col min="10757" max="10759" width="14.5703125" style="6" customWidth="1"/>
    <col min="10760" max="10760" width="13.42578125" style="6" customWidth="1"/>
    <col min="10761" max="11005" width="9.140625" style="6"/>
    <col min="11006" max="11006" width="18.28515625" style="6" customWidth="1"/>
    <col min="11007" max="11007" width="13.5703125" style="6" customWidth="1"/>
    <col min="11008" max="11008" width="15.140625" style="6" customWidth="1"/>
    <col min="11009" max="11009" width="12.85546875" style="6" customWidth="1"/>
    <col min="11010" max="11010" width="12.28515625" style="6" customWidth="1"/>
    <col min="11011" max="11011" width="12.42578125" style="6" customWidth="1"/>
    <col min="11012" max="11012" width="11.7109375" style="6" customWidth="1"/>
    <col min="11013" max="11015" width="14.5703125" style="6" customWidth="1"/>
    <col min="11016" max="11016" width="13.42578125" style="6" customWidth="1"/>
    <col min="11017" max="11261" width="9.140625" style="6"/>
    <col min="11262" max="11262" width="18.28515625" style="6" customWidth="1"/>
    <col min="11263" max="11263" width="13.5703125" style="6" customWidth="1"/>
    <col min="11264" max="11264" width="15.140625" style="6" customWidth="1"/>
    <col min="11265" max="11265" width="12.85546875" style="6" customWidth="1"/>
    <col min="11266" max="11266" width="12.28515625" style="6" customWidth="1"/>
    <col min="11267" max="11267" width="12.42578125" style="6" customWidth="1"/>
    <col min="11268" max="11268" width="11.7109375" style="6" customWidth="1"/>
    <col min="11269" max="11271" width="14.5703125" style="6" customWidth="1"/>
    <col min="11272" max="11272" width="13.42578125" style="6" customWidth="1"/>
    <col min="11273" max="11517" width="9.140625" style="6"/>
    <col min="11518" max="11518" width="18.28515625" style="6" customWidth="1"/>
    <col min="11519" max="11519" width="13.5703125" style="6" customWidth="1"/>
    <col min="11520" max="11520" width="15.140625" style="6" customWidth="1"/>
    <col min="11521" max="11521" width="12.85546875" style="6" customWidth="1"/>
    <col min="11522" max="11522" width="12.28515625" style="6" customWidth="1"/>
    <col min="11523" max="11523" width="12.42578125" style="6" customWidth="1"/>
    <col min="11524" max="11524" width="11.7109375" style="6" customWidth="1"/>
    <col min="11525" max="11527" width="14.5703125" style="6" customWidth="1"/>
    <col min="11528" max="11528" width="13.42578125" style="6" customWidth="1"/>
    <col min="11529" max="11773" width="9.140625" style="6"/>
    <col min="11774" max="11774" width="18.28515625" style="6" customWidth="1"/>
    <col min="11775" max="11775" width="13.5703125" style="6" customWidth="1"/>
    <col min="11776" max="11776" width="15.140625" style="6" customWidth="1"/>
    <col min="11777" max="11777" width="12.85546875" style="6" customWidth="1"/>
    <col min="11778" max="11778" width="12.28515625" style="6" customWidth="1"/>
    <col min="11779" max="11779" width="12.42578125" style="6" customWidth="1"/>
    <col min="11780" max="11780" width="11.7109375" style="6" customWidth="1"/>
    <col min="11781" max="11783" width="14.5703125" style="6" customWidth="1"/>
    <col min="11784" max="11784" width="13.42578125" style="6" customWidth="1"/>
    <col min="11785" max="12029" width="9.140625" style="6"/>
    <col min="12030" max="12030" width="18.28515625" style="6" customWidth="1"/>
    <col min="12031" max="12031" width="13.5703125" style="6" customWidth="1"/>
    <col min="12032" max="12032" width="15.140625" style="6" customWidth="1"/>
    <col min="12033" max="12033" width="12.85546875" style="6" customWidth="1"/>
    <col min="12034" max="12034" width="12.28515625" style="6" customWidth="1"/>
    <col min="12035" max="12035" width="12.42578125" style="6" customWidth="1"/>
    <col min="12036" max="12036" width="11.7109375" style="6" customWidth="1"/>
    <col min="12037" max="12039" width="14.5703125" style="6" customWidth="1"/>
    <col min="12040" max="12040" width="13.42578125" style="6" customWidth="1"/>
    <col min="12041" max="12285" width="9.140625" style="6"/>
    <col min="12286" max="12286" width="18.28515625" style="6" customWidth="1"/>
    <col min="12287" max="12287" width="13.5703125" style="6" customWidth="1"/>
    <col min="12288" max="12288" width="15.140625" style="6" customWidth="1"/>
    <col min="12289" max="12289" width="12.85546875" style="6" customWidth="1"/>
    <col min="12290" max="12290" width="12.28515625" style="6" customWidth="1"/>
    <col min="12291" max="12291" width="12.42578125" style="6" customWidth="1"/>
    <col min="12292" max="12292" width="11.7109375" style="6" customWidth="1"/>
    <col min="12293" max="12295" width="14.5703125" style="6" customWidth="1"/>
    <col min="12296" max="12296" width="13.42578125" style="6" customWidth="1"/>
    <col min="12297" max="12541" width="9.140625" style="6"/>
    <col min="12542" max="12542" width="18.28515625" style="6" customWidth="1"/>
    <col min="12543" max="12543" width="13.5703125" style="6" customWidth="1"/>
    <col min="12544" max="12544" width="15.140625" style="6" customWidth="1"/>
    <col min="12545" max="12545" width="12.85546875" style="6" customWidth="1"/>
    <col min="12546" max="12546" width="12.28515625" style="6" customWidth="1"/>
    <col min="12547" max="12547" width="12.42578125" style="6" customWidth="1"/>
    <col min="12548" max="12548" width="11.7109375" style="6" customWidth="1"/>
    <col min="12549" max="12551" width="14.5703125" style="6" customWidth="1"/>
    <col min="12552" max="12552" width="13.42578125" style="6" customWidth="1"/>
    <col min="12553" max="12797" width="9.140625" style="6"/>
    <col min="12798" max="12798" width="18.28515625" style="6" customWidth="1"/>
    <col min="12799" max="12799" width="13.5703125" style="6" customWidth="1"/>
    <col min="12800" max="12800" width="15.140625" style="6" customWidth="1"/>
    <col min="12801" max="12801" width="12.85546875" style="6" customWidth="1"/>
    <col min="12802" max="12802" width="12.28515625" style="6" customWidth="1"/>
    <col min="12803" max="12803" width="12.42578125" style="6" customWidth="1"/>
    <col min="12804" max="12804" width="11.7109375" style="6" customWidth="1"/>
    <col min="12805" max="12807" width="14.5703125" style="6" customWidth="1"/>
    <col min="12808" max="12808" width="13.42578125" style="6" customWidth="1"/>
    <col min="12809" max="13053" width="9.140625" style="6"/>
    <col min="13054" max="13054" width="18.28515625" style="6" customWidth="1"/>
    <col min="13055" max="13055" width="13.5703125" style="6" customWidth="1"/>
    <col min="13056" max="13056" width="15.140625" style="6" customWidth="1"/>
    <col min="13057" max="13057" width="12.85546875" style="6" customWidth="1"/>
    <col min="13058" max="13058" width="12.28515625" style="6" customWidth="1"/>
    <col min="13059" max="13059" width="12.42578125" style="6" customWidth="1"/>
    <col min="13060" max="13060" width="11.7109375" style="6" customWidth="1"/>
    <col min="13061" max="13063" width="14.5703125" style="6" customWidth="1"/>
    <col min="13064" max="13064" width="13.42578125" style="6" customWidth="1"/>
    <col min="13065" max="13309" width="9.140625" style="6"/>
    <col min="13310" max="13310" width="18.28515625" style="6" customWidth="1"/>
    <col min="13311" max="13311" width="13.5703125" style="6" customWidth="1"/>
    <col min="13312" max="13312" width="15.140625" style="6" customWidth="1"/>
    <col min="13313" max="13313" width="12.85546875" style="6" customWidth="1"/>
    <col min="13314" max="13314" width="12.28515625" style="6" customWidth="1"/>
    <col min="13315" max="13315" width="12.42578125" style="6" customWidth="1"/>
    <col min="13316" max="13316" width="11.7109375" style="6" customWidth="1"/>
    <col min="13317" max="13319" width="14.5703125" style="6" customWidth="1"/>
    <col min="13320" max="13320" width="13.42578125" style="6" customWidth="1"/>
    <col min="13321" max="13565" width="9.140625" style="6"/>
    <col min="13566" max="13566" width="18.28515625" style="6" customWidth="1"/>
    <col min="13567" max="13567" width="13.5703125" style="6" customWidth="1"/>
    <col min="13568" max="13568" width="15.140625" style="6" customWidth="1"/>
    <col min="13569" max="13569" width="12.85546875" style="6" customWidth="1"/>
    <col min="13570" max="13570" width="12.28515625" style="6" customWidth="1"/>
    <col min="13571" max="13571" width="12.42578125" style="6" customWidth="1"/>
    <col min="13572" max="13572" width="11.7109375" style="6" customWidth="1"/>
    <col min="13573" max="13575" width="14.5703125" style="6" customWidth="1"/>
    <col min="13576" max="13576" width="13.42578125" style="6" customWidth="1"/>
    <col min="13577" max="13821" width="9.140625" style="6"/>
    <col min="13822" max="13822" width="18.28515625" style="6" customWidth="1"/>
    <col min="13823" max="13823" width="13.5703125" style="6" customWidth="1"/>
    <col min="13824" max="13824" width="15.140625" style="6" customWidth="1"/>
    <col min="13825" max="13825" width="12.85546875" style="6" customWidth="1"/>
    <col min="13826" max="13826" width="12.28515625" style="6" customWidth="1"/>
    <col min="13827" max="13827" width="12.42578125" style="6" customWidth="1"/>
    <col min="13828" max="13828" width="11.7109375" style="6" customWidth="1"/>
    <col min="13829" max="13831" width="14.5703125" style="6" customWidth="1"/>
    <col min="13832" max="13832" width="13.42578125" style="6" customWidth="1"/>
    <col min="13833" max="14077" width="9.140625" style="6"/>
    <col min="14078" max="14078" width="18.28515625" style="6" customWidth="1"/>
    <col min="14079" max="14079" width="13.5703125" style="6" customWidth="1"/>
    <col min="14080" max="14080" width="15.140625" style="6" customWidth="1"/>
    <col min="14081" max="14081" width="12.85546875" style="6" customWidth="1"/>
    <col min="14082" max="14082" width="12.28515625" style="6" customWidth="1"/>
    <col min="14083" max="14083" width="12.42578125" style="6" customWidth="1"/>
    <col min="14084" max="14084" width="11.7109375" style="6" customWidth="1"/>
    <col min="14085" max="14087" width="14.5703125" style="6" customWidth="1"/>
    <col min="14088" max="14088" width="13.42578125" style="6" customWidth="1"/>
    <col min="14089" max="14333" width="9.140625" style="6"/>
    <col min="14334" max="14334" width="18.28515625" style="6" customWidth="1"/>
    <col min="14335" max="14335" width="13.5703125" style="6" customWidth="1"/>
    <col min="14336" max="14336" width="15.140625" style="6" customWidth="1"/>
    <col min="14337" max="14337" width="12.85546875" style="6" customWidth="1"/>
    <col min="14338" max="14338" width="12.28515625" style="6" customWidth="1"/>
    <col min="14339" max="14339" width="12.42578125" style="6" customWidth="1"/>
    <col min="14340" max="14340" width="11.7109375" style="6" customWidth="1"/>
    <col min="14341" max="14343" width="14.5703125" style="6" customWidth="1"/>
    <col min="14344" max="14344" width="13.42578125" style="6" customWidth="1"/>
    <col min="14345" max="14589" width="9.140625" style="6"/>
    <col min="14590" max="14590" width="18.28515625" style="6" customWidth="1"/>
    <col min="14591" max="14591" width="13.5703125" style="6" customWidth="1"/>
    <col min="14592" max="14592" width="15.140625" style="6" customWidth="1"/>
    <col min="14593" max="14593" width="12.85546875" style="6" customWidth="1"/>
    <col min="14594" max="14594" width="12.28515625" style="6" customWidth="1"/>
    <col min="14595" max="14595" width="12.42578125" style="6" customWidth="1"/>
    <col min="14596" max="14596" width="11.7109375" style="6" customWidth="1"/>
    <col min="14597" max="14599" width="14.5703125" style="6" customWidth="1"/>
    <col min="14600" max="14600" width="13.42578125" style="6" customWidth="1"/>
    <col min="14601" max="14845" width="9.140625" style="6"/>
    <col min="14846" max="14846" width="18.28515625" style="6" customWidth="1"/>
    <col min="14847" max="14847" width="13.5703125" style="6" customWidth="1"/>
    <col min="14848" max="14848" width="15.140625" style="6" customWidth="1"/>
    <col min="14849" max="14849" width="12.85546875" style="6" customWidth="1"/>
    <col min="14850" max="14850" width="12.28515625" style="6" customWidth="1"/>
    <col min="14851" max="14851" width="12.42578125" style="6" customWidth="1"/>
    <col min="14852" max="14852" width="11.7109375" style="6" customWidth="1"/>
    <col min="14853" max="14855" width="14.5703125" style="6" customWidth="1"/>
    <col min="14856" max="14856" width="13.42578125" style="6" customWidth="1"/>
    <col min="14857" max="15101" width="9.140625" style="6"/>
    <col min="15102" max="15102" width="18.28515625" style="6" customWidth="1"/>
    <col min="15103" max="15103" width="13.5703125" style="6" customWidth="1"/>
    <col min="15104" max="15104" width="15.140625" style="6" customWidth="1"/>
    <col min="15105" max="15105" width="12.85546875" style="6" customWidth="1"/>
    <col min="15106" max="15106" width="12.28515625" style="6" customWidth="1"/>
    <col min="15107" max="15107" width="12.42578125" style="6" customWidth="1"/>
    <col min="15108" max="15108" width="11.7109375" style="6" customWidth="1"/>
    <col min="15109" max="15111" width="14.5703125" style="6" customWidth="1"/>
    <col min="15112" max="15112" width="13.42578125" style="6" customWidth="1"/>
    <col min="15113" max="15357" width="9.140625" style="6"/>
    <col min="15358" max="15358" width="18.28515625" style="6" customWidth="1"/>
    <col min="15359" max="15359" width="13.5703125" style="6" customWidth="1"/>
    <col min="15360" max="15360" width="15.140625" style="6" customWidth="1"/>
    <col min="15361" max="15361" width="12.85546875" style="6" customWidth="1"/>
    <col min="15362" max="15362" width="12.28515625" style="6" customWidth="1"/>
    <col min="15363" max="15363" width="12.42578125" style="6" customWidth="1"/>
    <col min="15364" max="15364" width="11.7109375" style="6" customWidth="1"/>
    <col min="15365" max="15367" width="14.5703125" style="6" customWidth="1"/>
    <col min="15368" max="15368" width="13.42578125" style="6" customWidth="1"/>
    <col min="15369" max="15613" width="9.140625" style="6"/>
    <col min="15614" max="15614" width="18.28515625" style="6" customWidth="1"/>
    <col min="15615" max="15615" width="13.5703125" style="6" customWidth="1"/>
    <col min="15616" max="15616" width="15.140625" style="6" customWidth="1"/>
    <col min="15617" max="15617" width="12.85546875" style="6" customWidth="1"/>
    <col min="15618" max="15618" width="12.28515625" style="6" customWidth="1"/>
    <col min="15619" max="15619" width="12.42578125" style="6" customWidth="1"/>
    <col min="15620" max="15620" width="11.7109375" style="6" customWidth="1"/>
    <col min="15621" max="15623" width="14.5703125" style="6" customWidth="1"/>
    <col min="15624" max="15624" width="13.42578125" style="6" customWidth="1"/>
    <col min="15625" max="15869" width="9.140625" style="6"/>
    <col min="15870" max="15870" width="18.28515625" style="6" customWidth="1"/>
    <col min="15871" max="15871" width="13.5703125" style="6" customWidth="1"/>
    <col min="15872" max="15872" width="15.140625" style="6" customWidth="1"/>
    <col min="15873" max="15873" width="12.85546875" style="6" customWidth="1"/>
    <col min="15874" max="15874" width="12.28515625" style="6" customWidth="1"/>
    <col min="15875" max="15875" width="12.42578125" style="6" customWidth="1"/>
    <col min="15876" max="15876" width="11.7109375" style="6" customWidth="1"/>
    <col min="15877" max="15879" width="14.5703125" style="6" customWidth="1"/>
    <col min="15880" max="15880" width="13.42578125" style="6" customWidth="1"/>
    <col min="15881" max="16125" width="9.140625" style="6"/>
    <col min="16126" max="16126" width="18.28515625" style="6" customWidth="1"/>
    <col min="16127" max="16127" width="13.5703125" style="6" customWidth="1"/>
    <col min="16128" max="16128" width="15.140625" style="6" customWidth="1"/>
    <col min="16129" max="16129" width="12.85546875" style="6" customWidth="1"/>
    <col min="16130" max="16130" width="12.28515625" style="6" customWidth="1"/>
    <col min="16131" max="16131" width="12.42578125" style="6" customWidth="1"/>
    <col min="16132" max="16132" width="11.7109375" style="6" customWidth="1"/>
    <col min="16133" max="16135" width="14.5703125" style="6" customWidth="1"/>
    <col min="16136" max="16136" width="13.42578125" style="6" customWidth="1"/>
    <col min="16137" max="16384" width="9.140625" style="6"/>
  </cols>
  <sheetData>
    <row r="1" spans="1:11" ht="15.75">
      <c r="A1" s="208" t="str">
        <f xml:space="preserve"> "Psychological Therapies Waiting Times - Number of patients seen during the month by Health Board, "&amp;TEXT(A24,"mmm yyyy")&amp;" - "&amp;TEXT(A10,"mmm yyyy")</f>
        <v>Psychological Therapies Waiting Times - Number of patients seen during the month by Health Board, May 2020 - Jan 1900</v>
      </c>
      <c r="B1" s="209"/>
      <c r="C1" s="209"/>
      <c r="D1" s="209"/>
    </row>
    <row r="2" spans="1:11">
      <c r="A2" s="209"/>
      <c r="B2" s="209"/>
      <c r="C2" s="209"/>
      <c r="D2" s="209"/>
    </row>
    <row r="3" spans="1:11">
      <c r="A3" s="456" t="s">
        <v>454</v>
      </c>
      <c r="B3" s="457"/>
      <c r="C3" s="457"/>
      <c r="D3" s="457"/>
      <c r="E3" s="65"/>
      <c r="F3" s="65"/>
      <c r="G3" s="65"/>
      <c r="H3" s="65"/>
      <c r="I3" s="65"/>
      <c r="J3" s="65"/>
      <c r="K3" s="48"/>
    </row>
    <row r="4" spans="1:11">
      <c r="A4" s="66" t="str">
        <f>"Number of patients seen during the month by Health Board, "&amp;TEXT(A25,"mmm yyyy")&amp;" - "&amp;TEXT(A11,"mmm yyyy")</f>
        <v>Number of patients seen during the month by Health Board, Apr 2020 - Jun 2021</v>
      </c>
      <c r="B4" s="65"/>
      <c r="C4" s="65"/>
      <c r="D4" s="65"/>
      <c r="E4" s="65"/>
      <c r="F4" s="65"/>
      <c r="G4" s="65"/>
      <c r="H4" s="65"/>
      <c r="I4" s="65"/>
      <c r="J4" s="65"/>
      <c r="K4" s="48"/>
    </row>
    <row r="5" spans="1:11">
      <c r="A5" s="199" t="s">
        <v>453</v>
      </c>
      <c r="B5" s="65"/>
      <c r="C5" s="65"/>
      <c r="D5" s="65"/>
      <c r="E5" s="65"/>
      <c r="F5" s="65"/>
      <c r="G5" s="65"/>
      <c r="H5" s="65"/>
      <c r="I5" s="65"/>
      <c r="J5" s="65"/>
      <c r="K5" s="48"/>
    </row>
    <row r="6" spans="1:11" ht="15.75" thickBot="1">
      <c r="A6" s="458"/>
      <c r="B6" s="458"/>
      <c r="C6" s="458"/>
      <c r="D6" s="458"/>
      <c r="E6" s="67"/>
      <c r="F6" s="67"/>
      <c r="G6" s="67"/>
      <c r="H6" s="67"/>
      <c r="I6" s="67"/>
      <c r="J6" s="67"/>
      <c r="K6" s="67"/>
    </row>
    <row r="7" spans="1:11" ht="15.75" thickBot="1">
      <c r="A7" s="6" t="s">
        <v>180</v>
      </c>
      <c r="B7" s="9"/>
      <c r="C7" s="471" t="str">
        <f>'3a'!C7:D7</f>
        <v>Scotland</v>
      </c>
      <c r="D7" s="472"/>
      <c r="E7" s="67"/>
      <c r="F7" s="124"/>
      <c r="G7" s="67"/>
      <c r="H7" s="67"/>
      <c r="I7" s="67"/>
      <c r="J7" s="67"/>
      <c r="K7" s="67"/>
    </row>
    <row r="8" spans="1:11">
      <c r="B8" s="33" t="s">
        <v>183</v>
      </c>
      <c r="C8" s="9"/>
      <c r="D8" s="9"/>
      <c r="E8" s="34"/>
      <c r="F8" s="92" t="s">
        <v>172</v>
      </c>
      <c r="G8" s="68" t="s">
        <v>30</v>
      </c>
      <c r="H8" s="34"/>
      <c r="I8" s="34"/>
      <c r="J8" s="34"/>
      <c r="K8" s="28"/>
    </row>
    <row r="9" spans="1:11" ht="21.75" customHeight="1">
      <c r="A9" s="442" t="s">
        <v>31</v>
      </c>
      <c r="B9" s="444" t="s">
        <v>329</v>
      </c>
      <c r="C9" s="445" t="s">
        <v>32</v>
      </c>
      <c r="D9" s="446" t="s">
        <v>330</v>
      </c>
      <c r="E9" s="446"/>
      <c r="F9" s="446"/>
      <c r="G9" s="446"/>
      <c r="H9" s="449" t="s">
        <v>187</v>
      </c>
      <c r="I9" s="446"/>
      <c r="J9" s="446"/>
      <c r="K9" s="446"/>
    </row>
    <row r="10" spans="1:11" ht="16.5" customHeight="1">
      <c r="A10" s="442"/>
      <c r="B10" s="444"/>
      <c r="C10" s="445"/>
      <c r="D10" s="151" t="s">
        <v>34</v>
      </c>
      <c r="E10" s="163" t="s">
        <v>188</v>
      </c>
      <c r="F10" s="151" t="s">
        <v>317</v>
      </c>
      <c r="G10" s="151" t="s">
        <v>331</v>
      </c>
      <c r="H10" s="164" t="s">
        <v>34</v>
      </c>
      <c r="I10" s="151" t="s">
        <v>188</v>
      </c>
      <c r="J10" s="151" t="s">
        <v>317</v>
      </c>
      <c r="K10" s="151" t="s">
        <v>331</v>
      </c>
    </row>
    <row r="11" spans="1:11">
      <c r="A11" s="160">
        <f>REPORT_raw_dataseen!R1</f>
        <v>44348</v>
      </c>
      <c r="B11" s="155" t="str">
        <f>IF(VLOOKUP($C$7,'Type of adjust'!$A$1:$P$17,MATCH($A11,'Type of adjust'!$A$1:$P$1,1),FALSE)="", "..", VLOOKUP($C$7,'Type of adjust'!$A$1:$P$17,MATCH($A11,'Type of adjust'!$A$1:$P$1,1),FALSE))</f>
        <v>..</v>
      </c>
      <c r="C11" s="11">
        <f>IF(VLOOKUP($C$7&amp;"Adjusted seen over_65"&amp;$C$9,REPORT_raw_dataseen!$A$1:$R$817,MATCH($A11,REPORT_raw_dataseen!$D$1:$R$1,1)+3, FALSE)=0,"-", IF(VLOOKUP($C$7&amp;"Adjusted seen over_65"&amp;$C$9,REPORT_raw_dataseen!$A$1:$R$817,MATCH($A11,REPORT_raw_dataseen!$D$1:$R$1,1)+3, FALSE)&lt;-1,"*",VLOOKUP($C$7&amp;"Adjusted seen over_65"&amp;$C$9,REPORT_raw_dataseen!$A$1:$R$817,MATCH($A11,REPORT_raw_dataseen!$D$1:$R$1,1)+3, FALSE)))</f>
        <v>461</v>
      </c>
      <c r="D11" s="11">
        <f>IF(C11="*","*",IF(VLOOKUP($C$7&amp;"Adjusted seen over_65"&amp;$D$10,REPORT_raw_dataseen!$A$1:$R$817,MATCH($A11,REPORT_raw_dataseen!$D$1:$R$1,1)+3,FALSE)=0,"-",VLOOKUP($C$7&amp;"Adjusted seen over_65"&amp;$D$10,REPORT_raw_dataseen!$A$1:$R$817,MATCH($A11,REPORT_raw_dataseen!$D$1:$R$1,1)+3,FALSE)))</f>
        <v>392</v>
      </c>
      <c r="E11" s="11">
        <f>IF(C11="*","*",IF(VLOOKUP($C$7&amp;"Adjusted seen over_65"&amp;$E$10,REPORT_raw_dataseen!$A$1:$R$817,MATCH($A11,REPORT_raw_dataseen!$D$1:$R$1,1)+3, FALSE)=0,"-",VLOOKUP($C$7&amp;"Adjusted seen over_65"&amp;$E$10,REPORT_raw_dataseen!$A$1:$R$817,MATCH($A11,REPORT_raw_dataseen!$D$1:$R$1,1)+3, FALSE)))</f>
        <v>40</v>
      </c>
      <c r="F11" s="11">
        <f>IF(C11="*","*",IF(VLOOKUP($C$7&amp;"Adjusted seen over_65"&amp;$F$8,REPORT_raw_dataseen!$A$1:$R$817,MATCH($A11,REPORT_raw_dataseen!$D$1:$R$1,1)+3, FALSE)=0,"-",VLOOKUP($C$7&amp;"Adjusted seen over_65"&amp;$F$8,REPORT_raw_dataseen!$A$1:$R$817,MATCH($A11,REPORT_raw_dataseen!$D$1:$R$1,1)+3, FALSE)))</f>
        <v>14</v>
      </c>
      <c r="G11" s="11">
        <f>IF(C11="*","*",IF(VLOOKUP($C$7&amp;"Adjusted seen over_65"&amp;$G$8,REPORT_raw_dataseen!$A$1:$R$817,MATCH($A11,REPORT_raw_dataseen!$D$1:$R$1,1)+3, FALSE)=0,"-",VLOOKUP($C$7&amp;"Adjusted seen over_65"&amp;$G$8,REPORT_raw_dataseen!$A$1:$R$817,MATCH($A11,REPORT_raw_dataseen!$D$1:$R$1,1)+3, FALSE)))</f>
        <v>15</v>
      </c>
      <c r="H11" s="156">
        <f>IF(D11="-","-",IF(D11="..","..",IF(D11=0,"-",IF((D11/$C11%)=0,"-",ROUND(D11/$C11%,2)))))</f>
        <v>85.03</v>
      </c>
      <c r="I11" s="156">
        <f t="shared" ref="I11:K19" si="0">IF(E11="-","-",IF(E11="..","..",IF(E11=0,"-",IF((E11/$C11%)=0,"-",ROUND(E11/$C11%,2)))))</f>
        <v>8.68</v>
      </c>
      <c r="J11" s="156">
        <f t="shared" si="0"/>
        <v>3.04</v>
      </c>
      <c r="K11" s="156">
        <f t="shared" si="0"/>
        <v>3.25</v>
      </c>
    </row>
    <row r="12" spans="1:11">
      <c r="A12" s="160">
        <f>DATE(YEAR(A11),MONTH(A11)-1,DAY(A11))</f>
        <v>44317</v>
      </c>
      <c r="B12" s="155" t="str">
        <f>IF(VLOOKUP($C$7,'Type of adjust'!$A$1:$P$17,MATCH($A12,'Type of adjust'!$A$1:$P$1,1),FALSE)="", "..", VLOOKUP($C$7,'Type of adjust'!$A$1:$P$17,MATCH($A12,'Type of adjust'!$A$1:$P$1,1),FALSE))</f>
        <v>..</v>
      </c>
      <c r="C12" s="11">
        <f>IF(VLOOKUP($C$7&amp;"Adjusted seen over_65"&amp;$C$9,REPORT_raw_dataseen!$A$1:$R$817,MATCH($A12,REPORT_raw_dataseen!$D$1:$R$1,1)+3, FALSE)=0,"-", IF(VLOOKUP($C$7&amp;"Adjusted seen over_65"&amp;$C$9,REPORT_raw_dataseen!$A$1:$R$817,MATCH($A12,REPORT_raw_dataseen!$D$1:$R$1,1)+3, FALSE)&lt;-1,"*",VLOOKUP($C$7&amp;"Adjusted seen over_65"&amp;$C$9,REPORT_raw_dataseen!$A$1:$R$817,MATCH($A12,REPORT_raw_dataseen!$D$1:$R$1,1)+3, FALSE)))</f>
        <v>389</v>
      </c>
      <c r="D12" s="11">
        <f>IF(C12="*","*",IF(VLOOKUP($C$7&amp;"Adjusted seen over_65"&amp;$D$10,REPORT_raw_dataseen!$A$1:$R$817,MATCH($A12,REPORT_raw_dataseen!$D$1:$R$1,1)+3,FALSE)=0,"-",VLOOKUP($C$7&amp;"Adjusted seen over_65"&amp;$D$10,REPORT_raw_dataseen!$A$1:$R$817,MATCH($A12,REPORT_raw_dataseen!$D$1:$R$1,1)+3,FALSE)))</f>
        <v>342</v>
      </c>
      <c r="E12" s="11">
        <f>IF(C12="*","*",IF(VLOOKUP($C$7&amp;"Adjusted seen over_65"&amp;$E$10,REPORT_raw_dataseen!$A$1:$R$817,MATCH($A12,REPORT_raw_dataseen!$D$1:$R$1,1)+3, FALSE)=0,"-",VLOOKUP($C$7&amp;"Adjusted seen over_65"&amp;$E$10,REPORT_raw_dataseen!$A$1:$R$817,MATCH($A12,REPORT_raw_dataseen!$D$1:$R$1,1)+3, FALSE)))</f>
        <v>35</v>
      </c>
      <c r="F12" s="11">
        <f>IF(C12="*","*",IF(VLOOKUP($C$7&amp;"Adjusted seen over_65"&amp;$F$8,REPORT_raw_dataseen!$A$1:$R$817,MATCH($A12,REPORT_raw_dataseen!$D$1:$R$1,1)+3, FALSE)=0,"-",VLOOKUP($C$7&amp;"Adjusted seen over_65"&amp;$F$8,REPORT_raw_dataseen!$A$1:$R$817,MATCH($A12,REPORT_raw_dataseen!$D$1:$R$1,1)+3, FALSE)))</f>
        <v>4</v>
      </c>
      <c r="G12" s="11">
        <f>IF(C12="*","*",IF(VLOOKUP($C$7&amp;"Adjusted seen over_65"&amp;$G$8,REPORT_raw_dataseen!$A$1:$R$817,MATCH($A12,REPORT_raw_dataseen!$D$1:$R$1,1)+3, FALSE)=0,"-",VLOOKUP($C$7&amp;"Adjusted seen over_65"&amp;$G$8,REPORT_raw_dataseen!$A$1:$R$817,MATCH($A12,REPORT_raw_dataseen!$D$1:$R$1,1)+3, FALSE)))</f>
        <v>8</v>
      </c>
      <c r="H12" s="156">
        <f>IF(D12="-","-",IF(D12="..","..",IF(D12=0,"-",IF((D12/$C12%)=0,"-",ROUND(D12/$C12%,2)))))</f>
        <v>87.92</v>
      </c>
      <c r="I12" s="156">
        <f t="shared" si="0"/>
        <v>9</v>
      </c>
      <c r="J12" s="156">
        <f t="shared" si="0"/>
        <v>1.03</v>
      </c>
      <c r="K12" s="156">
        <f t="shared" si="0"/>
        <v>2.06</v>
      </c>
    </row>
    <row r="13" spans="1:11">
      <c r="A13" s="160">
        <f>DATE(YEAR(A12),MONTH(A12)-1,DAY(A12))</f>
        <v>44287</v>
      </c>
      <c r="B13" s="155" t="str">
        <f>IF(VLOOKUP($C$7,'Type of adjust'!$A$1:$P$17,MATCH($A13,'Type of adjust'!$A$1:$P$1,1),FALSE)="", "..", VLOOKUP($C$7,'Type of adjust'!$A$1:$P$17,MATCH($A13,'Type of adjust'!$A$1:$P$1,1),FALSE))</f>
        <v>..</v>
      </c>
      <c r="C13" s="11">
        <f>IF(VLOOKUP($C$7&amp;"Adjusted seen over_65"&amp;$C$9,REPORT_raw_dataseen!$A$1:$R$817,MATCH($A13,REPORT_raw_dataseen!$D$1:$R$1,1)+3, FALSE)=0,"-", IF(VLOOKUP($C$7&amp;"Adjusted seen over_65"&amp;$C$9,REPORT_raw_dataseen!$A$1:$R$817,MATCH($A13,REPORT_raw_dataseen!$D$1:$R$1,1)+3, FALSE)&lt;-1,"*",VLOOKUP($C$7&amp;"Adjusted seen over_65"&amp;$C$9,REPORT_raw_dataseen!$A$1:$R$817,MATCH($A13,REPORT_raw_dataseen!$D$1:$R$1,1)+3, FALSE)))</f>
        <v>326</v>
      </c>
      <c r="D13" s="11">
        <f>IF(C13="*","*",IF(VLOOKUP($C$7&amp;"Adjusted seen over_65"&amp;$D$10,REPORT_raw_dataseen!$A$1:$R$817,MATCH($A13,REPORT_raw_dataseen!$D$1:$R$1,1)+3,FALSE)=0,"-",VLOOKUP($C$7&amp;"Adjusted seen over_65"&amp;$D$10,REPORT_raw_dataseen!$A$1:$R$817,MATCH($A13,REPORT_raw_dataseen!$D$1:$R$1,1)+3,FALSE)))</f>
        <v>281</v>
      </c>
      <c r="E13" s="11">
        <f>IF(C13="*","*",IF(VLOOKUP($C$7&amp;"Adjusted seen over_65"&amp;$E$10,REPORT_raw_dataseen!$A$1:$R$817,MATCH($A13,REPORT_raw_dataseen!$D$1:$R$1,1)+3, FALSE)=0,"-",VLOOKUP($C$7&amp;"Adjusted seen over_65"&amp;$E$10,REPORT_raw_dataseen!$A$1:$R$817,MATCH($A13,REPORT_raw_dataseen!$D$1:$R$1,1)+3, FALSE)))</f>
        <v>29</v>
      </c>
      <c r="F13" s="11">
        <f>IF(C13="*","*",IF(VLOOKUP($C$7&amp;"Adjusted seen over_65"&amp;$F$8,REPORT_raw_dataseen!$A$1:$R$817,MATCH($A13,REPORT_raw_dataseen!$D$1:$R$1,1)+3, FALSE)=0,"-",VLOOKUP($C$7&amp;"Adjusted seen over_65"&amp;$F$8,REPORT_raw_dataseen!$A$1:$R$817,MATCH($A13,REPORT_raw_dataseen!$D$1:$R$1,1)+3, FALSE)))</f>
        <v>8</v>
      </c>
      <c r="G13" s="11">
        <f>IF(C13="*","*",IF(VLOOKUP($C$7&amp;"Adjusted seen over_65"&amp;$G$8,REPORT_raw_dataseen!$A$1:$R$817,MATCH($A13,REPORT_raw_dataseen!$D$1:$R$1,1)+3, FALSE)=0,"-",VLOOKUP($C$7&amp;"Adjusted seen over_65"&amp;$G$8,REPORT_raw_dataseen!$A$1:$R$817,MATCH($A13,REPORT_raw_dataseen!$D$1:$R$1,1)+3, FALSE)))</f>
        <v>8</v>
      </c>
      <c r="H13" s="156">
        <f t="shared" ref="H13:K25" si="1">IF(D13="-","-",IF(D13="..","..",IF(D13=0,"-",IF((D13/$C13%)=0,"-",ROUND(D13/$C13%,2)))))</f>
        <v>86.2</v>
      </c>
      <c r="I13" s="156">
        <f t="shared" si="0"/>
        <v>8.9</v>
      </c>
      <c r="J13" s="156">
        <f t="shared" si="0"/>
        <v>2.4500000000000002</v>
      </c>
      <c r="K13" s="156">
        <f t="shared" si="0"/>
        <v>2.4500000000000002</v>
      </c>
    </row>
    <row r="14" spans="1:11">
      <c r="A14" s="160">
        <f>DATE(YEAR(A13),MONTH(A13)-1,DAY(A13))</f>
        <v>44256</v>
      </c>
      <c r="B14" s="155" t="str">
        <f>IF(VLOOKUP($C$7,'Type of adjust'!$A$1:$P$17,MATCH($A14,'Type of adjust'!$A$1:$P$1,1),FALSE)="", "..", VLOOKUP($C$7,'Type of adjust'!$A$1:$P$17,MATCH($A14,'Type of adjust'!$A$1:$P$1,1),FALSE))</f>
        <v>..</v>
      </c>
      <c r="C14" s="11">
        <f>IF(VLOOKUP($C$7&amp;"Adjusted seen over_65"&amp;$C$9,REPORT_raw_dataseen!$A$1:$R$817,MATCH($A14,REPORT_raw_dataseen!$D$1:$R$1,1)+3, FALSE)=0,"-", IF(VLOOKUP($C$7&amp;"Adjusted seen over_65"&amp;$C$9,REPORT_raw_dataseen!$A$1:$R$817,MATCH($A14,REPORT_raw_dataseen!$D$1:$R$1,1)+3, FALSE)&lt;-1,"*",VLOOKUP($C$7&amp;"Adjusted seen over_65"&amp;$C$9,REPORT_raw_dataseen!$A$1:$R$817,MATCH($A14,REPORT_raw_dataseen!$D$1:$R$1,1)+3, FALSE)))</f>
        <v>323</v>
      </c>
      <c r="D14" s="11">
        <f>IF(C14="*","*",IF(VLOOKUP($C$7&amp;"Adjusted seen over_65"&amp;$D$10,REPORT_raw_dataseen!$A$1:$R$817,MATCH($A14,REPORT_raw_dataseen!$D$1:$R$1,1)+3,FALSE)=0,"-",VLOOKUP($C$7&amp;"Adjusted seen over_65"&amp;$D$10,REPORT_raw_dataseen!$A$1:$R$817,MATCH($A14,REPORT_raw_dataseen!$D$1:$R$1,1)+3,FALSE)))</f>
        <v>282</v>
      </c>
      <c r="E14" s="11">
        <f>IF(C14="*","*",IF(VLOOKUP($C$7&amp;"Adjusted seen over_65"&amp;$E$10,REPORT_raw_dataseen!$A$1:$R$817,MATCH($A14,REPORT_raw_dataseen!$D$1:$R$1,1)+3, FALSE)=0,"-",VLOOKUP($C$7&amp;"Adjusted seen over_65"&amp;$E$10,REPORT_raw_dataseen!$A$1:$R$817,MATCH($A14,REPORT_raw_dataseen!$D$1:$R$1,1)+3, FALSE)))</f>
        <v>31</v>
      </c>
      <c r="F14" s="11">
        <f>IF(C14="*","*",IF(VLOOKUP($C$7&amp;"Adjusted seen over_65"&amp;$F$8,REPORT_raw_dataseen!$A$1:$R$817,MATCH($A14,REPORT_raw_dataseen!$D$1:$R$1,1)+3, FALSE)=0,"-",VLOOKUP($C$7&amp;"Adjusted seen over_65"&amp;$F$8,REPORT_raw_dataseen!$A$1:$R$817,MATCH($A14,REPORT_raw_dataseen!$D$1:$R$1,1)+3, FALSE)))</f>
        <v>2</v>
      </c>
      <c r="G14" s="11">
        <f>IF(C14="*","*",IF(VLOOKUP($C$7&amp;"Adjusted seen over_65"&amp;$G$8,REPORT_raw_dataseen!$A$1:$R$817,MATCH($A14,REPORT_raw_dataseen!$D$1:$R$1,1)+3, FALSE)=0,"-",VLOOKUP($C$7&amp;"Adjusted seen over_65"&amp;$G$8,REPORT_raw_dataseen!$A$1:$R$817,MATCH($A14,REPORT_raw_dataseen!$D$1:$R$1,1)+3, FALSE)))</f>
        <v>8</v>
      </c>
      <c r="H14" s="156">
        <f t="shared" si="1"/>
        <v>87.31</v>
      </c>
      <c r="I14" s="156">
        <f t="shared" si="0"/>
        <v>9.6</v>
      </c>
      <c r="J14" s="156">
        <f t="shared" si="0"/>
        <v>0.62</v>
      </c>
      <c r="K14" s="156">
        <f t="shared" si="0"/>
        <v>2.48</v>
      </c>
    </row>
    <row r="15" spans="1:11">
      <c r="A15" s="160">
        <f>DATE(YEAR(A14),MONTH(A14)-1,DAY(A14))</f>
        <v>44228</v>
      </c>
      <c r="B15" s="155" t="str">
        <f>IF(VLOOKUP($C$7,'Type of adjust'!$A$1:$P$17,MATCH($A15,'Type of adjust'!$A$1:$P$1,1),FALSE)="", "..", VLOOKUP($C$7,'Type of adjust'!$A$1:$P$17,MATCH($A15,'Type of adjust'!$A$1:$P$1,1),FALSE))</f>
        <v>..</v>
      </c>
      <c r="C15" s="11">
        <f>IF(VLOOKUP($C$7&amp;"Adjusted seen over_65"&amp;$C$9,REPORT_raw_dataseen!$A$1:$R$817,MATCH($A15,REPORT_raw_dataseen!$D$1:$R$1,1)+3, FALSE)=0,"-", IF(VLOOKUP($C$7&amp;"Adjusted seen over_65"&amp;$C$9,REPORT_raw_dataseen!$A$1:$R$817,MATCH($A15,REPORT_raw_dataseen!$D$1:$R$1,1)+3, FALSE)&lt;-1,"*",VLOOKUP($C$7&amp;"Adjusted seen over_65"&amp;$C$9,REPORT_raw_dataseen!$A$1:$R$817,MATCH($A15,REPORT_raw_dataseen!$D$1:$R$1,1)+3, FALSE)))</f>
        <v>274</v>
      </c>
      <c r="D15" s="11">
        <f>IF(C15="*","*",IF(VLOOKUP($C$7&amp;"Adjusted seen over_65"&amp;$D$10,REPORT_raw_dataseen!$A$1:$R$817,MATCH($A15,REPORT_raw_dataseen!$D$1:$R$1,1)+3,FALSE)=0,"-",VLOOKUP($C$7&amp;"Adjusted seen over_65"&amp;$D$10,REPORT_raw_dataseen!$A$1:$R$817,MATCH($A15,REPORT_raw_dataseen!$D$1:$R$1,1)+3,FALSE)))</f>
        <v>234</v>
      </c>
      <c r="E15" s="11">
        <f>IF(C15="*","*",IF(VLOOKUP($C$7&amp;"Adjusted seen over_65"&amp;$E$10,REPORT_raw_dataseen!$A$1:$R$817,MATCH($A15,REPORT_raw_dataseen!$D$1:$R$1,1)+3, FALSE)=0,"-",VLOOKUP($C$7&amp;"Adjusted seen over_65"&amp;$E$10,REPORT_raw_dataseen!$A$1:$R$817,MATCH($A15,REPORT_raw_dataseen!$D$1:$R$1,1)+3, FALSE)))</f>
        <v>19</v>
      </c>
      <c r="F15" s="11">
        <f>IF(C15="*","*",IF(VLOOKUP($C$7&amp;"Adjusted seen over_65"&amp;$F$8,REPORT_raw_dataseen!$A$1:$R$817,MATCH($A15,REPORT_raw_dataseen!$D$1:$R$1,1)+3, FALSE)=0,"-",VLOOKUP($C$7&amp;"Adjusted seen over_65"&amp;$F$8,REPORT_raw_dataseen!$A$1:$R$817,MATCH($A15,REPORT_raw_dataseen!$D$1:$R$1,1)+3, FALSE)))</f>
        <v>11</v>
      </c>
      <c r="G15" s="11">
        <f>IF(C15="*","*",IF(VLOOKUP($C$7&amp;"Adjusted seen over_65"&amp;$G$8,REPORT_raw_dataseen!$A$1:$R$817,MATCH($A15,REPORT_raw_dataseen!$D$1:$R$1,1)+3, FALSE)=0,"-",VLOOKUP($C$7&amp;"Adjusted seen over_65"&amp;$G$8,REPORT_raw_dataseen!$A$1:$R$817,MATCH($A15,REPORT_raw_dataseen!$D$1:$R$1,1)+3, FALSE)))</f>
        <v>10</v>
      </c>
      <c r="H15" s="156">
        <f t="shared" si="1"/>
        <v>85.4</v>
      </c>
      <c r="I15" s="156">
        <f t="shared" si="0"/>
        <v>6.93</v>
      </c>
      <c r="J15" s="156">
        <f t="shared" si="0"/>
        <v>4.01</v>
      </c>
      <c r="K15" s="156">
        <f t="shared" si="0"/>
        <v>3.65</v>
      </c>
    </row>
    <row r="16" spans="1:11">
      <c r="A16" s="160">
        <f>DATE(YEAR(A15),MONTH(A15)-1,DAY(A15))</f>
        <v>44197</v>
      </c>
      <c r="B16" s="155" t="str">
        <f>IF(VLOOKUP($C$7,'Type of adjust'!$A$1:$P$17,MATCH($A16,'Type of adjust'!$A$1:$P$1,1),FALSE)="", "..", VLOOKUP($C$7,'Type of adjust'!$A$1:$P$17,MATCH($A16,'Type of adjust'!$A$1:$P$1,1),FALSE))</f>
        <v>..</v>
      </c>
      <c r="C16" s="11">
        <f>IF(VLOOKUP($C$7&amp;"Adjusted seen over_65"&amp;$C$9,REPORT_raw_dataseen!$A$1:$R$817,MATCH($A16,REPORT_raw_dataseen!$D$1:$R$1,1)+3, FALSE)=0,"-", IF(VLOOKUP($C$7&amp;"Adjusted seen over_65"&amp;$C$9,REPORT_raw_dataseen!$A$1:$R$817,MATCH($A16,REPORT_raw_dataseen!$D$1:$R$1,1)+3, FALSE)&lt;-1,"*",VLOOKUP($C$7&amp;"Adjusted seen over_65"&amp;$C$9,REPORT_raw_dataseen!$A$1:$R$817,MATCH($A16,REPORT_raw_dataseen!$D$1:$R$1,1)+3, FALSE)))</f>
        <v>317</v>
      </c>
      <c r="D16" s="11">
        <f>IF(C16="*","*",IF(VLOOKUP($C$7&amp;"Adjusted seen over_65"&amp;$D$10,REPORT_raw_dataseen!$A$1:$R$817,MATCH($A16,REPORT_raw_dataseen!$D$1:$R$1,1)+3,FALSE)=0,"-",VLOOKUP($C$7&amp;"Adjusted seen over_65"&amp;$D$10,REPORT_raw_dataseen!$A$1:$R$817,MATCH($A16,REPORT_raw_dataseen!$D$1:$R$1,1)+3,FALSE)))</f>
        <v>263</v>
      </c>
      <c r="E16" s="11">
        <f>IF(C16="*","*",IF(VLOOKUP($C$7&amp;"Adjusted seen over_65"&amp;$E$10,REPORT_raw_dataseen!$A$1:$R$817,MATCH($A16,REPORT_raw_dataseen!$D$1:$R$1,1)+3, FALSE)=0,"-",VLOOKUP($C$7&amp;"Adjusted seen over_65"&amp;$E$10,REPORT_raw_dataseen!$A$1:$R$817,MATCH($A16,REPORT_raw_dataseen!$D$1:$R$1,1)+3, FALSE)))</f>
        <v>20</v>
      </c>
      <c r="F16" s="11">
        <f>IF(C16="*","*",IF(VLOOKUP($C$7&amp;"Adjusted seen over_65"&amp;$F$8,REPORT_raw_dataseen!$A$1:$R$817,MATCH($A16,REPORT_raw_dataseen!$D$1:$R$1,1)+3, FALSE)=0,"-",VLOOKUP($C$7&amp;"Adjusted seen over_65"&amp;$F$8,REPORT_raw_dataseen!$A$1:$R$817,MATCH($A16,REPORT_raw_dataseen!$D$1:$R$1,1)+3, FALSE)))</f>
        <v>24</v>
      </c>
      <c r="G16" s="11">
        <f>IF(C16="*","*",IF(VLOOKUP($C$7&amp;"Adjusted seen over_65"&amp;$G$8,REPORT_raw_dataseen!$A$1:$R$817,MATCH($A16,REPORT_raw_dataseen!$D$1:$R$1,1)+3, FALSE)=0,"-",VLOOKUP($C$7&amp;"Adjusted seen over_65"&amp;$G$8,REPORT_raw_dataseen!$A$1:$R$817,MATCH($A16,REPORT_raw_dataseen!$D$1:$R$1,1)+3, FALSE)))</f>
        <v>10</v>
      </c>
      <c r="H16" s="156">
        <f t="shared" si="1"/>
        <v>82.97</v>
      </c>
      <c r="I16" s="156">
        <f t="shared" si="0"/>
        <v>6.31</v>
      </c>
      <c r="J16" s="156">
        <f t="shared" si="0"/>
        <v>7.57</v>
      </c>
      <c r="K16" s="156">
        <f t="shared" si="0"/>
        <v>3.15</v>
      </c>
    </row>
    <row r="17" spans="1:11">
      <c r="A17" s="160">
        <f t="shared" ref="A17:A25" si="2">DATE(YEAR(A16),MONTH(A16)-1,DAY(A16))</f>
        <v>44166</v>
      </c>
      <c r="B17" s="155" t="str">
        <f>IF(VLOOKUP($C$7,'Type of adjust'!$A$1:$P$17,MATCH($A17,'Type of adjust'!$A$1:$P$1,1),FALSE)="", "..", VLOOKUP($C$7,'Type of adjust'!$A$1:$P$17,MATCH($A17,'Type of adjust'!$A$1:$P$1,1),FALSE))</f>
        <v>..</v>
      </c>
      <c r="C17" s="11">
        <f>IF(VLOOKUP($C$7&amp;"Adjusted seen over_65"&amp;$C$9,REPORT_raw_dataseen!$A$1:$R$817,MATCH($A17,REPORT_raw_dataseen!$D$1:$R$1,1)+3, FALSE)=0,"-", IF(VLOOKUP($C$7&amp;"Adjusted seen over_65"&amp;$C$9,REPORT_raw_dataseen!$A$1:$R$817,MATCH($A17,REPORT_raw_dataseen!$D$1:$R$1,1)+3, FALSE)&lt;-1,"*",VLOOKUP($C$7&amp;"Adjusted seen over_65"&amp;$C$9,REPORT_raw_dataseen!$A$1:$R$817,MATCH($A17,REPORT_raw_dataseen!$D$1:$R$1,1)+3, FALSE)))</f>
        <v>276</v>
      </c>
      <c r="D17" s="11">
        <f>IF(C17="*","*",IF(VLOOKUP($C$7&amp;"Adjusted seen over_65"&amp;$D$10,REPORT_raw_dataseen!$A$1:$R$817,MATCH($A17,REPORT_raw_dataseen!$D$1:$R$1,1)+3,FALSE)=0,"-",VLOOKUP($C$7&amp;"Adjusted seen over_65"&amp;$D$10,REPORT_raw_dataseen!$A$1:$R$817,MATCH($A17,REPORT_raw_dataseen!$D$1:$R$1,1)+3,FALSE)))</f>
        <v>209</v>
      </c>
      <c r="E17" s="11">
        <f>IF(C17="*","*",IF(VLOOKUP($C$7&amp;"Adjusted seen over_65"&amp;$E$10,REPORT_raw_dataseen!$A$1:$R$817,MATCH($A17,REPORT_raw_dataseen!$D$1:$R$1,1)+3, FALSE)=0,"-",VLOOKUP($C$7&amp;"Adjusted seen over_65"&amp;$E$10,REPORT_raw_dataseen!$A$1:$R$817,MATCH($A17,REPORT_raw_dataseen!$D$1:$R$1,1)+3, FALSE)))</f>
        <v>20</v>
      </c>
      <c r="F17" s="11">
        <f>IF(C17="*","*",IF(VLOOKUP($C$7&amp;"Adjusted seen over_65"&amp;$F$8,REPORT_raw_dataseen!$A$1:$R$817,MATCH($A17,REPORT_raw_dataseen!$D$1:$R$1,1)+3, FALSE)=0,"-",VLOOKUP($C$7&amp;"Adjusted seen over_65"&amp;$F$8,REPORT_raw_dataseen!$A$1:$R$817,MATCH($A17,REPORT_raw_dataseen!$D$1:$R$1,1)+3, FALSE)))</f>
        <v>32</v>
      </c>
      <c r="G17" s="11">
        <f>IF(C17="*","*",IF(VLOOKUP($C$7&amp;"Adjusted seen over_65"&amp;$G$8,REPORT_raw_dataseen!$A$1:$R$817,MATCH($A17,REPORT_raw_dataseen!$D$1:$R$1,1)+3, FALSE)=0,"-",VLOOKUP($C$7&amp;"Adjusted seen over_65"&amp;$G$8,REPORT_raw_dataseen!$A$1:$R$817,MATCH($A17,REPORT_raw_dataseen!$D$1:$R$1,1)+3, FALSE)))</f>
        <v>15</v>
      </c>
      <c r="H17" s="156">
        <f t="shared" si="1"/>
        <v>75.72</v>
      </c>
      <c r="I17" s="156">
        <f t="shared" si="0"/>
        <v>7.25</v>
      </c>
      <c r="J17" s="156">
        <f t="shared" si="0"/>
        <v>11.59</v>
      </c>
      <c r="K17" s="156">
        <f t="shared" si="0"/>
        <v>5.43</v>
      </c>
    </row>
    <row r="18" spans="1:11">
      <c r="A18" s="160">
        <f t="shared" si="2"/>
        <v>44136</v>
      </c>
      <c r="B18" s="155" t="str">
        <f>IF(VLOOKUP($C$7,'Type of adjust'!$A$1:$P$17,MATCH($A18,'Type of adjust'!$A$1:$P$1,1),FALSE)="", "..", VLOOKUP($C$7,'Type of adjust'!$A$1:$P$17,MATCH($A18,'Type of adjust'!$A$1:$P$1,1),FALSE))</f>
        <v>..</v>
      </c>
      <c r="C18" s="11">
        <f>IF(VLOOKUP($C$7&amp;"Adjusted seen over_65"&amp;$C$9,REPORT_raw_dataseen!$A$1:$R$817,MATCH($A18,REPORT_raw_dataseen!$D$1:$R$1,1)+3, FALSE)=0,"-", IF(VLOOKUP($C$7&amp;"Adjusted seen over_65"&amp;$C$9,REPORT_raw_dataseen!$A$1:$R$817,MATCH($A18,REPORT_raw_dataseen!$D$1:$R$1,1)+3, FALSE)&lt;-1,"*",VLOOKUP($C$7&amp;"Adjusted seen over_65"&amp;$C$9,REPORT_raw_dataseen!$A$1:$R$817,MATCH($A18,REPORT_raw_dataseen!$D$1:$R$1,1)+3, FALSE)))</f>
        <v>448</v>
      </c>
      <c r="D18" s="11">
        <f>IF(C18="*","*",IF(VLOOKUP($C$7&amp;"Adjusted seen over_65"&amp;$D$10,REPORT_raw_dataseen!$A$1:$R$817,MATCH($A18,REPORT_raw_dataseen!$D$1:$R$1,1)+3,FALSE)=0,"-",VLOOKUP($C$7&amp;"Adjusted seen over_65"&amp;$D$10,REPORT_raw_dataseen!$A$1:$R$817,MATCH($A18,REPORT_raw_dataseen!$D$1:$R$1,1)+3,FALSE)))</f>
        <v>331</v>
      </c>
      <c r="E18" s="11">
        <f>IF(C18="*","*",IF(VLOOKUP($C$7&amp;"Adjusted seen over_65"&amp;$E$10,REPORT_raw_dataseen!$A$1:$R$817,MATCH($A18,REPORT_raw_dataseen!$D$1:$R$1,1)+3, FALSE)=0,"-",VLOOKUP($C$7&amp;"Adjusted seen over_65"&amp;$E$10,REPORT_raw_dataseen!$A$1:$R$817,MATCH($A18,REPORT_raw_dataseen!$D$1:$R$1,1)+3, FALSE)))</f>
        <v>36</v>
      </c>
      <c r="F18" s="11">
        <f>IF(C18="*","*",IF(VLOOKUP($C$7&amp;"Adjusted seen over_65"&amp;$F$8,REPORT_raw_dataseen!$A$1:$R$817,MATCH($A18,REPORT_raw_dataseen!$D$1:$R$1,1)+3, FALSE)=0,"-",VLOOKUP($C$7&amp;"Adjusted seen over_65"&amp;$F$8,REPORT_raw_dataseen!$A$1:$R$817,MATCH($A18,REPORT_raw_dataseen!$D$1:$R$1,1)+3, FALSE)))</f>
        <v>47</v>
      </c>
      <c r="G18" s="11">
        <f>IF(C18="*","*",IF(VLOOKUP($C$7&amp;"Adjusted seen over_65"&amp;$G$8,REPORT_raw_dataseen!$A$1:$R$817,MATCH($A18,REPORT_raw_dataseen!$D$1:$R$1,1)+3, FALSE)=0,"-",VLOOKUP($C$7&amp;"Adjusted seen over_65"&amp;$G$8,REPORT_raw_dataseen!$A$1:$R$817,MATCH($A18,REPORT_raw_dataseen!$D$1:$R$1,1)+3, FALSE)))</f>
        <v>34</v>
      </c>
      <c r="H18" s="156">
        <f t="shared" si="1"/>
        <v>73.88</v>
      </c>
      <c r="I18" s="156">
        <f t="shared" si="0"/>
        <v>8.0399999999999991</v>
      </c>
      <c r="J18" s="156">
        <f t="shared" si="0"/>
        <v>10.49</v>
      </c>
      <c r="K18" s="156">
        <f t="shared" si="0"/>
        <v>7.59</v>
      </c>
    </row>
    <row r="19" spans="1:11">
      <c r="A19" s="160">
        <f t="shared" si="2"/>
        <v>44105</v>
      </c>
      <c r="B19" s="155" t="str">
        <f>IF(VLOOKUP($C$7,'Type of adjust'!$A$1:$P$17,MATCH($A19,'Type of adjust'!$A$1:$P$1,1),FALSE)="", "..", VLOOKUP($C$7,'Type of adjust'!$A$1:$P$17,MATCH($A19,'Type of adjust'!$A$1:$P$1,1),FALSE))</f>
        <v>..</v>
      </c>
      <c r="C19" s="11">
        <f>IF(VLOOKUP($C$7&amp;"Adjusted seen over_65"&amp;$C$9,REPORT_raw_dataseen!$A$1:$R$817,MATCH($A19,REPORT_raw_dataseen!$D$1:$R$1,1)+3, FALSE)=0,"-", IF(VLOOKUP($C$7&amp;"Adjusted seen over_65"&amp;$C$9,REPORT_raw_dataseen!$A$1:$R$817,MATCH($A19,REPORT_raw_dataseen!$D$1:$R$1,1)+3, FALSE)&lt;-1,"*",VLOOKUP($C$7&amp;"Adjusted seen over_65"&amp;$C$9,REPORT_raw_dataseen!$A$1:$R$817,MATCH($A19,REPORT_raw_dataseen!$D$1:$R$1,1)+3, FALSE)))</f>
        <v>241</v>
      </c>
      <c r="D19" s="11">
        <f>IF(C19="*","*",IF(VLOOKUP($C$7&amp;"Adjusted seen over_65"&amp;$D$10,REPORT_raw_dataseen!$A$1:$R$817,MATCH($A19,REPORT_raw_dataseen!$D$1:$R$1,1)+3,FALSE)=0,"-",VLOOKUP($C$7&amp;"Adjusted seen over_65"&amp;$D$10,REPORT_raw_dataseen!$A$1:$R$817,MATCH($A19,REPORT_raw_dataseen!$D$1:$R$1,1)+3,FALSE)))</f>
        <v>207</v>
      </c>
      <c r="E19" s="11">
        <f>IF(C19="*","*",IF(VLOOKUP($C$7&amp;"Adjusted seen over_65"&amp;$E$10,REPORT_raw_dataseen!$A$1:$R$817,MATCH($A19,REPORT_raw_dataseen!$D$1:$R$1,1)+3, FALSE)=0,"-",VLOOKUP($C$7&amp;"Adjusted seen over_65"&amp;$E$10,REPORT_raw_dataseen!$A$1:$R$817,MATCH($A19,REPORT_raw_dataseen!$D$1:$R$1,1)+3, FALSE)))</f>
        <v>19</v>
      </c>
      <c r="F19" s="11">
        <f>IF(C19="*","*",IF(VLOOKUP($C$7&amp;"Adjusted seen over_65"&amp;$F$8,REPORT_raw_dataseen!$A$1:$R$817,MATCH($A19,REPORT_raw_dataseen!$D$1:$R$1,1)+3, FALSE)=0,"-",VLOOKUP($C$7&amp;"Adjusted seen over_65"&amp;$F$8,REPORT_raw_dataseen!$A$1:$R$817,MATCH($A19,REPORT_raw_dataseen!$D$1:$R$1,1)+3, FALSE)))</f>
        <v>8</v>
      </c>
      <c r="G19" s="11">
        <f>IF(C19="*","*",IF(VLOOKUP($C$7&amp;"Adjusted seen over_65"&amp;$G$8,REPORT_raw_dataseen!$A$1:$R$817,MATCH($A19,REPORT_raw_dataseen!$D$1:$R$1,1)+3, FALSE)=0,"-",VLOOKUP($C$7&amp;"Adjusted seen over_65"&amp;$G$8,REPORT_raw_dataseen!$A$1:$R$817,MATCH($A19,REPORT_raw_dataseen!$D$1:$R$1,1)+3, FALSE)))</f>
        <v>7</v>
      </c>
      <c r="H19" s="156">
        <f t="shared" si="1"/>
        <v>85.89</v>
      </c>
      <c r="I19" s="156">
        <f t="shared" si="0"/>
        <v>7.88</v>
      </c>
      <c r="J19" s="156">
        <f t="shared" si="0"/>
        <v>3.32</v>
      </c>
      <c r="K19" s="156">
        <f t="shared" si="0"/>
        <v>2.9</v>
      </c>
    </row>
    <row r="20" spans="1:11">
      <c r="A20" s="160">
        <f t="shared" si="2"/>
        <v>44075</v>
      </c>
      <c r="B20" s="155" t="str">
        <f>IF(VLOOKUP($C$7,'Type of adjust'!$A$1:$P$17,MATCH($A20,'Type of adjust'!$A$1:$P$1,1),FALSE)="", "..", VLOOKUP($C$7,'Type of adjust'!$A$1:$P$17,MATCH($A20,'Type of adjust'!$A$1:$P$1,1),FALSE))</f>
        <v>..</v>
      </c>
      <c r="C20" s="11">
        <f>IF(VLOOKUP($C$7&amp;"Adjusted seen over_65"&amp;$C$9,REPORT_raw_dataseen!$A$1:$R$817,MATCH($A20,REPORT_raw_dataseen!$D$1:$R$1,1)+3, FALSE)=0,"-", IF(VLOOKUP($C$7&amp;"Adjusted seen over_65"&amp;$C$9,REPORT_raw_dataseen!$A$1:$R$817,MATCH($A20,REPORT_raw_dataseen!$D$1:$R$1,1)+3, FALSE)&lt;-1,"*",VLOOKUP($C$7&amp;"Adjusted seen over_65"&amp;$C$9,REPORT_raw_dataseen!$A$1:$R$817,MATCH($A20,REPORT_raw_dataseen!$D$1:$R$1,1)+3, FALSE)))</f>
        <v>251</v>
      </c>
      <c r="D20" s="11">
        <f>IF(C20="*","*",IF(VLOOKUP($C$7&amp;"Adjusted seen over_65"&amp;$D$10,REPORT_raw_dataseen!$A$1:$R$817,MATCH($A20,REPORT_raw_dataseen!$D$1:$R$1,1)+3,FALSE)=0,"-",VLOOKUP($C$7&amp;"Adjusted seen over_65"&amp;$D$10,REPORT_raw_dataseen!$A$1:$R$817,MATCH($A20,REPORT_raw_dataseen!$D$1:$R$1,1)+3,FALSE)))</f>
        <v>203</v>
      </c>
      <c r="E20" s="11">
        <f>IF(C20="*","*",IF(VLOOKUP($C$7&amp;"Adjusted seen over_65"&amp;$E$10,REPORT_raw_dataseen!$A$1:$R$817,MATCH($A20,REPORT_raw_dataseen!$D$1:$R$1,1)+3, FALSE)=0,"-",VLOOKUP($C$7&amp;"Adjusted seen over_65"&amp;$E$10,REPORT_raw_dataseen!$A$1:$R$817,MATCH($A20,REPORT_raw_dataseen!$D$1:$R$1,1)+3, FALSE)))</f>
        <v>36</v>
      </c>
      <c r="F20" s="11">
        <f>IF(C20="*","*",IF(VLOOKUP($C$7&amp;"Adjusted seen over_65"&amp;$F$8,REPORT_raw_dataseen!$A$1:$R$817,MATCH($A20,REPORT_raw_dataseen!$D$1:$R$1,1)+3, FALSE)=0,"-",VLOOKUP($C$7&amp;"Adjusted seen over_65"&amp;$F$8,REPORT_raw_dataseen!$A$1:$R$817,MATCH($A20,REPORT_raw_dataseen!$D$1:$R$1,1)+3, FALSE)))</f>
        <v>9</v>
      </c>
      <c r="G20" s="11">
        <f>IF(C20="*","*",IF(VLOOKUP($C$7&amp;"Adjusted seen over_65"&amp;$G$8,REPORT_raw_dataseen!$A$1:$R$817,MATCH($A20,REPORT_raw_dataseen!$D$1:$R$1,1)+3, FALSE)=0,"-",VLOOKUP($C$7&amp;"Adjusted seen over_65"&amp;$G$8,REPORT_raw_dataseen!$A$1:$R$817,MATCH($A20,REPORT_raw_dataseen!$D$1:$R$1,1)+3, FALSE)))</f>
        <v>3</v>
      </c>
      <c r="H20" s="156">
        <f t="shared" si="1"/>
        <v>80.88</v>
      </c>
      <c r="I20" s="156">
        <f t="shared" si="1"/>
        <v>14.34</v>
      </c>
      <c r="J20" s="156">
        <f t="shared" si="1"/>
        <v>3.59</v>
      </c>
      <c r="K20" s="156">
        <f t="shared" si="1"/>
        <v>1.2</v>
      </c>
    </row>
    <row r="21" spans="1:11">
      <c r="A21" s="160">
        <f t="shared" si="2"/>
        <v>44044</v>
      </c>
      <c r="B21" s="155" t="str">
        <f>IF(VLOOKUP($C$7,'Type of adjust'!$A$1:$P$17,MATCH($A21,'Type of adjust'!$A$1:$P$1,1),FALSE)="", "..", VLOOKUP($C$7,'Type of adjust'!$A$1:$P$17,MATCH($A21,'Type of adjust'!$A$1:$P$1,1),FALSE))</f>
        <v>..</v>
      </c>
      <c r="C21" s="11">
        <f>IF(VLOOKUP($C$7&amp;"Adjusted seen over_65"&amp;$C$9,REPORT_raw_dataseen!$A$1:$R$817,MATCH($A21,REPORT_raw_dataseen!$D$1:$R$1,1)+3, FALSE)=0,"-", IF(VLOOKUP($C$7&amp;"Adjusted seen over_65"&amp;$C$9,REPORT_raw_dataseen!$A$1:$R$817,MATCH($A21,REPORT_raw_dataseen!$D$1:$R$1,1)+3, FALSE)&lt;-1,"*",VLOOKUP($C$7&amp;"Adjusted seen over_65"&amp;$C$9,REPORT_raw_dataseen!$A$1:$R$817,MATCH($A21,REPORT_raw_dataseen!$D$1:$R$1,1)+3, FALSE)))</f>
        <v>243</v>
      </c>
      <c r="D21" s="11">
        <f>IF(C21="*","*",IF(VLOOKUP($C$7&amp;"Adjusted seen over_65"&amp;$D$10,REPORT_raw_dataseen!$A$1:$R$817,MATCH($A21,REPORT_raw_dataseen!$D$1:$R$1,1)+3,FALSE)=0,"-",VLOOKUP($C$7&amp;"Adjusted seen over_65"&amp;$D$10,REPORT_raw_dataseen!$A$1:$R$817,MATCH($A21,REPORT_raw_dataseen!$D$1:$R$1,1)+3,FALSE)))</f>
        <v>163</v>
      </c>
      <c r="E21" s="11">
        <f>IF(C21="*","*",IF(VLOOKUP($C$7&amp;"Adjusted seen over_65"&amp;$E$10,REPORT_raw_dataseen!$A$1:$R$817,MATCH($A21,REPORT_raw_dataseen!$D$1:$R$1,1)+3, FALSE)=0,"-",VLOOKUP($C$7&amp;"Adjusted seen over_65"&amp;$E$10,REPORT_raw_dataseen!$A$1:$R$817,MATCH($A21,REPORT_raw_dataseen!$D$1:$R$1,1)+3, FALSE)))</f>
        <v>67</v>
      </c>
      <c r="F21" s="11">
        <f>IF(C21="*","*",IF(VLOOKUP($C$7&amp;"Adjusted seen over_65"&amp;$F$8,REPORT_raw_dataseen!$A$1:$R$817,MATCH($A21,REPORT_raw_dataseen!$D$1:$R$1,1)+3, FALSE)=0,"-",VLOOKUP($C$7&amp;"Adjusted seen over_65"&amp;$F$8,REPORT_raw_dataseen!$A$1:$R$817,MATCH($A21,REPORT_raw_dataseen!$D$1:$R$1,1)+3, FALSE)))</f>
        <v>11</v>
      </c>
      <c r="G21" s="11">
        <f>IF(C21="*","*",IF(VLOOKUP($C$7&amp;"Adjusted seen over_65"&amp;$G$8,REPORT_raw_dataseen!$A$1:$R$817,MATCH($A21,REPORT_raw_dataseen!$D$1:$R$1,1)+3, FALSE)=0,"-",VLOOKUP($C$7&amp;"Adjusted seen over_65"&amp;$G$8,REPORT_raw_dataseen!$A$1:$R$817,MATCH($A21,REPORT_raw_dataseen!$D$1:$R$1,1)+3, FALSE)))</f>
        <v>2</v>
      </c>
      <c r="H21" s="156">
        <f t="shared" si="1"/>
        <v>67.08</v>
      </c>
      <c r="I21" s="156">
        <f t="shared" si="1"/>
        <v>27.57</v>
      </c>
      <c r="J21" s="156">
        <f t="shared" si="1"/>
        <v>4.53</v>
      </c>
      <c r="K21" s="156">
        <f t="shared" si="1"/>
        <v>0.82</v>
      </c>
    </row>
    <row r="22" spans="1:11">
      <c r="A22" s="160">
        <f t="shared" si="2"/>
        <v>44013</v>
      </c>
      <c r="B22" s="155" t="str">
        <f>IF(VLOOKUP($C$7,'Type of adjust'!$A$1:$P$17,MATCH($A22,'Type of adjust'!$A$1:$P$1,1),FALSE)="", "..", VLOOKUP($C$7,'Type of adjust'!$A$1:$P$17,MATCH($A22,'Type of adjust'!$A$1:$P$1,1),FALSE))</f>
        <v>..</v>
      </c>
      <c r="C22" s="11">
        <f>IF(VLOOKUP($C$7&amp;"Adjusted seen over_65"&amp;$C$9,REPORT_raw_dataseen!$A$1:$R$817,MATCH($A22,REPORT_raw_dataseen!$D$1:$R$1,1)+3, FALSE)=0,"-", IF(VLOOKUP($C$7&amp;"Adjusted seen over_65"&amp;$C$9,REPORT_raw_dataseen!$A$1:$R$817,MATCH($A22,REPORT_raw_dataseen!$D$1:$R$1,1)+3, FALSE)&lt;-1,"*",VLOOKUP($C$7&amp;"Adjusted seen over_65"&amp;$C$9,REPORT_raw_dataseen!$A$1:$R$817,MATCH($A22,REPORT_raw_dataseen!$D$1:$R$1,1)+3, FALSE)))</f>
        <v>329</v>
      </c>
      <c r="D22" s="11">
        <f>IF(C22="*","*",IF(VLOOKUP($C$7&amp;"Adjusted seen over_65"&amp;$D$10,REPORT_raw_dataseen!$A$1:$R$817,MATCH($A22,REPORT_raw_dataseen!$D$1:$R$1,1)+3,FALSE)=0,"-",VLOOKUP($C$7&amp;"Adjusted seen over_65"&amp;$D$10,REPORT_raw_dataseen!$A$1:$R$817,MATCH($A22,REPORT_raw_dataseen!$D$1:$R$1,1)+3,FALSE)))</f>
        <v>251</v>
      </c>
      <c r="E22" s="11">
        <f>IF(C22="*","*",IF(VLOOKUP($C$7&amp;"Adjusted seen over_65"&amp;$E$10,REPORT_raw_dataseen!$A$1:$R$817,MATCH($A22,REPORT_raw_dataseen!$D$1:$R$1,1)+3, FALSE)=0,"-",VLOOKUP($C$7&amp;"Adjusted seen over_65"&amp;$E$10,REPORT_raw_dataseen!$A$1:$R$817,MATCH($A22,REPORT_raw_dataseen!$D$1:$R$1,1)+3, FALSE)))</f>
        <v>63</v>
      </c>
      <c r="F22" s="11">
        <f>IF(C22="*","*",IF(VLOOKUP($C$7&amp;"Adjusted seen over_65"&amp;$F$8,REPORT_raw_dataseen!$A$1:$R$817,MATCH($A22,REPORT_raw_dataseen!$D$1:$R$1,1)+3, FALSE)=0,"-",VLOOKUP($C$7&amp;"Adjusted seen over_65"&amp;$F$8,REPORT_raw_dataseen!$A$1:$R$817,MATCH($A22,REPORT_raw_dataseen!$D$1:$R$1,1)+3, FALSE)))</f>
        <v>5</v>
      </c>
      <c r="G22" s="11">
        <f>IF(C22="*","*",IF(VLOOKUP($C$7&amp;"Adjusted seen over_65"&amp;$G$8,REPORT_raw_dataseen!$A$1:$R$817,MATCH($A22,REPORT_raw_dataseen!$D$1:$R$1,1)+3, FALSE)=0,"-",VLOOKUP($C$7&amp;"Adjusted seen over_65"&amp;$G$8,REPORT_raw_dataseen!$A$1:$R$817,MATCH($A22,REPORT_raw_dataseen!$D$1:$R$1,1)+3, FALSE)))</f>
        <v>10</v>
      </c>
      <c r="H22" s="156">
        <f t="shared" si="1"/>
        <v>76.290000000000006</v>
      </c>
      <c r="I22" s="156">
        <f t="shared" si="1"/>
        <v>19.149999999999999</v>
      </c>
      <c r="J22" s="156">
        <f t="shared" si="1"/>
        <v>1.52</v>
      </c>
      <c r="K22" s="156">
        <f t="shared" si="1"/>
        <v>3.04</v>
      </c>
    </row>
    <row r="23" spans="1:11">
      <c r="A23" s="160">
        <f t="shared" si="2"/>
        <v>43983</v>
      </c>
      <c r="B23" s="155" t="str">
        <f>IF(VLOOKUP($C$7,'Type of adjust'!$A$1:$P$17,MATCH($A23,'Type of adjust'!$A$1:$P$1,1),FALSE)="", "..", VLOOKUP($C$7,'Type of adjust'!$A$1:$P$17,MATCH($A23,'Type of adjust'!$A$1:$P$1,1),FALSE))</f>
        <v>..</v>
      </c>
      <c r="C23" s="11">
        <f>IF(VLOOKUP($C$7&amp;"Adjusted seen over_65"&amp;$C$9,REPORT_raw_dataseen!$A$1:$R$817,MATCH($A23,REPORT_raw_dataseen!$D$1:$R$1,1)+3, FALSE)=0,"-", IF(VLOOKUP($C$7&amp;"Adjusted seen over_65"&amp;$C$9,REPORT_raw_dataseen!$A$1:$R$817,MATCH($A23,REPORT_raw_dataseen!$D$1:$R$1,1)+3, FALSE)&lt;-1,"*",VLOOKUP($C$7&amp;"Adjusted seen over_65"&amp;$C$9,REPORT_raw_dataseen!$A$1:$R$817,MATCH($A23,REPORT_raw_dataseen!$D$1:$R$1,1)+3, FALSE)))</f>
        <v>257</v>
      </c>
      <c r="D23" s="11">
        <f>IF(C23="*","*",IF(VLOOKUP($C$7&amp;"Adjusted seen over_65"&amp;$D$10,REPORT_raw_dataseen!$A$1:$R$817,MATCH($A23,REPORT_raw_dataseen!$D$1:$R$1,1)+3,FALSE)=0,"-",VLOOKUP($C$7&amp;"Adjusted seen over_65"&amp;$D$10,REPORT_raw_dataseen!$A$1:$R$817,MATCH($A23,REPORT_raw_dataseen!$D$1:$R$1,1)+3,FALSE)))</f>
        <v>209</v>
      </c>
      <c r="E23" s="11">
        <f>IF(C23="*","*",IF(VLOOKUP($C$7&amp;"Adjusted seen over_65"&amp;$E$10,REPORT_raw_dataseen!$A$1:$R$817,MATCH($A23,REPORT_raw_dataseen!$D$1:$R$1,1)+3, FALSE)=0,"-",VLOOKUP($C$7&amp;"Adjusted seen over_65"&amp;$E$10,REPORT_raw_dataseen!$A$1:$R$817,MATCH($A23,REPORT_raw_dataseen!$D$1:$R$1,1)+3, FALSE)))</f>
        <v>34</v>
      </c>
      <c r="F23" s="11">
        <f>IF(C23="*","*",IF(VLOOKUP($C$7&amp;"Adjusted seen over_65"&amp;$F$8,REPORT_raw_dataseen!$A$1:$R$817,MATCH($A23,REPORT_raw_dataseen!$D$1:$R$1,1)+3, FALSE)=0,"-",VLOOKUP($C$7&amp;"Adjusted seen over_65"&amp;$F$8,REPORT_raw_dataseen!$A$1:$R$817,MATCH($A23,REPORT_raw_dataseen!$D$1:$R$1,1)+3, FALSE)))</f>
        <v>5</v>
      </c>
      <c r="G23" s="11">
        <f>IF(C23="*","*",IF(VLOOKUP($C$7&amp;"Adjusted seen over_65"&amp;$G$8,REPORT_raw_dataseen!$A$1:$R$817,MATCH($A23,REPORT_raw_dataseen!$D$1:$R$1,1)+3, FALSE)=0,"-",VLOOKUP($C$7&amp;"Adjusted seen over_65"&amp;$G$8,REPORT_raw_dataseen!$A$1:$R$817,MATCH($A23,REPORT_raw_dataseen!$D$1:$R$1,1)+3, FALSE)))</f>
        <v>9</v>
      </c>
      <c r="H23" s="156">
        <f t="shared" si="1"/>
        <v>81.319999999999993</v>
      </c>
      <c r="I23" s="156">
        <f t="shared" si="1"/>
        <v>13.23</v>
      </c>
      <c r="J23" s="156">
        <f t="shared" si="1"/>
        <v>1.95</v>
      </c>
      <c r="K23" s="156">
        <f t="shared" si="1"/>
        <v>3.5</v>
      </c>
    </row>
    <row r="24" spans="1:11">
      <c r="A24" s="160">
        <f t="shared" si="2"/>
        <v>43952</v>
      </c>
      <c r="B24" s="155" t="str">
        <f>IF(VLOOKUP($C$7,'Type of adjust'!$A$1:$P$17,MATCH($A24,'Type of adjust'!$A$1:$P$1,1),FALSE)="", "..", VLOOKUP($C$7,'Type of adjust'!$A$1:$P$17,MATCH($A24,'Type of adjust'!$A$1:$P$1,1),FALSE))</f>
        <v>..</v>
      </c>
      <c r="C24" s="11">
        <f>IF(VLOOKUP($C$7&amp;"Adjusted seen over_65"&amp;$C$9,REPORT_raw_dataseen!$A$1:$R$817,MATCH($A24,REPORT_raw_dataseen!$D$1:$R$1,1)+3, FALSE)=0,"-", IF(VLOOKUP($C$7&amp;"Adjusted seen over_65"&amp;$C$9,REPORT_raw_dataseen!$A$1:$R$817,MATCH($A24,REPORT_raw_dataseen!$D$1:$R$1,1)+3, FALSE)&lt;-1,"*",VLOOKUP($C$7&amp;"Adjusted seen over_65"&amp;$C$9,REPORT_raw_dataseen!$A$1:$R$817,MATCH($A24,REPORT_raw_dataseen!$D$1:$R$1,1)+3, FALSE)))</f>
        <v>131</v>
      </c>
      <c r="D24" s="11">
        <f>IF(C24="*","*",IF(VLOOKUP($C$7&amp;"Adjusted seen over_65"&amp;$D$10,REPORT_raw_dataseen!$A$1:$R$817,MATCH($A24,REPORT_raw_dataseen!$D$1:$R$1,1)+3,FALSE)=0,"-",VLOOKUP($C$7&amp;"Adjusted seen over_65"&amp;$D$10,REPORT_raw_dataseen!$A$1:$R$817,MATCH($A24,REPORT_raw_dataseen!$D$1:$R$1,1)+3,FALSE)))</f>
        <v>111</v>
      </c>
      <c r="E24" s="11">
        <f>IF(C24="*","*",IF(VLOOKUP($C$7&amp;"Adjusted seen over_65"&amp;$E$10,REPORT_raw_dataseen!$A$1:$R$817,MATCH($A24,REPORT_raw_dataseen!$D$1:$R$1,1)+3, FALSE)=0,"-",VLOOKUP($C$7&amp;"Adjusted seen over_65"&amp;$E$10,REPORT_raw_dataseen!$A$1:$R$817,MATCH($A24,REPORT_raw_dataseen!$D$1:$R$1,1)+3, FALSE)))</f>
        <v>7</v>
      </c>
      <c r="F24" s="11">
        <f>IF(C24="*","*",IF(VLOOKUP($C$7&amp;"Adjusted seen over_65"&amp;$F$8,REPORT_raw_dataseen!$A$1:$R$817,MATCH($A24,REPORT_raw_dataseen!$D$1:$R$1,1)+3, FALSE)=0,"-",VLOOKUP($C$7&amp;"Adjusted seen over_65"&amp;$F$8,REPORT_raw_dataseen!$A$1:$R$817,MATCH($A24,REPORT_raw_dataseen!$D$1:$R$1,1)+3, FALSE)))</f>
        <v>9</v>
      </c>
      <c r="G24" s="11">
        <f>IF(C24="*","*",IF(VLOOKUP($C$7&amp;"Adjusted seen over_65"&amp;$G$8,REPORT_raw_dataseen!$A$1:$R$817,MATCH($A24,REPORT_raw_dataseen!$D$1:$R$1,1)+3, FALSE)=0,"-",VLOOKUP($C$7&amp;"Adjusted seen over_65"&amp;$G$8,REPORT_raw_dataseen!$A$1:$R$817,MATCH($A24,REPORT_raw_dataseen!$D$1:$R$1,1)+3, FALSE)))</f>
        <v>4</v>
      </c>
      <c r="H24" s="156">
        <f t="shared" si="1"/>
        <v>84.73</v>
      </c>
      <c r="I24" s="156">
        <f t="shared" si="1"/>
        <v>5.34</v>
      </c>
      <c r="J24" s="156">
        <f t="shared" si="1"/>
        <v>6.87</v>
      </c>
      <c r="K24" s="156">
        <f t="shared" si="1"/>
        <v>3.05</v>
      </c>
    </row>
    <row r="25" spans="1:11">
      <c r="A25" s="160">
        <f t="shared" si="2"/>
        <v>43922</v>
      </c>
      <c r="B25" s="155" t="str">
        <f>IF(VLOOKUP($C$7,'Type of adjust'!$A$1:$P$17,MATCH($A25,'Type of adjust'!$A$1:$P$1,1),FALSE)="", "..", VLOOKUP($C$7,'Type of adjust'!$A$1:$P$17,MATCH($A25,'Type of adjust'!$A$1:$P$1,1),FALSE))</f>
        <v>..</v>
      </c>
      <c r="C25" s="11">
        <f>IF(VLOOKUP($C$7&amp;"Adjusted seen over_65"&amp;$C$9,REPORT_raw_dataseen!$A$1:$R$817,MATCH($A25,REPORT_raw_dataseen!$D$1:$R$1,1)+3, FALSE)=0,"-", IF(VLOOKUP($C$7&amp;"Adjusted seen over_65"&amp;$C$9,REPORT_raw_dataseen!$A$1:$R$817,MATCH($A25,REPORT_raw_dataseen!$D$1:$R$1,1)+3, FALSE)&lt;-1,"*",VLOOKUP($C$7&amp;"Adjusted seen over_65"&amp;$C$9,REPORT_raw_dataseen!$A$1:$R$817,MATCH($A25,REPORT_raw_dataseen!$D$1:$R$1,1)+3, FALSE)))</f>
        <v>149</v>
      </c>
      <c r="D25" s="11">
        <f>IF(C25="*","*",IF(VLOOKUP($C$7&amp;"Adjusted seen over_65"&amp;$D$10,REPORT_raw_dataseen!$A$1:$R$817,MATCH($A25,REPORT_raw_dataseen!$D$1:$R$1,1)+3,FALSE)=0,"-",VLOOKUP($C$7&amp;"Adjusted seen over_65"&amp;$D$10,REPORT_raw_dataseen!$A$1:$R$817,MATCH($A25,REPORT_raw_dataseen!$D$1:$R$1,1)+3,FALSE)))</f>
        <v>133</v>
      </c>
      <c r="E25" s="11">
        <f>IF(C25="*","*",IF(VLOOKUP($C$7&amp;"Adjusted seen over_65"&amp;$E$10,REPORT_raw_dataseen!$A$1:$R$817,MATCH($A25,REPORT_raw_dataseen!$D$1:$R$1,1)+3, FALSE)=0,"-",VLOOKUP($C$7&amp;"Adjusted seen over_65"&amp;$E$10,REPORT_raw_dataseen!$A$1:$R$817,MATCH($A25,REPORT_raw_dataseen!$D$1:$R$1,1)+3, FALSE)))</f>
        <v>10</v>
      </c>
      <c r="F25" s="11" t="str">
        <f>IF(C25="*","*",IF(VLOOKUP($C$7&amp;"Adjusted seen over_65"&amp;$F$8,REPORT_raw_dataseen!$A$1:$R$817,MATCH($A25,REPORT_raw_dataseen!$D$1:$R$1,1)+3, FALSE)=0,"-",VLOOKUP($C$7&amp;"Adjusted seen over_65"&amp;$F$8,REPORT_raw_dataseen!$A$1:$R$817,MATCH($A25,REPORT_raw_dataseen!$D$1:$R$1,1)+3, FALSE)))</f>
        <v>-</v>
      </c>
      <c r="G25" s="11">
        <f>IF(C25="*","*",IF(VLOOKUP($C$7&amp;"Adjusted seen over_65"&amp;$G$8,REPORT_raw_dataseen!$A$1:$R$817,MATCH($A25,REPORT_raw_dataseen!$D$1:$R$1,1)+3, FALSE)=0,"-",VLOOKUP($C$7&amp;"Adjusted seen over_65"&amp;$G$8,REPORT_raw_dataseen!$A$1:$R$817,MATCH($A25,REPORT_raw_dataseen!$D$1:$R$1,1)+3, FALSE)))</f>
        <v>6</v>
      </c>
      <c r="H25" s="156">
        <f t="shared" si="1"/>
        <v>89.26</v>
      </c>
      <c r="I25" s="156">
        <f t="shared" si="1"/>
        <v>6.71</v>
      </c>
      <c r="J25" s="156" t="str">
        <f t="shared" si="1"/>
        <v>-</v>
      </c>
      <c r="K25" s="156">
        <f t="shared" si="1"/>
        <v>4.03</v>
      </c>
    </row>
    <row r="26" spans="1:11">
      <c r="B26" s="16"/>
      <c r="C26" s="16"/>
      <c r="D26" s="16"/>
      <c r="E26" s="16"/>
      <c r="F26" s="16"/>
      <c r="G26" s="17"/>
      <c r="H26" s="17"/>
      <c r="I26" s="17"/>
      <c r="J26" s="17"/>
    </row>
    <row r="27" spans="1:11">
      <c r="A27" s="159" t="str">
        <f>"quarter ending "&amp;TEXT(A11,"mmm yyyy")</f>
        <v>quarter ending Jun 2021</v>
      </c>
      <c r="B27" s="149" t="str">
        <f>B11</f>
        <v>..</v>
      </c>
      <c r="C27" s="157">
        <f>IF(OR(C11="*", C12="*", C13="*"),"*", IF(COUNTIF(C11:C13,"..")=3,"..",IF(SUM(C11:C13)=0,"-",SUM(C11:C13))))</f>
        <v>1176</v>
      </c>
      <c r="D27" s="157">
        <f>IF(OR(D11="*", D12="*", D13="*"),"*", IF(COUNTIF(D11:D13,"..")=3,"..",IF(SUM(D11:D13)=0,"-",SUM(D11:D13))))</f>
        <v>1015</v>
      </c>
      <c r="E27" s="157">
        <f>IF(OR(E11="*", E12="*", E13="*"),"*", IF(COUNTIF(E11:E13,"..")=3,"..",IF(SUM(E11:E13)=0,"-",SUM(E11:E13))))</f>
        <v>104</v>
      </c>
      <c r="F27" s="157">
        <f>IF(OR(F11="*", F12="*", F13="*"),"*", IF(COUNTIF(F11:F13,"..")=3,"..",IF(SUM(F11:F13)=0,"-",SUM(F11:F13))))</f>
        <v>26</v>
      </c>
      <c r="G27" s="157">
        <f>IF(OR(G11="*", G12="*", G13="*"),"*", IF(COUNTIF(G11:G13,"..")=3,"..",IF(SUM(G11:G13)=0,"-",SUM(G11:G13))))</f>
        <v>31</v>
      </c>
      <c r="H27" s="158">
        <f>IF(D27="-", "-", ROUND(D27/$C27%,2))</f>
        <v>86.31</v>
      </c>
      <c r="I27" s="158">
        <f t="shared" ref="I27:K31" si="3">IF(E27="-", "-", ROUND(E27/$C27%,2))</f>
        <v>8.84</v>
      </c>
      <c r="J27" s="158">
        <f t="shared" si="3"/>
        <v>2.21</v>
      </c>
      <c r="K27" s="158">
        <f t="shared" si="3"/>
        <v>2.64</v>
      </c>
    </row>
    <row r="28" spans="1:11">
      <c r="A28" s="159" t="str">
        <f>"quarter ending "&amp;TEXT(A14,"mmm yyyy")</f>
        <v>quarter ending Mar 2021</v>
      </c>
      <c r="B28" s="149" t="str">
        <f>B14</f>
        <v>..</v>
      </c>
      <c r="C28" s="157">
        <f>IF(OR(C14="*", C15="*", C16="*"),"*", IF(COUNTIF(C14:C16,"..")=3,"..",IF(SUM(C14:C16)=0,"-",SUM(C14:C16))))</f>
        <v>914</v>
      </c>
      <c r="D28" s="157">
        <f>IF(OR(D14="*", D15="*", D16="*"),"*", IF(COUNTIF(D14:D16,"..")=3,"..",IF(SUM(D14:D16)=0,"-",SUM(D14:D16))))</f>
        <v>779</v>
      </c>
      <c r="E28" s="157">
        <f>IF(OR(E14="*", E15="*", E16="*"),"*", IF(COUNTIF(E14:E16,"..")=3,"..",IF(SUM(E14:E16)=0,"-",SUM(E14:E16))))</f>
        <v>70</v>
      </c>
      <c r="F28" s="157">
        <f>IF(OR(F14="*", F15="*", F16="*"),"*", IF(COUNTIF(F14:F16,"..")=3,"..",IF(SUM(F14:F16)=0,"-",SUM(F14:F16))))</f>
        <v>37</v>
      </c>
      <c r="G28" s="157">
        <f>IF(OR(G14="*", G15="*", G16="*"),"*", IF(COUNTIF(G14:G16,"..")=3,"..",IF(SUM(G14:G16)=0,"-",SUM(G14:G16))))</f>
        <v>28</v>
      </c>
      <c r="H28" s="158">
        <f>IF(D28="-", "-", ROUND(D28/$C28%,2))</f>
        <v>85.23</v>
      </c>
      <c r="I28" s="158">
        <f t="shared" si="3"/>
        <v>7.66</v>
      </c>
      <c r="J28" s="158">
        <f t="shared" si="3"/>
        <v>4.05</v>
      </c>
      <c r="K28" s="158">
        <f t="shared" si="3"/>
        <v>3.06</v>
      </c>
    </row>
    <row r="29" spans="1:11">
      <c r="A29" s="159" t="str">
        <f>"quarter ending "&amp;TEXT(A17,"mmm yyyy")</f>
        <v>quarter ending Dec 2020</v>
      </c>
      <c r="B29" s="149" t="str">
        <f>B17</f>
        <v>..</v>
      </c>
      <c r="C29" s="157">
        <f>IF(OR(C17="*", C18="*", C19="*"),"*", IF(COUNTIF(C17:C19,"..")=3,"..",IF(SUM(C17:C19)=0,"-",SUM(C17:C19))))</f>
        <v>965</v>
      </c>
      <c r="D29" s="157">
        <f>IF(OR(D17="*", D18="*", D19="*"),"*", IF(COUNTIF(D17:D19,"..")=3,"..",IF(SUM(D17:D19)=0,"-",SUM(D17:D19))))</f>
        <v>747</v>
      </c>
      <c r="E29" s="157">
        <f>IF(OR(E17="*", E18="*", E19="*"),"*", IF(COUNTIF(E17:E19,"..")=3,"..",IF(SUM(E17:E19)=0,"-",SUM(E17:E19))))</f>
        <v>75</v>
      </c>
      <c r="F29" s="157">
        <f>IF(OR(F17="*", F18="*", F19="*"),"*", IF(COUNTIF(F17:F19,"..")=3,"..",IF(SUM(F17:F19)=0,"-",SUM(F17:F19))))</f>
        <v>87</v>
      </c>
      <c r="G29" s="157">
        <f>IF(OR(G17="*", G18="*", G19="*"),"*", IF(COUNTIF(G17:G19,"..")=3,"..",IF(SUM(G17:G19)=0,"-",SUM(G17:G19))))</f>
        <v>56</v>
      </c>
      <c r="H29" s="158">
        <f>IF(D29="-", "-", ROUND(D29/$C29%,2))</f>
        <v>77.41</v>
      </c>
      <c r="I29" s="158">
        <f t="shared" si="3"/>
        <v>7.77</v>
      </c>
      <c r="J29" s="158">
        <f t="shared" si="3"/>
        <v>9.02</v>
      </c>
      <c r="K29" s="158">
        <f t="shared" si="3"/>
        <v>5.8</v>
      </c>
    </row>
    <row r="30" spans="1:11">
      <c r="A30" s="159" t="str">
        <f>"quarter ending "&amp;TEXT(A20,"mmm yyyy")</f>
        <v>quarter ending Sep 2020</v>
      </c>
      <c r="B30" s="149" t="str">
        <f>B20</f>
        <v>..</v>
      </c>
      <c r="C30" s="157">
        <f>IF(OR(C20="*", C21="*", C22="*"),"*", IF(COUNTIF(C20:C22,"..")=3,"..",IF(SUM(C20:C22)=0,"-",SUM(C20:C22))))</f>
        <v>823</v>
      </c>
      <c r="D30" s="157">
        <f>IF(OR(D20="*", D21="*", D22="*"),"*", IF(COUNTIF(D20:D22,"..")=3,"..",IF(SUM(D20:D22)=0,"-",SUM(D20:D22))))</f>
        <v>617</v>
      </c>
      <c r="E30" s="157">
        <f>IF(OR(E20="*", E21="*", E22="*"),"*", IF(COUNTIF(E20:E22,"..")=3,"..",IF(SUM(E20:E22)=0,"-",SUM(E20:E22))))</f>
        <v>166</v>
      </c>
      <c r="F30" s="157">
        <f>IF(OR(F20="*", F21="*", F22="*"),"*", IF(COUNTIF(F20:F22,"..")=3,"..",IF(SUM(F20:F22)=0,"-",SUM(F20:F22))))</f>
        <v>25</v>
      </c>
      <c r="G30" s="157">
        <f>IF(OR(G20="*", G21="*", G22="*"),"*", IF(COUNTIF(G20:G22,"..")=3,"..",IF(SUM(G20:G22)=0,"-",SUM(G20:G22))))</f>
        <v>15</v>
      </c>
      <c r="H30" s="158">
        <f>IF(D30="-", "-", ROUND(D30/$C30%,2))</f>
        <v>74.97</v>
      </c>
      <c r="I30" s="158">
        <f t="shared" si="3"/>
        <v>20.170000000000002</v>
      </c>
      <c r="J30" s="158">
        <f t="shared" si="3"/>
        <v>3.04</v>
      </c>
      <c r="K30" s="158">
        <f t="shared" si="3"/>
        <v>1.82</v>
      </c>
    </row>
    <row r="31" spans="1:11">
      <c r="A31" s="159" t="str">
        <f>"quarter ending "&amp;TEXT(A23,"mmm yyyy")</f>
        <v>quarter ending Jun 2020</v>
      </c>
      <c r="B31" s="149" t="str">
        <f>B23</f>
        <v>..</v>
      </c>
      <c r="C31" s="157">
        <f>IF(OR(C23="*", C24="*", C25="*"),"*", IF(COUNTIF(C23:C25,"..")=3,"..",IF(SUM(C23:C25)=0,"-",SUM(C23:C25))))</f>
        <v>537</v>
      </c>
      <c r="D31" s="157">
        <f>IF(OR(D23="*", D24="*", D25="*"),"*", IF(COUNTIF(D23:D25,"..")=3,"..",IF(SUM(D23:D25)=0,"-",SUM(D23:D25))))</f>
        <v>453</v>
      </c>
      <c r="E31" s="157">
        <f>IF(OR(E23="*", E24="*", E25="*"),"*", IF(COUNTIF(E23:E25,"..")=3,"..",IF(SUM(E23:E25)=0,"-",SUM(E23:E25))))</f>
        <v>51</v>
      </c>
      <c r="F31" s="157">
        <f>IF(OR(F23="*", F24="*", F25="*"),"*", IF(COUNTIF(F23:F25,"..")=3,"..",IF(SUM(F23:F25)=0,"-",SUM(F23:F25))))</f>
        <v>14</v>
      </c>
      <c r="G31" s="157">
        <f>IF(OR(G23="*", G24="*", G25="*"),"*", IF(COUNTIF(G23:G25,"..")=3,"..",IF(SUM(G23:G25)=0,"-",SUM(G23:G25))))</f>
        <v>19</v>
      </c>
      <c r="H31" s="158">
        <f>IF(D31="-", "-", ROUND(D31/$C31%,2))</f>
        <v>84.36</v>
      </c>
      <c r="I31" s="158">
        <f t="shared" si="3"/>
        <v>9.5</v>
      </c>
      <c r="J31" s="158">
        <f t="shared" si="3"/>
        <v>2.61</v>
      </c>
      <c r="K31" s="158">
        <f t="shared" si="3"/>
        <v>3.54</v>
      </c>
    </row>
    <row r="32" spans="1:11">
      <c r="A32" s="438"/>
      <c r="B32" s="438"/>
      <c r="C32" s="438"/>
      <c r="D32" s="438"/>
      <c r="E32" s="438"/>
      <c r="F32" s="438"/>
      <c r="G32" s="438"/>
      <c r="H32" s="438"/>
      <c r="I32" s="438"/>
      <c r="J32" s="438"/>
      <c r="K32" s="438"/>
    </row>
    <row r="33" spans="1:11">
      <c r="B33" s="16"/>
      <c r="C33" s="16"/>
      <c r="D33" s="16"/>
      <c r="E33" s="16"/>
      <c r="F33" s="16"/>
      <c r="G33" s="17"/>
      <c r="H33" s="17"/>
      <c r="I33" s="17"/>
      <c r="J33" s="17"/>
    </row>
    <row r="34" spans="1:11" ht="20.25">
      <c r="A34" s="76" t="s">
        <v>337</v>
      </c>
      <c r="B34" s="16"/>
      <c r="C34" s="16"/>
      <c r="D34" s="16"/>
      <c r="E34" s="16"/>
      <c r="F34" s="16"/>
      <c r="G34" s="17"/>
      <c r="H34" s="17"/>
      <c r="I34" s="17"/>
      <c r="J34" s="17"/>
    </row>
    <row r="35" spans="1:11">
      <c r="A35" s="77" t="s">
        <v>338</v>
      </c>
      <c r="B35" s="77" t="s">
        <v>339</v>
      </c>
      <c r="C35" s="78"/>
      <c r="D35" s="450" t="s">
        <v>340</v>
      </c>
      <c r="E35" s="450"/>
      <c r="F35" s="450"/>
      <c r="G35" s="450"/>
      <c r="H35" s="450"/>
      <c r="I35" s="450"/>
      <c r="J35" s="450"/>
      <c r="K35" s="450"/>
    </row>
    <row r="36" spans="1:11">
      <c r="A36" s="79" t="s">
        <v>55</v>
      </c>
      <c r="B36" s="80" t="s">
        <v>341</v>
      </c>
      <c r="C36" s="81"/>
      <c r="D36" s="451" t="s">
        <v>342</v>
      </c>
      <c r="E36" s="451"/>
      <c r="F36" s="451"/>
      <c r="G36" s="451"/>
      <c r="H36" s="451"/>
      <c r="I36" s="451"/>
      <c r="J36" s="451"/>
      <c r="K36" s="451"/>
    </row>
    <row r="37" spans="1:11" ht="51">
      <c r="A37" s="82" t="s">
        <v>343</v>
      </c>
      <c r="B37" s="83" t="s">
        <v>344</v>
      </c>
      <c r="C37" s="84"/>
      <c r="D37" s="452" t="s">
        <v>345</v>
      </c>
      <c r="E37" s="452"/>
      <c r="F37" s="452"/>
      <c r="G37" s="452"/>
      <c r="H37" s="452"/>
      <c r="I37" s="452"/>
      <c r="J37" s="452"/>
      <c r="K37" s="452"/>
    </row>
    <row r="38" spans="1:11">
      <c r="A38" s="85" t="s">
        <v>27</v>
      </c>
      <c r="B38" s="86"/>
      <c r="C38" s="87"/>
      <c r="D38" s="439" t="s">
        <v>346</v>
      </c>
      <c r="E38" s="439"/>
      <c r="F38" s="439"/>
      <c r="G38" s="439"/>
      <c r="H38" s="439"/>
      <c r="I38" s="439"/>
      <c r="J38" s="439"/>
      <c r="K38" s="439"/>
    </row>
    <row r="39" spans="1:11">
      <c r="A39" s="88"/>
      <c r="B39" s="89"/>
      <c r="C39" s="89"/>
      <c r="D39" s="19"/>
      <c r="E39" s="89"/>
      <c r="F39" s="89"/>
      <c r="G39" s="90"/>
      <c r="H39" s="90"/>
      <c r="I39" s="15"/>
      <c r="J39" s="15"/>
    </row>
    <row r="40" spans="1:11">
      <c r="A40" s="88"/>
      <c r="B40" s="89"/>
      <c r="C40" s="89"/>
      <c r="D40" s="19"/>
      <c r="E40" s="89"/>
      <c r="F40" s="89"/>
      <c r="G40" s="90"/>
      <c r="H40" s="90"/>
      <c r="I40" s="15"/>
      <c r="J40" s="15"/>
    </row>
    <row r="41" spans="1:11">
      <c r="A41" s="88"/>
      <c r="B41" s="89"/>
      <c r="C41" s="89"/>
      <c r="D41" s="19"/>
      <c r="E41" s="89"/>
      <c r="F41" s="89"/>
      <c r="G41" s="90"/>
      <c r="H41" s="90"/>
      <c r="I41" s="15"/>
      <c r="J41" s="15"/>
    </row>
    <row r="42" spans="1:11">
      <c r="A42" s="91" t="s">
        <v>190</v>
      </c>
      <c r="B42" s="89"/>
      <c r="C42" s="89"/>
      <c r="D42" s="89"/>
      <c r="E42" s="89"/>
      <c r="F42" s="89"/>
      <c r="G42" s="90"/>
      <c r="H42" s="90"/>
      <c r="I42" s="15"/>
      <c r="J42" s="15"/>
    </row>
    <row r="43" spans="1:11">
      <c r="A43" s="91" t="s">
        <v>191</v>
      </c>
      <c r="B43" s="89"/>
      <c r="C43" s="89"/>
      <c r="D43" s="89"/>
      <c r="E43" s="89"/>
      <c r="F43" s="89"/>
      <c r="G43" s="90"/>
      <c r="H43" s="90"/>
      <c r="I43" s="15"/>
      <c r="J43" s="15"/>
    </row>
    <row r="44" spans="1:11">
      <c r="B44" s="16"/>
      <c r="C44" s="16"/>
      <c r="D44" s="16"/>
      <c r="E44" s="16"/>
      <c r="F44" s="16"/>
      <c r="G44" s="18"/>
      <c r="H44" s="18"/>
      <c r="I44" s="18"/>
      <c r="J44" s="18"/>
    </row>
    <row r="45" spans="1:11">
      <c r="A45" s="43" t="s">
        <v>410</v>
      </c>
      <c r="B45" s="12"/>
      <c r="C45" s="12"/>
      <c r="D45" s="12"/>
      <c r="E45" s="12"/>
      <c r="F45" s="12"/>
      <c r="G45" s="13"/>
      <c r="H45" s="13"/>
      <c r="I45" s="13"/>
      <c r="J45" s="13"/>
    </row>
    <row r="46" spans="1:11">
      <c r="B46" s="7"/>
      <c r="C46" s="7"/>
      <c r="D46" s="7"/>
      <c r="E46" s="7"/>
      <c r="F46" s="7"/>
      <c r="G46" s="14"/>
      <c r="H46" s="14"/>
      <c r="I46" s="14"/>
      <c r="J46" s="14"/>
    </row>
    <row r="47" spans="1:11">
      <c r="A47" s="8"/>
      <c r="B47" s="7"/>
      <c r="C47" s="7"/>
      <c r="D47" s="7"/>
      <c r="E47" s="7"/>
      <c r="F47" s="7"/>
      <c r="G47" s="15"/>
      <c r="H47" s="15"/>
      <c r="I47" s="15"/>
      <c r="J47" s="15"/>
    </row>
    <row r="48" spans="1:11">
      <c r="B48" s="16"/>
      <c r="C48" s="16"/>
      <c r="D48" s="16"/>
      <c r="E48" s="16"/>
      <c r="F48" s="16"/>
      <c r="G48" s="18"/>
      <c r="H48" s="18"/>
      <c r="I48" s="18"/>
      <c r="J48" s="18"/>
    </row>
    <row r="49" spans="1:10">
      <c r="B49" s="12"/>
      <c r="C49" s="12"/>
      <c r="D49" s="12"/>
      <c r="E49" s="12"/>
      <c r="F49" s="12"/>
      <c r="G49" s="13"/>
      <c r="H49" s="13"/>
      <c r="I49" s="13"/>
      <c r="J49" s="13"/>
    </row>
    <row r="50" spans="1:10">
      <c r="B50" s="12"/>
      <c r="C50" s="12"/>
      <c r="D50" s="7"/>
      <c r="E50" s="7"/>
      <c r="F50" s="7"/>
      <c r="G50" s="14"/>
      <c r="H50" s="14"/>
      <c r="I50" s="14"/>
      <c r="J50" s="14"/>
    </row>
    <row r="51" spans="1:10">
      <c r="B51" s="12"/>
      <c r="C51" s="12"/>
      <c r="D51" s="7"/>
      <c r="E51" s="7"/>
      <c r="F51" s="7"/>
      <c r="G51" s="15"/>
      <c r="H51" s="15"/>
      <c r="I51" s="15"/>
      <c r="J51" s="15"/>
    </row>
    <row r="52" spans="1:10">
      <c r="B52" s="16"/>
      <c r="C52" s="16"/>
      <c r="D52" s="7"/>
      <c r="E52" s="7"/>
      <c r="F52" s="7"/>
      <c r="G52" s="15"/>
      <c r="H52" s="15"/>
      <c r="I52" s="15"/>
      <c r="J52" s="15"/>
    </row>
    <row r="53" spans="1:10">
      <c r="A53" s="29" t="str">
        <f>"Percentage of patients waiting less than 18 weeks for adjusted waits - "&amp;C7</f>
        <v>Percentage of patients waiting less than 18 weeks for adjusted waits - Scotland</v>
      </c>
      <c r="B53" s="16"/>
      <c r="C53" s="16"/>
      <c r="D53" s="16"/>
      <c r="E53" s="16"/>
      <c r="F53" s="16"/>
      <c r="G53" s="15"/>
      <c r="H53" s="15"/>
      <c r="I53" s="15"/>
      <c r="J53" s="15"/>
    </row>
    <row r="54" spans="1:10">
      <c r="A54" s="28"/>
      <c r="B54" s="16"/>
      <c r="C54" s="16"/>
      <c r="D54" s="16"/>
      <c r="E54" s="16"/>
      <c r="F54" s="16"/>
      <c r="G54" s="18"/>
      <c r="H54" s="18"/>
      <c r="I54" s="18"/>
      <c r="J54" s="18"/>
    </row>
    <row r="55" spans="1:10">
      <c r="B55" s="12"/>
      <c r="C55" s="12"/>
      <c r="D55" s="12"/>
      <c r="E55" s="12"/>
      <c r="F55" s="12"/>
      <c r="G55" s="13"/>
      <c r="H55" s="13"/>
      <c r="I55" s="13"/>
      <c r="J55" s="13"/>
    </row>
    <row r="56" spans="1:10">
      <c r="B56" s="7"/>
      <c r="C56" s="7"/>
      <c r="D56" s="7"/>
      <c r="E56" s="7"/>
      <c r="F56" s="7"/>
      <c r="G56" s="14"/>
      <c r="H56" s="14"/>
      <c r="I56" s="14"/>
      <c r="J56" s="14"/>
    </row>
    <row r="57" spans="1:10">
      <c r="A57" s="29" t="str">
        <f>"Patients seen - adjusted waits - "&amp;C7</f>
        <v>Patients seen - adjusted waits - Scotland</v>
      </c>
      <c r="B57" s="16"/>
      <c r="C57" s="16"/>
      <c r="D57" s="16"/>
      <c r="E57" s="16"/>
      <c r="F57" s="16"/>
      <c r="G57" s="15"/>
      <c r="H57" s="15"/>
      <c r="I57" s="15"/>
      <c r="J57" s="15"/>
    </row>
    <row r="58" spans="1:10">
      <c r="A58" s="29" t="str">
        <f>"Percentage of patients seen 0-18 weeks for adjusted waits - "&amp;C7</f>
        <v>Percentage of patients seen 0-18 weeks for adjusted waits - Scotland</v>
      </c>
      <c r="B58" s="16"/>
      <c r="C58" s="16"/>
      <c r="D58" s="16"/>
      <c r="E58" s="16"/>
      <c r="F58" s="16"/>
      <c r="G58" s="15"/>
      <c r="H58" s="15"/>
      <c r="I58" s="15"/>
      <c r="J58" s="15"/>
    </row>
    <row r="59" spans="1:10">
      <c r="A59" s="29" t="str">
        <f>"Percentage of patients seen - adjusted waits - "&amp;C7</f>
        <v>Percentage of patients seen - adjusted waits - Scotland</v>
      </c>
      <c r="B59" s="16"/>
      <c r="C59" s="16"/>
      <c r="D59" s="16"/>
      <c r="E59" s="16"/>
      <c r="F59" s="16"/>
      <c r="G59" s="17"/>
      <c r="H59" s="17"/>
      <c r="I59" s="17"/>
      <c r="J59" s="17"/>
    </row>
    <row r="60" spans="1:10">
      <c r="B60" s="12"/>
      <c r="C60" s="12"/>
      <c r="D60" s="12"/>
      <c r="E60" s="12"/>
      <c r="F60" s="12"/>
      <c r="G60" s="13"/>
      <c r="H60" s="13"/>
      <c r="I60" s="13"/>
      <c r="J60" s="13"/>
    </row>
    <row r="61" spans="1:10" s="20" customFormat="1">
      <c r="B61" s="21"/>
      <c r="C61" s="21"/>
      <c r="D61" s="21"/>
      <c r="E61" s="21"/>
      <c r="F61" s="21"/>
      <c r="G61" s="22"/>
      <c r="H61" s="22"/>
      <c r="I61" s="22"/>
      <c r="J61" s="22"/>
    </row>
    <row r="62" spans="1:10">
      <c r="B62" s="8"/>
      <c r="C62" s="8"/>
      <c r="D62" s="8"/>
      <c r="E62" s="8"/>
      <c r="F62" s="8"/>
      <c r="G62" s="23"/>
      <c r="H62" s="24"/>
      <c r="I62" s="24"/>
      <c r="J62" s="24"/>
    </row>
    <row r="63" spans="1:10">
      <c r="B63" s="8"/>
      <c r="C63" s="8"/>
      <c r="D63" s="8"/>
      <c r="E63" s="8"/>
      <c r="F63" s="8"/>
      <c r="G63" s="25"/>
      <c r="H63" s="24"/>
      <c r="I63" s="24"/>
      <c r="J63" s="24"/>
    </row>
    <row r="64" spans="1:10">
      <c r="B64" s="8"/>
      <c r="C64" s="8"/>
      <c r="D64" s="8"/>
      <c r="E64" s="8"/>
      <c r="F64" s="8"/>
      <c r="G64" s="23"/>
      <c r="H64" s="24"/>
      <c r="I64" s="24"/>
      <c r="J64" s="24"/>
    </row>
    <row r="65" spans="1:10">
      <c r="A65" s="16"/>
      <c r="B65" s="16"/>
      <c r="C65" s="16"/>
      <c r="D65" s="16"/>
      <c r="E65" s="16"/>
      <c r="F65" s="16"/>
      <c r="G65" s="16"/>
      <c r="H65" s="26"/>
      <c r="I65" s="26"/>
      <c r="J65" s="26"/>
    </row>
    <row r="66" spans="1:10">
      <c r="B66" s="16"/>
      <c r="C66" s="16"/>
      <c r="D66" s="16"/>
      <c r="E66" s="16"/>
      <c r="F66" s="16"/>
      <c r="G66" s="18"/>
      <c r="H66" s="18"/>
      <c r="I66" s="18"/>
      <c r="J66" s="18"/>
    </row>
    <row r="67" spans="1:10">
      <c r="B67" s="12"/>
      <c r="C67" s="12"/>
      <c r="D67" s="12"/>
      <c r="E67" s="12"/>
      <c r="F67" s="12"/>
      <c r="G67" s="13"/>
      <c r="H67" s="13"/>
      <c r="I67" s="13"/>
      <c r="J67" s="13"/>
    </row>
    <row r="68" spans="1:10">
      <c r="B68" s="7"/>
      <c r="C68" s="7"/>
      <c r="D68" s="7"/>
      <c r="E68" s="7"/>
      <c r="F68" s="7"/>
      <c r="G68" s="14"/>
      <c r="H68" s="14"/>
      <c r="I68" s="14"/>
      <c r="J68" s="14"/>
    </row>
    <row r="69" spans="1:10">
      <c r="B69" s="7"/>
      <c r="C69" s="7"/>
      <c r="D69" s="7"/>
      <c r="E69" s="7"/>
      <c r="F69" s="7"/>
      <c r="G69" s="15"/>
      <c r="H69" s="15"/>
      <c r="I69" s="15"/>
      <c r="J69" s="15"/>
    </row>
    <row r="70" spans="1:10">
      <c r="B70" s="7"/>
      <c r="C70" s="7"/>
      <c r="D70" s="7"/>
      <c r="E70" s="7"/>
      <c r="F70" s="7"/>
      <c r="G70" s="15"/>
      <c r="H70" s="15"/>
      <c r="I70" s="15"/>
      <c r="J70" s="15"/>
    </row>
    <row r="71" spans="1:10">
      <c r="B71" s="16"/>
      <c r="C71" s="16"/>
      <c r="D71" s="16"/>
      <c r="E71" s="16"/>
      <c r="F71" s="16"/>
      <c r="G71" s="18"/>
      <c r="H71" s="18"/>
      <c r="I71" s="18"/>
      <c r="J71" s="18"/>
    </row>
    <row r="72" spans="1:10">
      <c r="B72" s="27"/>
      <c r="C72" s="27"/>
      <c r="D72" s="27"/>
      <c r="E72" s="27"/>
      <c r="F72" s="27"/>
      <c r="G72" s="13"/>
      <c r="H72" s="13"/>
      <c r="I72" s="13"/>
      <c r="J72" s="13"/>
    </row>
    <row r="73" spans="1:10">
      <c r="B73" s="28"/>
      <c r="C73" s="28"/>
      <c r="D73" s="28"/>
      <c r="E73" s="28"/>
      <c r="F73" s="28"/>
      <c r="G73" s="14"/>
      <c r="H73" s="14"/>
      <c r="I73" s="14"/>
      <c r="J73" s="14"/>
    </row>
    <row r="74" spans="1:10">
      <c r="G74" s="15"/>
      <c r="H74" s="15"/>
      <c r="I74" s="15"/>
      <c r="J74" s="15"/>
    </row>
    <row r="75" spans="1:10">
      <c r="G75" s="15"/>
      <c r="H75" s="15"/>
      <c r="I75" s="15"/>
      <c r="J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mergeCells count="13">
    <mergeCell ref="D38:K38"/>
    <mergeCell ref="A3:D3"/>
    <mergeCell ref="A6:D6"/>
    <mergeCell ref="C7:D7"/>
    <mergeCell ref="A9:A10"/>
    <mergeCell ref="B9:B10"/>
    <mergeCell ref="C9:C10"/>
    <mergeCell ref="D9:G9"/>
    <mergeCell ref="H9:K9"/>
    <mergeCell ref="A32:K32"/>
    <mergeCell ref="D35:K35"/>
    <mergeCell ref="D36:K36"/>
    <mergeCell ref="D37:K37"/>
  </mergeCells>
  <dataValidations count="2">
    <dataValidation type="list" allowBlank="1" showInputMessage="1" showErrorMessage="1" sqref="C7:D7">
      <formula1>ISLANDBOARDS</formula1>
    </dataValidation>
    <dataValidation type="list" allowBlank="1" showInputMessage="1" showErrorMessage="1" sqref="WVH983026:WVI983026 C65522:D65522 IV65522:IW65522 SR65522:SS65522 ACN65522:ACO65522 AMJ65522:AMK65522 AWF65522:AWG65522 BGB65522:BGC65522 BPX65522:BPY65522 BZT65522:BZU65522 CJP65522:CJQ65522 CTL65522:CTM65522 DDH65522:DDI65522 DND65522:DNE65522 DWZ65522:DXA65522 EGV65522:EGW65522 EQR65522:EQS65522 FAN65522:FAO65522 FKJ65522:FKK65522 FUF65522:FUG65522 GEB65522:GEC65522 GNX65522:GNY65522 GXT65522:GXU65522 HHP65522:HHQ65522 HRL65522:HRM65522 IBH65522:IBI65522 ILD65522:ILE65522 IUZ65522:IVA65522 JEV65522:JEW65522 JOR65522:JOS65522 JYN65522:JYO65522 KIJ65522:KIK65522 KSF65522:KSG65522 LCB65522:LCC65522 LLX65522:LLY65522 LVT65522:LVU65522 MFP65522:MFQ65522 MPL65522:MPM65522 MZH65522:MZI65522 NJD65522:NJE65522 NSZ65522:NTA65522 OCV65522:OCW65522 OMR65522:OMS65522 OWN65522:OWO65522 PGJ65522:PGK65522 PQF65522:PQG65522 QAB65522:QAC65522 QJX65522:QJY65522 QTT65522:QTU65522 RDP65522:RDQ65522 RNL65522:RNM65522 RXH65522:RXI65522 SHD65522:SHE65522 SQZ65522:SRA65522 TAV65522:TAW65522 TKR65522:TKS65522 TUN65522:TUO65522 UEJ65522:UEK65522 UOF65522:UOG65522 UYB65522:UYC65522 VHX65522:VHY65522 VRT65522:VRU65522 WBP65522:WBQ65522 WLL65522:WLM65522 WVH65522:WVI65522 C131058:D131058 IV131058:IW131058 SR131058:SS131058 ACN131058:ACO131058 AMJ131058:AMK131058 AWF131058:AWG131058 BGB131058:BGC131058 BPX131058:BPY131058 BZT131058:BZU131058 CJP131058:CJQ131058 CTL131058:CTM131058 DDH131058:DDI131058 DND131058:DNE131058 DWZ131058:DXA131058 EGV131058:EGW131058 EQR131058:EQS131058 FAN131058:FAO131058 FKJ131058:FKK131058 FUF131058:FUG131058 GEB131058:GEC131058 GNX131058:GNY131058 GXT131058:GXU131058 HHP131058:HHQ131058 HRL131058:HRM131058 IBH131058:IBI131058 ILD131058:ILE131058 IUZ131058:IVA131058 JEV131058:JEW131058 JOR131058:JOS131058 JYN131058:JYO131058 KIJ131058:KIK131058 KSF131058:KSG131058 LCB131058:LCC131058 LLX131058:LLY131058 LVT131058:LVU131058 MFP131058:MFQ131058 MPL131058:MPM131058 MZH131058:MZI131058 NJD131058:NJE131058 NSZ131058:NTA131058 OCV131058:OCW131058 OMR131058:OMS131058 OWN131058:OWO131058 PGJ131058:PGK131058 PQF131058:PQG131058 QAB131058:QAC131058 QJX131058:QJY131058 QTT131058:QTU131058 RDP131058:RDQ131058 RNL131058:RNM131058 RXH131058:RXI131058 SHD131058:SHE131058 SQZ131058:SRA131058 TAV131058:TAW131058 TKR131058:TKS131058 TUN131058:TUO131058 UEJ131058:UEK131058 UOF131058:UOG131058 UYB131058:UYC131058 VHX131058:VHY131058 VRT131058:VRU131058 WBP131058:WBQ131058 WLL131058:WLM131058 WVH131058:WVI131058 C196594:D196594 IV196594:IW196594 SR196594:SS196594 ACN196594:ACO196594 AMJ196594:AMK196594 AWF196594:AWG196594 BGB196594:BGC196594 BPX196594:BPY196594 BZT196594:BZU196594 CJP196594:CJQ196594 CTL196594:CTM196594 DDH196594:DDI196594 DND196594:DNE196594 DWZ196594:DXA196594 EGV196594:EGW196594 EQR196594:EQS196594 FAN196594:FAO196594 FKJ196594:FKK196594 FUF196594:FUG196594 GEB196594:GEC196594 GNX196594:GNY196594 GXT196594:GXU196594 HHP196594:HHQ196594 HRL196594:HRM196594 IBH196594:IBI196594 ILD196594:ILE196594 IUZ196594:IVA196594 JEV196594:JEW196594 JOR196594:JOS196594 JYN196594:JYO196594 KIJ196594:KIK196594 KSF196594:KSG196594 LCB196594:LCC196594 LLX196594:LLY196594 LVT196594:LVU196594 MFP196594:MFQ196594 MPL196594:MPM196594 MZH196594:MZI196594 NJD196594:NJE196594 NSZ196594:NTA196594 OCV196594:OCW196594 OMR196594:OMS196594 OWN196594:OWO196594 PGJ196594:PGK196594 PQF196594:PQG196594 QAB196594:QAC196594 QJX196594:QJY196594 QTT196594:QTU196594 RDP196594:RDQ196594 RNL196594:RNM196594 RXH196594:RXI196594 SHD196594:SHE196594 SQZ196594:SRA196594 TAV196594:TAW196594 TKR196594:TKS196594 TUN196594:TUO196594 UEJ196594:UEK196594 UOF196594:UOG196594 UYB196594:UYC196594 VHX196594:VHY196594 VRT196594:VRU196594 WBP196594:WBQ196594 WLL196594:WLM196594 WVH196594:WVI196594 C262130:D262130 IV262130:IW262130 SR262130:SS262130 ACN262130:ACO262130 AMJ262130:AMK262130 AWF262130:AWG262130 BGB262130:BGC262130 BPX262130:BPY262130 BZT262130:BZU262130 CJP262130:CJQ262130 CTL262130:CTM262130 DDH262130:DDI262130 DND262130:DNE262130 DWZ262130:DXA262130 EGV262130:EGW262130 EQR262130:EQS262130 FAN262130:FAO262130 FKJ262130:FKK262130 FUF262130:FUG262130 GEB262130:GEC262130 GNX262130:GNY262130 GXT262130:GXU262130 HHP262130:HHQ262130 HRL262130:HRM262130 IBH262130:IBI262130 ILD262130:ILE262130 IUZ262130:IVA262130 JEV262130:JEW262130 JOR262130:JOS262130 JYN262130:JYO262130 KIJ262130:KIK262130 KSF262130:KSG262130 LCB262130:LCC262130 LLX262130:LLY262130 LVT262130:LVU262130 MFP262130:MFQ262130 MPL262130:MPM262130 MZH262130:MZI262130 NJD262130:NJE262130 NSZ262130:NTA262130 OCV262130:OCW262130 OMR262130:OMS262130 OWN262130:OWO262130 PGJ262130:PGK262130 PQF262130:PQG262130 QAB262130:QAC262130 QJX262130:QJY262130 QTT262130:QTU262130 RDP262130:RDQ262130 RNL262130:RNM262130 RXH262130:RXI262130 SHD262130:SHE262130 SQZ262130:SRA262130 TAV262130:TAW262130 TKR262130:TKS262130 TUN262130:TUO262130 UEJ262130:UEK262130 UOF262130:UOG262130 UYB262130:UYC262130 VHX262130:VHY262130 VRT262130:VRU262130 WBP262130:WBQ262130 WLL262130:WLM262130 WVH262130:WVI262130 C327666:D327666 IV327666:IW327666 SR327666:SS327666 ACN327666:ACO327666 AMJ327666:AMK327666 AWF327666:AWG327666 BGB327666:BGC327666 BPX327666:BPY327666 BZT327666:BZU327666 CJP327666:CJQ327666 CTL327666:CTM327666 DDH327666:DDI327666 DND327666:DNE327666 DWZ327666:DXA327666 EGV327666:EGW327666 EQR327666:EQS327666 FAN327666:FAO327666 FKJ327666:FKK327666 FUF327666:FUG327666 GEB327666:GEC327666 GNX327666:GNY327666 GXT327666:GXU327666 HHP327666:HHQ327666 HRL327666:HRM327666 IBH327666:IBI327666 ILD327666:ILE327666 IUZ327666:IVA327666 JEV327666:JEW327666 JOR327666:JOS327666 JYN327666:JYO327666 KIJ327666:KIK327666 KSF327666:KSG327666 LCB327666:LCC327666 LLX327666:LLY327666 LVT327666:LVU327666 MFP327666:MFQ327666 MPL327666:MPM327666 MZH327666:MZI327666 NJD327666:NJE327666 NSZ327666:NTA327666 OCV327666:OCW327666 OMR327666:OMS327666 OWN327666:OWO327666 PGJ327666:PGK327666 PQF327666:PQG327666 QAB327666:QAC327666 QJX327666:QJY327666 QTT327666:QTU327666 RDP327666:RDQ327666 RNL327666:RNM327666 RXH327666:RXI327666 SHD327666:SHE327666 SQZ327666:SRA327666 TAV327666:TAW327666 TKR327666:TKS327666 TUN327666:TUO327666 UEJ327666:UEK327666 UOF327666:UOG327666 UYB327666:UYC327666 VHX327666:VHY327666 VRT327666:VRU327666 WBP327666:WBQ327666 WLL327666:WLM327666 WVH327666:WVI327666 C393202:D393202 IV393202:IW393202 SR393202:SS393202 ACN393202:ACO393202 AMJ393202:AMK393202 AWF393202:AWG393202 BGB393202:BGC393202 BPX393202:BPY393202 BZT393202:BZU393202 CJP393202:CJQ393202 CTL393202:CTM393202 DDH393202:DDI393202 DND393202:DNE393202 DWZ393202:DXA393202 EGV393202:EGW393202 EQR393202:EQS393202 FAN393202:FAO393202 FKJ393202:FKK393202 FUF393202:FUG393202 GEB393202:GEC393202 GNX393202:GNY393202 GXT393202:GXU393202 HHP393202:HHQ393202 HRL393202:HRM393202 IBH393202:IBI393202 ILD393202:ILE393202 IUZ393202:IVA393202 JEV393202:JEW393202 JOR393202:JOS393202 JYN393202:JYO393202 KIJ393202:KIK393202 KSF393202:KSG393202 LCB393202:LCC393202 LLX393202:LLY393202 LVT393202:LVU393202 MFP393202:MFQ393202 MPL393202:MPM393202 MZH393202:MZI393202 NJD393202:NJE393202 NSZ393202:NTA393202 OCV393202:OCW393202 OMR393202:OMS393202 OWN393202:OWO393202 PGJ393202:PGK393202 PQF393202:PQG393202 QAB393202:QAC393202 QJX393202:QJY393202 QTT393202:QTU393202 RDP393202:RDQ393202 RNL393202:RNM393202 RXH393202:RXI393202 SHD393202:SHE393202 SQZ393202:SRA393202 TAV393202:TAW393202 TKR393202:TKS393202 TUN393202:TUO393202 UEJ393202:UEK393202 UOF393202:UOG393202 UYB393202:UYC393202 VHX393202:VHY393202 VRT393202:VRU393202 WBP393202:WBQ393202 WLL393202:WLM393202 WVH393202:WVI393202 C458738:D458738 IV458738:IW458738 SR458738:SS458738 ACN458738:ACO458738 AMJ458738:AMK458738 AWF458738:AWG458738 BGB458738:BGC458738 BPX458738:BPY458738 BZT458738:BZU458738 CJP458738:CJQ458738 CTL458738:CTM458738 DDH458738:DDI458738 DND458738:DNE458738 DWZ458738:DXA458738 EGV458738:EGW458738 EQR458738:EQS458738 FAN458738:FAO458738 FKJ458738:FKK458738 FUF458738:FUG458738 GEB458738:GEC458738 GNX458738:GNY458738 GXT458738:GXU458738 HHP458738:HHQ458738 HRL458738:HRM458738 IBH458738:IBI458738 ILD458738:ILE458738 IUZ458738:IVA458738 JEV458738:JEW458738 JOR458738:JOS458738 JYN458738:JYO458738 KIJ458738:KIK458738 KSF458738:KSG458738 LCB458738:LCC458738 LLX458738:LLY458738 LVT458738:LVU458738 MFP458738:MFQ458738 MPL458738:MPM458738 MZH458738:MZI458738 NJD458738:NJE458738 NSZ458738:NTA458738 OCV458738:OCW458738 OMR458738:OMS458738 OWN458738:OWO458738 PGJ458738:PGK458738 PQF458738:PQG458738 QAB458738:QAC458738 QJX458738:QJY458738 QTT458738:QTU458738 RDP458738:RDQ458738 RNL458738:RNM458738 RXH458738:RXI458738 SHD458738:SHE458738 SQZ458738:SRA458738 TAV458738:TAW458738 TKR458738:TKS458738 TUN458738:TUO458738 UEJ458738:UEK458738 UOF458738:UOG458738 UYB458738:UYC458738 VHX458738:VHY458738 VRT458738:VRU458738 WBP458738:WBQ458738 WLL458738:WLM458738 WVH458738:WVI458738 C524274:D524274 IV524274:IW524274 SR524274:SS524274 ACN524274:ACO524274 AMJ524274:AMK524274 AWF524274:AWG524274 BGB524274:BGC524274 BPX524274:BPY524274 BZT524274:BZU524274 CJP524274:CJQ524274 CTL524274:CTM524274 DDH524274:DDI524274 DND524274:DNE524274 DWZ524274:DXA524274 EGV524274:EGW524274 EQR524274:EQS524274 FAN524274:FAO524274 FKJ524274:FKK524274 FUF524274:FUG524274 GEB524274:GEC524274 GNX524274:GNY524274 GXT524274:GXU524274 HHP524274:HHQ524274 HRL524274:HRM524274 IBH524274:IBI524274 ILD524274:ILE524274 IUZ524274:IVA524274 JEV524274:JEW524274 JOR524274:JOS524274 JYN524274:JYO524274 KIJ524274:KIK524274 KSF524274:KSG524274 LCB524274:LCC524274 LLX524274:LLY524274 LVT524274:LVU524274 MFP524274:MFQ524274 MPL524274:MPM524274 MZH524274:MZI524274 NJD524274:NJE524274 NSZ524274:NTA524274 OCV524274:OCW524274 OMR524274:OMS524274 OWN524274:OWO524274 PGJ524274:PGK524274 PQF524274:PQG524274 QAB524274:QAC524274 QJX524274:QJY524274 QTT524274:QTU524274 RDP524274:RDQ524274 RNL524274:RNM524274 RXH524274:RXI524274 SHD524274:SHE524274 SQZ524274:SRA524274 TAV524274:TAW524274 TKR524274:TKS524274 TUN524274:TUO524274 UEJ524274:UEK524274 UOF524274:UOG524274 UYB524274:UYC524274 VHX524274:VHY524274 VRT524274:VRU524274 WBP524274:WBQ524274 WLL524274:WLM524274 WVH524274:WVI524274 C589810:D589810 IV589810:IW589810 SR589810:SS589810 ACN589810:ACO589810 AMJ589810:AMK589810 AWF589810:AWG589810 BGB589810:BGC589810 BPX589810:BPY589810 BZT589810:BZU589810 CJP589810:CJQ589810 CTL589810:CTM589810 DDH589810:DDI589810 DND589810:DNE589810 DWZ589810:DXA589810 EGV589810:EGW589810 EQR589810:EQS589810 FAN589810:FAO589810 FKJ589810:FKK589810 FUF589810:FUG589810 GEB589810:GEC589810 GNX589810:GNY589810 GXT589810:GXU589810 HHP589810:HHQ589810 HRL589810:HRM589810 IBH589810:IBI589810 ILD589810:ILE589810 IUZ589810:IVA589810 JEV589810:JEW589810 JOR589810:JOS589810 JYN589810:JYO589810 KIJ589810:KIK589810 KSF589810:KSG589810 LCB589810:LCC589810 LLX589810:LLY589810 LVT589810:LVU589810 MFP589810:MFQ589810 MPL589810:MPM589810 MZH589810:MZI589810 NJD589810:NJE589810 NSZ589810:NTA589810 OCV589810:OCW589810 OMR589810:OMS589810 OWN589810:OWO589810 PGJ589810:PGK589810 PQF589810:PQG589810 QAB589810:QAC589810 QJX589810:QJY589810 QTT589810:QTU589810 RDP589810:RDQ589810 RNL589810:RNM589810 RXH589810:RXI589810 SHD589810:SHE589810 SQZ589810:SRA589810 TAV589810:TAW589810 TKR589810:TKS589810 TUN589810:TUO589810 UEJ589810:UEK589810 UOF589810:UOG589810 UYB589810:UYC589810 VHX589810:VHY589810 VRT589810:VRU589810 WBP589810:WBQ589810 WLL589810:WLM589810 WVH589810:WVI589810 C655346:D655346 IV655346:IW655346 SR655346:SS655346 ACN655346:ACO655346 AMJ655346:AMK655346 AWF655346:AWG655346 BGB655346:BGC655346 BPX655346:BPY655346 BZT655346:BZU655346 CJP655346:CJQ655346 CTL655346:CTM655346 DDH655346:DDI655346 DND655346:DNE655346 DWZ655346:DXA655346 EGV655346:EGW655346 EQR655346:EQS655346 FAN655346:FAO655346 FKJ655346:FKK655346 FUF655346:FUG655346 GEB655346:GEC655346 GNX655346:GNY655346 GXT655346:GXU655346 HHP655346:HHQ655346 HRL655346:HRM655346 IBH655346:IBI655346 ILD655346:ILE655346 IUZ655346:IVA655346 JEV655346:JEW655346 JOR655346:JOS655346 JYN655346:JYO655346 KIJ655346:KIK655346 KSF655346:KSG655346 LCB655346:LCC655346 LLX655346:LLY655346 LVT655346:LVU655346 MFP655346:MFQ655346 MPL655346:MPM655346 MZH655346:MZI655346 NJD655346:NJE655346 NSZ655346:NTA655346 OCV655346:OCW655346 OMR655346:OMS655346 OWN655346:OWO655346 PGJ655346:PGK655346 PQF655346:PQG655346 QAB655346:QAC655346 QJX655346:QJY655346 QTT655346:QTU655346 RDP655346:RDQ655346 RNL655346:RNM655346 RXH655346:RXI655346 SHD655346:SHE655346 SQZ655346:SRA655346 TAV655346:TAW655346 TKR655346:TKS655346 TUN655346:TUO655346 UEJ655346:UEK655346 UOF655346:UOG655346 UYB655346:UYC655346 VHX655346:VHY655346 VRT655346:VRU655346 WBP655346:WBQ655346 WLL655346:WLM655346 WVH655346:WVI655346 C720882:D720882 IV720882:IW720882 SR720882:SS720882 ACN720882:ACO720882 AMJ720882:AMK720882 AWF720882:AWG720882 BGB720882:BGC720882 BPX720882:BPY720882 BZT720882:BZU720882 CJP720882:CJQ720882 CTL720882:CTM720882 DDH720882:DDI720882 DND720882:DNE720882 DWZ720882:DXA720882 EGV720882:EGW720882 EQR720882:EQS720882 FAN720882:FAO720882 FKJ720882:FKK720882 FUF720882:FUG720882 GEB720882:GEC720882 GNX720882:GNY720882 GXT720882:GXU720882 HHP720882:HHQ720882 HRL720882:HRM720882 IBH720882:IBI720882 ILD720882:ILE720882 IUZ720882:IVA720882 JEV720882:JEW720882 JOR720882:JOS720882 JYN720882:JYO720882 KIJ720882:KIK720882 KSF720882:KSG720882 LCB720882:LCC720882 LLX720882:LLY720882 LVT720882:LVU720882 MFP720882:MFQ720882 MPL720882:MPM720882 MZH720882:MZI720882 NJD720882:NJE720882 NSZ720882:NTA720882 OCV720882:OCW720882 OMR720882:OMS720882 OWN720882:OWO720882 PGJ720882:PGK720882 PQF720882:PQG720882 QAB720882:QAC720882 QJX720882:QJY720882 QTT720882:QTU720882 RDP720882:RDQ720882 RNL720882:RNM720882 RXH720882:RXI720882 SHD720882:SHE720882 SQZ720882:SRA720882 TAV720882:TAW720882 TKR720882:TKS720882 TUN720882:TUO720882 UEJ720882:UEK720882 UOF720882:UOG720882 UYB720882:UYC720882 VHX720882:VHY720882 VRT720882:VRU720882 WBP720882:WBQ720882 WLL720882:WLM720882 WVH720882:WVI720882 C786418:D786418 IV786418:IW786418 SR786418:SS786418 ACN786418:ACO786418 AMJ786418:AMK786418 AWF786418:AWG786418 BGB786418:BGC786418 BPX786418:BPY786418 BZT786418:BZU786418 CJP786418:CJQ786418 CTL786418:CTM786418 DDH786418:DDI786418 DND786418:DNE786418 DWZ786418:DXA786418 EGV786418:EGW786418 EQR786418:EQS786418 FAN786418:FAO786418 FKJ786418:FKK786418 FUF786418:FUG786418 GEB786418:GEC786418 GNX786418:GNY786418 GXT786418:GXU786418 HHP786418:HHQ786418 HRL786418:HRM786418 IBH786418:IBI786418 ILD786418:ILE786418 IUZ786418:IVA786418 JEV786418:JEW786418 JOR786418:JOS786418 JYN786418:JYO786418 KIJ786418:KIK786418 KSF786418:KSG786418 LCB786418:LCC786418 LLX786418:LLY786418 LVT786418:LVU786418 MFP786418:MFQ786418 MPL786418:MPM786418 MZH786418:MZI786418 NJD786418:NJE786418 NSZ786418:NTA786418 OCV786418:OCW786418 OMR786418:OMS786418 OWN786418:OWO786418 PGJ786418:PGK786418 PQF786418:PQG786418 QAB786418:QAC786418 QJX786418:QJY786418 QTT786418:QTU786418 RDP786418:RDQ786418 RNL786418:RNM786418 RXH786418:RXI786418 SHD786418:SHE786418 SQZ786418:SRA786418 TAV786418:TAW786418 TKR786418:TKS786418 TUN786418:TUO786418 UEJ786418:UEK786418 UOF786418:UOG786418 UYB786418:UYC786418 VHX786418:VHY786418 VRT786418:VRU786418 WBP786418:WBQ786418 WLL786418:WLM786418 WVH786418:WVI786418 C851954:D851954 IV851954:IW851954 SR851954:SS851954 ACN851954:ACO851954 AMJ851954:AMK851954 AWF851954:AWG851954 BGB851954:BGC851954 BPX851954:BPY851954 BZT851954:BZU851954 CJP851954:CJQ851954 CTL851954:CTM851954 DDH851954:DDI851954 DND851954:DNE851954 DWZ851954:DXA851954 EGV851954:EGW851954 EQR851954:EQS851954 FAN851954:FAO851954 FKJ851954:FKK851954 FUF851954:FUG851954 GEB851954:GEC851954 GNX851954:GNY851954 GXT851954:GXU851954 HHP851954:HHQ851954 HRL851954:HRM851954 IBH851954:IBI851954 ILD851954:ILE851954 IUZ851954:IVA851954 JEV851954:JEW851954 JOR851954:JOS851954 JYN851954:JYO851954 KIJ851954:KIK851954 KSF851954:KSG851954 LCB851954:LCC851954 LLX851954:LLY851954 LVT851954:LVU851954 MFP851954:MFQ851954 MPL851954:MPM851954 MZH851954:MZI851954 NJD851954:NJE851954 NSZ851954:NTA851954 OCV851954:OCW851954 OMR851954:OMS851954 OWN851954:OWO851954 PGJ851954:PGK851954 PQF851954:PQG851954 QAB851954:QAC851954 QJX851954:QJY851954 QTT851954:QTU851954 RDP851954:RDQ851954 RNL851954:RNM851954 RXH851954:RXI851954 SHD851954:SHE851954 SQZ851954:SRA851954 TAV851954:TAW851954 TKR851954:TKS851954 TUN851954:TUO851954 UEJ851954:UEK851954 UOF851954:UOG851954 UYB851954:UYC851954 VHX851954:VHY851954 VRT851954:VRU851954 WBP851954:WBQ851954 WLL851954:WLM851954 WVH851954:WVI851954 C917490:D917490 IV917490:IW917490 SR917490:SS917490 ACN917490:ACO917490 AMJ917490:AMK917490 AWF917490:AWG917490 BGB917490:BGC917490 BPX917490:BPY917490 BZT917490:BZU917490 CJP917490:CJQ917490 CTL917490:CTM917490 DDH917490:DDI917490 DND917490:DNE917490 DWZ917490:DXA917490 EGV917490:EGW917490 EQR917490:EQS917490 FAN917490:FAO917490 FKJ917490:FKK917490 FUF917490:FUG917490 GEB917490:GEC917490 GNX917490:GNY917490 GXT917490:GXU917490 HHP917490:HHQ917490 HRL917490:HRM917490 IBH917490:IBI917490 ILD917490:ILE917490 IUZ917490:IVA917490 JEV917490:JEW917490 JOR917490:JOS917490 JYN917490:JYO917490 KIJ917490:KIK917490 KSF917490:KSG917490 LCB917490:LCC917490 LLX917490:LLY917490 LVT917490:LVU917490 MFP917490:MFQ917490 MPL917490:MPM917490 MZH917490:MZI917490 NJD917490:NJE917490 NSZ917490:NTA917490 OCV917490:OCW917490 OMR917490:OMS917490 OWN917490:OWO917490 PGJ917490:PGK917490 PQF917490:PQG917490 QAB917490:QAC917490 QJX917490:QJY917490 QTT917490:QTU917490 RDP917490:RDQ917490 RNL917490:RNM917490 RXH917490:RXI917490 SHD917490:SHE917490 SQZ917490:SRA917490 TAV917490:TAW917490 TKR917490:TKS917490 TUN917490:TUO917490 UEJ917490:UEK917490 UOF917490:UOG917490 UYB917490:UYC917490 VHX917490:VHY917490 VRT917490:VRU917490 WBP917490:WBQ917490 WLL917490:WLM917490 WVH917490:WVI917490 C983026:D983026 IV983026:IW983026 SR983026:SS983026 ACN983026:ACO983026 AMJ983026:AMK983026 AWF983026:AWG983026 BGB983026:BGC983026 BPX983026:BPY983026 BZT983026:BZU983026 CJP983026:CJQ983026 CTL983026:CTM983026 DDH983026:DDI983026 DND983026:DNE983026 DWZ983026:DXA983026 EGV983026:EGW983026 EQR983026:EQS983026 FAN983026:FAO983026 FKJ983026:FKK983026 FUF983026:FUG983026 GEB983026:GEC983026 GNX983026:GNY983026 GXT983026:GXU983026 HHP983026:HHQ983026 HRL983026:HRM983026 IBH983026:IBI983026 ILD983026:ILE983026 IUZ983026:IVA983026 JEV983026:JEW983026 JOR983026:JOS983026 JYN983026:JYO983026 KIJ983026:KIK983026 KSF983026:KSG983026 LCB983026:LCC983026 LLX983026:LLY983026 LVT983026:LVU983026 MFP983026:MFQ983026 MPL983026:MPM983026 MZH983026:MZI983026 NJD983026:NJE983026 NSZ983026:NTA983026 OCV983026:OCW983026 OMR983026:OMS983026 OWN983026:OWO983026 PGJ983026:PGK983026 PQF983026:PQG983026 QAB983026:QAC983026 QJX983026:QJY983026 QTT983026:QTU983026 RDP983026:RDQ983026 RNL983026:RNM983026 RXH983026:RXI983026 SHD983026:SHE983026 SQZ983026:SRA983026 TAV983026:TAW983026 TKR983026:TKS983026 TUN983026:TUO983026 UEJ983026:UEK983026 UOF983026:UOG983026 UYB983026:UYC983026 VHX983026:VHY983026 VRT983026:VRU983026 WBP983026:WBQ983026 WLL983026:WLM983026 IV7:IW7 SR7:SS7 ACN7:ACO7 AMJ7:AMK7 AWF7:AWG7 BGB7:BGC7 BPX7:BPY7 BZT7:BZU7 CJP7:CJQ7 CTL7:CTM7 DDH7:DDI7 DND7:DNE7 DWZ7:DXA7 EGV7:EGW7 EQR7:EQS7 FAN7:FAO7 FKJ7:FKK7 FUF7:FUG7 GEB7:GEC7 GNX7:GNY7 GXT7:GXU7 HHP7:HHQ7 HRL7:HRM7 IBH7:IBI7 ILD7:ILE7 IUZ7:IVA7 JEV7:JEW7 JOR7:JOS7 JYN7:JYO7 KIJ7:KIK7 KSF7:KSG7 LCB7:LCC7 LLX7:LLY7 LVT7:LVU7 MFP7:MFQ7 MPL7:MPM7 MZH7:MZI7 NJD7:NJE7 NSZ7:NTA7 OCV7:OCW7 OMR7:OMS7 OWN7:OWO7 PGJ7:PGK7 PQF7:PQG7 QAB7:QAC7 QJX7:QJY7 QTT7:QTU7 RDP7:RDQ7 RNL7:RNM7 RXH7:RXI7 SHD7:SHE7 SQZ7:SRA7 TAV7:TAW7 TKR7:TKS7 TUN7:TUO7 UEJ7:UEK7 UOF7:UOG7 UYB7:UYC7 VHX7:VHY7 VRT7:VRU7 WBP7:WBQ7 WLL7:WLM7 WVH7:WVI7">
      <formula1>NHSBOARDS11</formula1>
    </dataValidation>
  </dataValidations>
  <hyperlinks>
    <hyperlink ref="A5" r:id="rId1"/>
  </hyperlinks>
  <pageMargins left="0.7" right="0.7" top="0.75" bottom="0.75" header="0.3" footer="0.3"/>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N117"/>
  <sheetViews>
    <sheetView topLeftCell="A7" workbookViewId="0">
      <selection activeCell="C17" sqref="C17:C18"/>
    </sheetView>
  </sheetViews>
  <sheetFormatPr defaultRowHeight="15"/>
  <cols>
    <col min="1" max="1" width="18.28515625" style="6" customWidth="1"/>
    <col min="2" max="2" width="13.5703125" style="6" customWidth="1"/>
    <col min="3" max="3" width="15.140625" style="6" customWidth="1"/>
    <col min="4" max="5" width="12.85546875" style="6" customWidth="1"/>
    <col min="6" max="6" width="12.5703125" style="6" customWidth="1"/>
    <col min="7" max="7" width="10.85546875" style="6" customWidth="1"/>
    <col min="8" max="10" width="14.5703125" style="6" customWidth="1"/>
    <col min="11" max="11" width="12.85546875" style="6" customWidth="1"/>
    <col min="12" max="256" width="9.140625" style="6"/>
    <col min="257" max="257" width="18.28515625" style="6" customWidth="1"/>
    <col min="258" max="258" width="13.5703125" style="6" customWidth="1"/>
    <col min="259" max="259" width="15.140625" style="6" customWidth="1"/>
    <col min="260" max="261" width="12.85546875" style="6" customWidth="1"/>
    <col min="262" max="262" width="12.5703125" style="6" customWidth="1"/>
    <col min="263" max="263" width="10.85546875" style="6" customWidth="1"/>
    <col min="264" max="266" width="14.5703125" style="6" customWidth="1"/>
    <col min="267" max="267" width="12.85546875" style="6" customWidth="1"/>
    <col min="268" max="512" width="9.140625" style="6"/>
    <col min="513" max="513" width="18.28515625" style="6" customWidth="1"/>
    <col min="514" max="514" width="13.5703125" style="6" customWidth="1"/>
    <col min="515" max="515" width="15.140625" style="6" customWidth="1"/>
    <col min="516" max="517" width="12.85546875" style="6" customWidth="1"/>
    <col min="518" max="518" width="12.5703125" style="6" customWidth="1"/>
    <col min="519" max="519" width="10.85546875" style="6" customWidth="1"/>
    <col min="520" max="522" width="14.5703125" style="6" customWidth="1"/>
    <col min="523" max="523" width="12.85546875" style="6" customWidth="1"/>
    <col min="524" max="768" width="9.140625" style="6"/>
    <col min="769" max="769" width="18.28515625" style="6" customWidth="1"/>
    <col min="770" max="770" width="13.5703125" style="6" customWidth="1"/>
    <col min="771" max="771" width="15.140625" style="6" customWidth="1"/>
    <col min="772" max="773" width="12.85546875" style="6" customWidth="1"/>
    <col min="774" max="774" width="12.5703125" style="6" customWidth="1"/>
    <col min="775" max="775" width="10.85546875" style="6" customWidth="1"/>
    <col min="776" max="778" width="14.5703125" style="6" customWidth="1"/>
    <col min="779" max="779" width="12.85546875" style="6" customWidth="1"/>
    <col min="780" max="1024" width="9.140625" style="6"/>
    <col min="1025" max="1025" width="18.28515625" style="6" customWidth="1"/>
    <col min="1026" max="1026" width="13.5703125" style="6" customWidth="1"/>
    <col min="1027" max="1027" width="15.140625" style="6" customWidth="1"/>
    <col min="1028" max="1029" width="12.85546875" style="6" customWidth="1"/>
    <col min="1030" max="1030" width="12.5703125" style="6" customWidth="1"/>
    <col min="1031" max="1031" width="10.85546875" style="6" customWidth="1"/>
    <col min="1032" max="1034" width="14.5703125" style="6" customWidth="1"/>
    <col min="1035" max="1035" width="12.85546875" style="6" customWidth="1"/>
    <col min="1036" max="1280" width="9.140625" style="6"/>
    <col min="1281" max="1281" width="18.28515625" style="6" customWidth="1"/>
    <col min="1282" max="1282" width="13.5703125" style="6" customWidth="1"/>
    <col min="1283" max="1283" width="15.140625" style="6" customWidth="1"/>
    <col min="1284" max="1285" width="12.85546875" style="6" customWidth="1"/>
    <col min="1286" max="1286" width="12.5703125" style="6" customWidth="1"/>
    <col min="1287" max="1287" width="10.85546875" style="6" customWidth="1"/>
    <col min="1288" max="1290" width="14.5703125" style="6" customWidth="1"/>
    <col min="1291" max="1291" width="12.85546875" style="6" customWidth="1"/>
    <col min="1292" max="1536" width="9.140625" style="6"/>
    <col min="1537" max="1537" width="18.28515625" style="6" customWidth="1"/>
    <col min="1538" max="1538" width="13.5703125" style="6" customWidth="1"/>
    <col min="1539" max="1539" width="15.140625" style="6" customWidth="1"/>
    <col min="1540" max="1541" width="12.85546875" style="6" customWidth="1"/>
    <col min="1542" max="1542" width="12.5703125" style="6" customWidth="1"/>
    <col min="1543" max="1543" width="10.85546875" style="6" customWidth="1"/>
    <col min="1544" max="1546" width="14.5703125" style="6" customWidth="1"/>
    <col min="1547" max="1547" width="12.85546875" style="6" customWidth="1"/>
    <col min="1548" max="1792" width="9.140625" style="6"/>
    <col min="1793" max="1793" width="18.28515625" style="6" customWidth="1"/>
    <col min="1794" max="1794" width="13.5703125" style="6" customWidth="1"/>
    <col min="1795" max="1795" width="15.140625" style="6" customWidth="1"/>
    <col min="1796" max="1797" width="12.85546875" style="6" customWidth="1"/>
    <col min="1798" max="1798" width="12.5703125" style="6" customWidth="1"/>
    <col min="1799" max="1799" width="10.85546875" style="6" customWidth="1"/>
    <col min="1800" max="1802" width="14.5703125" style="6" customWidth="1"/>
    <col min="1803" max="1803" width="12.85546875" style="6" customWidth="1"/>
    <col min="1804" max="2048" width="9.140625" style="6"/>
    <col min="2049" max="2049" width="18.28515625" style="6" customWidth="1"/>
    <col min="2050" max="2050" width="13.5703125" style="6" customWidth="1"/>
    <col min="2051" max="2051" width="15.140625" style="6" customWidth="1"/>
    <col min="2052" max="2053" width="12.85546875" style="6" customWidth="1"/>
    <col min="2054" max="2054" width="12.5703125" style="6" customWidth="1"/>
    <col min="2055" max="2055" width="10.85546875" style="6" customWidth="1"/>
    <col min="2056" max="2058" width="14.5703125" style="6" customWidth="1"/>
    <col min="2059" max="2059" width="12.85546875" style="6" customWidth="1"/>
    <col min="2060" max="2304" width="9.140625" style="6"/>
    <col min="2305" max="2305" width="18.28515625" style="6" customWidth="1"/>
    <col min="2306" max="2306" width="13.5703125" style="6" customWidth="1"/>
    <col min="2307" max="2307" width="15.140625" style="6" customWidth="1"/>
    <col min="2308" max="2309" width="12.85546875" style="6" customWidth="1"/>
    <col min="2310" max="2310" width="12.5703125" style="6" customWidth="1"/>
    <col min="2311" max="2311" width="10.85546875" style="6" customWidth="1"/>
    <col min="2312" max="2314" width="14.5703125" style="6" customWidth="1"/>
    <col min="2315" max="2315" width="12.85546875" style="6" customWidth="1"/>
    <col min="2316" max="2560" width="9.140625" style="6"/>
    <col min="2561" max="2561" width="18.28515625" style="6" customWidth="1"/>
    <col min="2562" max="2562" width="13.5703125" style="6" customWidth="1"/>
    <col min="2563" max="2563" width="15.140625" style="6" customWidth="1"/>
    <col min="2564" max="2565" width="12.85546875" style="6" customWidth="1"/>
    <col min="2566" max="2566" width="12.5703125" style="6" customWidth="1"/>
    <col min="2567" max="2567" width="10.85546875" style="6" customWidth="1"/>
    <col min="2568" max="2570" width="14.5703125" style="6" customWidth="1"/>
    <col min="2571" max="2571" width="12.85546875" style="6" customWidth="1"/>
    <col min="2572" max="2816" width="9.140625" style="6"/>
    <col min="2817" max="2817" width="18.28515625" style="6" customWidth="1"/>
    <col min="2818" max="2818" width="13.5703125" style="6" customWidth="1"/>
    <col min="2819" max="2819" width="15.140625" style="6" customWidth="1"/>
    <col min="2820" max="2821" width="12.85546875" style="6" customWidth="1"/>
    <col min="2822" max="2822" width="12.5703125" style="6" customWidth="1"/>
    <col min="2823" max="2823" width="10.85546875" style="6" customWidth="1"/>
    <col min="2824" max="2826" width="14.5703125" style="6" customWidth="1"/>
    <col min="2827" max="2827" width="12.85546875" style="6" customWidth="1"/>
    <col min="2828" max="3072" width="9.140625" style="6"/>
    <col min="3073" max="3073" width="18.28515625" style="6" customWidth="1"/>
    <col min="3074" max="3074" width="13.5703125" style="6" customWidth="1"/>
    <col min="3075" max="3075" width="15.140625" style="6" customWidth="1"/>
    <col min="3076" max="3077" width="12.85546875" style="6" customWidth="1"/>
    <col min="3078" max="3078" width="12.5703125" style="6" customWidth="1"/>
    <col min="3079" max="3079" width="10.85546875" style="6" customWidth="1"/>
    <col min="3080" max="3082" width="14.5703125" style="6" customWidth="1"/>
    <col min="3083" max="3083" width="12.85546875" style="6" customWidth="1"/>
    <col min="3084" max="3328" width="9.140625" style="6"/>
    <col min="3329" max="3329" width="18.28515625" style="6" customWidth="1"/>
    <col min="3330" max="3330" width="13.5703125" style="6" customWidth="1"/>
    <col min="3331" max="3331" width="15.140625" style="6" customWidth="1"/>
    <col min="3332" max="3333" width="12.85546875" style="6" customWidth="1"/>
    <col min="3334" max="3334" width="12.5703125" style="6" customWidth="1"/>
    <col min="3335" max="3335" width="10.85546875" style="6" customWidth="1"/>
    <col min="3336" max="3338" width="14.5703125" style="6" customWidth="1"/>
    <col min="3339" max="3339" width="12.85546875" style="6" customWidth="1"/>
    <col min="3340" max="3584" width="9.140625" style="6"/>
    <col min="3585" max="3585" width="18.28515625" style="6" customWidth="1"/>
    <col min="3586" max="3586" width="13.5703125" style="6" customWidth="1"/>
    <col min="3587" max="3587" width="15.140625" style="6" customWidth="1"/>
    <col min="3588" max="3589" width="12.85546875" style="6" customWidth="1"/>
    <col min="3590" max="3590" width="12.5703125" style="6" customWidth="1"/>
    <col min="3591" max="3591" width="10.85546875" style="6" customWidth="1"/>
    <col min="3592" max="3594" width="14.5703125" style="6" customWidth="1"/>
    <col min="3595" max="3595" width="12.85546875" style="6" customWidth="1"/>
    <col min="3596" max="3840" width="9.140625" style="6"/>
    <col min="3841" max="3841" width="18.28515625" style="6" customWidth="1"/>
    <col min="3842" max="3842" width="13.5703125" style="6" customWidth="1"/>
    <col min="3843" max="3843" width="15.140625" style="6" customWidth="1"/>
    <col min="3844" max="3845" width="12.85546875" style="6" customWidth="1"/>
    <col min="3846" max="3846" width="12.5703125" style="6" customWidth="1"/>
    <col min="3847" max="3847" width="10.85546875" style="6" customWidth="1"/>
    <col min="3848" max="3850" width="14.5703125" style="6" customWidth="1"/>
    <col min="3851" max="3851" width="12.85546875" style="6" customWidth="1"/>
    <col min="3852" max="4096" width="9.140625" style="6"/>
    <col min="4097" max="4097" width="18.28515625" style="6" customWidth="1"/>
    <col min="4098" max="4098" width="13.5703125" style="6" customWidth="1"/>
    <col min="4099" max="4099" width="15.140625" style="6" customWidth="1"/>
    <col min="4100" max="4101" width="12.85546875" style="6" customWidth="1"/>
    <col min="4102" max="4102" width="12.5703125" style="6" customWidth="1"/>
    <col min="4103" max="4103" width="10.85546875" style="6" customWidth="1"/>
    <col min="4104" max="4106" width="14.5703125" style="6" customWidth="1"/>
    <col min="4107" max="4107" width="12.85546875" style="6" customWidth="1"/>
    <col min="4108" max="4352" width="9.140625" style="6"/>
    <col min="4353" max="4353" width="18.28515625" style="6" customWidth="1"/>
    <col min="4354" max="4354" width="13.5703125" style="6" customWidth="1"/>
    <col min="4355" max="4355" width="15.140625" style="6" customWidth="1"/>
    <col min="4356" max="4357" width="12.85546875" style="6" customWidth="1"/>
    <col min="4358" max="4358" width="12.5703125" style="6" customWidth="1"/>
    <col min="4359" max="4359" width="10.85546875" style="6" customWidth="1"/>
    <col min="4360" max="4362" width="14.5703125" style="6" customWidth="1"/>
    <col min="4363" max="4363" width="12.85546875" style="6" customWidth="1"/>
    <col min="4364" max="4608" width="9.140625" style="6"/>
    <col min="4609" max="4609" width="18.28515625" style="6" customWidth="1"/>
    <col min="4610" max="4610" width="13.5703125" style="6" customWidth="1"/>
    <col min="4611" max="4611" width="15.140625" style="6" customWidth="1"/>
    <col min="4612" max="4613" width="12.85546875" style="6" customWidth="1"/>
    <col min="4614" max="4614" width="12.5703125" style="6" customWidth="1"/>
    <col min="4615" max="4615" width="10.85546875" style="6" customWidth="1"/>
    <col min="4616" max="4618" width="14.5703125" style="6" customWidth="1"/>
    <col min="4619" max="4619" width="12.85546875" style="6" customWidth="1"/>
    <col min="4620" max="4864" width="9.140625" style="6"/>
    <col min="4865" max="4865" width="18.28515625" style="6" customWidth="1"/>
    <col min="4866" max="4866" width="13.5703125" style="6" customWidth="1"/>
    <col min="4867" max="4867" width="15.140625" style="6" customWidth="1"/>
    <col min="4868" max="4869" width="12.85546875" style="6" customWidth="1"/>
    <col min="4870" max="4870" width="12.5703125" style="6" customWidth="1"/>
    <col min="4871" max="4871" width="10.85546875" style="6" customWidth="1"/>
    <col min="4872" max="4874" width="14.5703125" style="6" customWidth="1"/>
    <col min="4875" max="4875" width="12.85546875" style="6" customWidth="1"/>
    <col min="4876" max="5120" width="9.140625" style="6"/>
    <col min="5121" max="5121" width="18.28515625" style="6" customWidth="1"/>
    <col min="5122" max="5122" width="13.5703125" style="6" customWidth="1"/>
    <col min="5123" max="5123" width="15.140625" style="6" customWidth="1"/>
    <col min="5124" max="5125" width="12.85546875" style="6" customWidth="1"/>
    <col min="5126" max="5126" width="12.5703125" style="6" customWidth="1"/>
    <col min="5127" max="5127" width="10.85546875" style="6" customWidth="1"/>
    <col min="5128" max="5130" width="14.5703125" style="6" customWidth="1"/>
    <col min="5131" max="5131" width="12.85546875" style="6" customWidth="1"/>
    <col min="5132" max="5376" width="9.140625" style="6"/>
    <col min="5377" max="5377" width="18.28515625" style="6" customWidth="1"/>
    <col min="5378" max="5378" width="13.5703125" style="6" customWidth="1"/>
    <col min="5379" max="5379" width="15.140625" style="6" customWidth="1"/>
    <col min="5380" max="5381" width="12.85546875" style="6" customWidth="1"/>
    <col min="5382" max="5382" width="12.5703125" style="6" customWidth="1"/>
    <col min="5383" max="5383" width="10.85546875" style="6" customWidth="1"/>
    <col min="5384" max="5386" width="14.5703125" style="6" customWidth="1"/>
    <col min="5387" max="5387" width="12.85546875" style="6" customWidth="1"/>
    <col min="5388" max="5632" width="9.140625" style="6"/>
    <col min="5633" max="5633" width="18.28515625" style="6" customWidth="1"/>
    <col min="5634" max="5634" width="13.5703125" style="6" customWidth="1"/>
    <col min="5635" max="5635" width="15.140625" style="6" customWidth="1"/>
    <col min="5636" max="5637" width="12.85546875" style="6" customWidth="1"/>
    <col min="5638" max="5638" width="12.5703125" style="6" customWidth="1"/>
    <col min="5639" max="5639" width="10.85546875" style="6" customWidth="1"/>
    <col min="5640" max="5642" width="14.5703125" style="6" customWidth="1"/>
    <col min="5643" max="5643" width="12.85546875" style="6" customWidth="1"/>
    <col min="5644" max="5888" width="9.140625" style="6"/>
    <col min="5889" max="5889" width="18.28515625" style="6" customWidth="1"/>
    <col min="5890" max="5890" width="13.5703125" style="6" customWidth="1"/>
    <col min="5891" max="5891" width="15.140625" style="6" customWidth="1"/>
    <col min="5892" max="5893" width="12.85546875" style="6" customWidth="1"/>
    <col min="5894" max="5894" width="12.5703125" style="6" customWidth="1"/>
    <col min="5895" max="5895" width="10.85546875" style="6" customWidth="1"/>
    <col min="5896" max="5898" width="14.5703125" style="6" customWidth="1"/>
    <col min="5899" max="5899" width="12.85546875" style="6" customWidth="1"/>
    <col min="5900" max="6144" width="9.140625" style="6"/>
    <col min="6145" max="6145" width="18.28515625" style="6" customWidth="1"/>
    <col min="6146" max="6146" width="13.5703125" style="6" customWidth="1"/>
    <col min="6147" max="6147" width="15.140625" style="6" customWidth="1"/>
    <col min="6148" max="6149" width="12.85546875" style="6" customWidth="1"/>
    <col min="6150" max="6150" width="12.5703125" style="6" customWidth="1"/>
    <col min="6151" max="6151" width="10.85546875" style="6" customWidth="1"/>
    <col min="6152" max="6154" width="14.5703125" style="6" customWidth="1"/>
    <col min="6155" max="6155" width="12.85546875" style="6" customWidth="1"/>
    <col min="6156" max="6400" width="9.140625" style="6"/>
    <col min="6401" max="6401" width="18.28515625" style="6" customWidth="1"/>
    <col min="6402" max="6402" width="13.5703125" style="6" customWidth="1"/>
    <col min="6403" max="6403" width="15.140625" style="6" customWidth="1"/>
    <col min="6404" max="6405" width="12.85546875" style="6" customWidth="1"/>
    <col min="6406" max="6406" width="12.5703125" style="6" customWidth="1"/>
    <col min="6407" max="6407" width="10.85546875" style="6" customWidth="1"/>
    <col min="6408" max="6410" width="14.5703125" style="6" customWidth="1"/>
    <col min="6411" max="6411" width="12.85546875" style="6" customWidth="1"/>
    <col min="6412" max="6656" width="9.140625" style="6"/>
    <col min="6657" max="6657" width="18.28515625" style="6" customWidth="1"/>
    <col min="6658" max="6658" width="13.5703125" style="6" customWidth="1"/>
    <col min="6659" max="6659" width="15.140625" style="6" customWidth="1"/>
    <col min="6660" max="6661" width="12.85546875" style="6" customWidth="1"/>
    <col min="6662" max="6662" width="12.5703125" style="6" customWidth="1"/>
    <col min="6663" max="6663" width="10.85546875" style="6" customWidth="1"/>
    <col min="6664" max="6666" width="14.5703125" style="6" customWidth="1"/>
    <col min="6667" max="6667" width="12.85546875" style="6" customWidth="1"/>
    <col min="6668" max="6912" width="9.140625" style="6"/>
    <col min="6913" max="6913" width="18.28515625" style="6" customWidth="1"/>
    <col min="6914" max="6914" width="13.5703125" style="6" customWidth="1"/>
    <col min="6915" max="6915" width="15.140625" style="6" customWidth="1"/>
    <col min="6916" max="6917" width="12.85546875" style="6" customWidth="1"/>
    <col min="6918" max="6918" width="12.5703125" style="6" customWidth="1"/>
    <col min="6919" max="6919" width="10.85546875" style="6" customWidth="1"/>
    <col min="6920" max="6922" width="14.5703125" style="6" customWidth="1"/>
    <col min="6923" max="6923" width="12.85546875" style="6" customWidth="1"/>
    <col min="6924" max="7168" width="9.140625" style="6"/>
    <col min="7169" max="7169" width="18.28515625" style="6" customWidth="1"/>
    <col min="7170" max="7170" width="13.5703125" style="6" customWidth="1"/>
    <col min="7171" max="7171" width="15.140625" style="6" customWidth="1"/>
    <col min="7172" max="7173" width="12.85546875" style="6" customWidth="1"/>
    <col min="7174" max="7174" width="12.5703125" style="6" customWidth="1"/>
    <col min="7175" max="7175" width="10.85546875" style="6" customWidth="1"/>
    <col min="7176" max="7178" width="14.5703125" style="6" customWidth="1"/>
    <col min="7179" max="7179" width="12.85546875" style="6" customWidth="1"/>
    <col min="7180" max="7424" width="9.140625" style="6"/>
    <col min="7425" max="7425" width="18.28515625" style="6" customWidth="1"/>
    <col min="7426" max="7426" width="13.5703125" style="6" customWidth="1"/>
    <col min="7427" max="7427" width="15.140625" style="6" customWidth="1"/>
    <col min="7428" max="7429" width="12.85546875" style="6" customWidth="1"/>
    <col min="7430" max="7430" width="12.5703125" style="6" customWidth="1"/>
    <col min="7431" max="7431" width="10.85546875" style="6" customWidth="1"/>
    <col min="7432" max="7434" width="14.5703125" style="6" customWidth="1"/>
    <col min="7435" max="7435" width="12.85546875" style="6" customWidth="1"/>
    <col min="7436" max="7680" width="9.140625" style="6"/>
    <col min="7681" max="7681" width="18.28515625" style="6" customWidth="1"/>
    <col min="7682" max="7682" width="13.5703125" style="6" customWidth="1"/>
    <col min="7683" max="7683" width="15.140625" style="6" customWidth="1"/>
    <col min="7684" max="7685" width="12.85546875" style="6" customWidth="1"/>
    <col min="7686" max="7686" width="12.5703125" style="6" customWidth="1"/>
    <col min="7687" max="7687" width="10.85546875" style="6" customWidth="1"/>
    <col min="7688" max="7690" width="14.5703125" style="6" customWidth="1"/>
    <col min="7691" max="7691" width="12.85546875" style="6" customWidth="1"/>
    <col min="7692" max="7936" width="9.140625" style="6"/>
    <col min="7937" max="7937" width="18.28515625" style="6" customWidth="1"/>
    <col min="7938" max="7938" width="13.5703125" style="6" customWidth="1"/>
    <col min="7939" max="7939" width="15.140625" style="6" customWidth="1"/>
    <col min="7940" max="7941" width="12.85546875" style="6" customWidth="1"/>
    <col min="7942" max="7942" width="12.5703125" style="6" customWidth="1"/>
    <col min="7943" max="7943" width="10.85546875" style="6" customWidth="1"/>
    <col min="7944" max="7946" width="14.5703125" style="6" customWidth="1"/>
    <col min="7947" max="7947" width="12.85546875" style="6" customWidth="1"/>
    <col min="7948" max="8192" width="9.140625" style="6"/>
    <col min="8193" max="8193" width="18.28515625" style="6" customWidth="1"/>
    <col min="8194" max="8194" width="13.5703125" style="6" customWidth="1"/>
    <col min="8195" max="8195" width="15.140625" style="6" customWidth="1"/>
    <col min="8196" max="8197" width="12.85546875" style="6" customWidth="1"/>
    <col min="8198" max="8198" width="12.5703125" style="6" customWidth="1"/>
    <col min="8199" max="8199" width="10.85546875" style="6" customWidth="1"/>
    <col min="8200" max="8202" width="14.5703125" style="6" customWidth="1"/>
    <col min="8203" max="8203" width="12.85546875" style="6" customWidth="1"/>
    <col min="8204" max="8448" width="9.140625" style="6"/>
    <col min="8449" max="8449" width="18.28515625" style="6" customWidth="1"/>
    <col min="8450" max="8450" width="13.5703125" style="6" customWidth="1"/>
    <col min="8451" max="8451" width="15.140625" style="6" customWidth="1"/>
    <col min="8452" max="8453" width="12.85546875" style="6" customWidth="1"/>
    <col min="8454" max="8454" width="12.5703125" style="6" customWidth="1"/>
    <col min="8455" max="8455" width="10.85546875" style="6" customWidth="1"/>
    <col min="8456" max="8458" width="14.5703125" style="6" customWidth="1"/>
    <col min="8459" max="8459" width="12.85546875" style="6" customWidth="1"/>
    <col min="8460" max="8704" width="9.140625" style="6"/>
    <col min="8705" max="8705" width="18.28515625" style="6" customWidth="1"/>
    <col min="8706" max="8706" width="13.5703125" style="6" customWidth="1"/>
    <col min="8707" max="8707" width="15.140625" style="6" customWidth="1"/>
    <col min="8708" max="8709" width="12.85546875" style="6" customWidth="1"/>
    <col min="8710" max="8710" width="12.5703125" style="6" customWidth="1"/>
    <col min="8711" max="8711" width="10.85546875" style="6" customWidth="1"/>
    <col min="8712" max="8714" width="14.5703125" style="6" customWidth="1"/>
    <col min="8715" max="8715" width="12.85546875" style="6" customWidth="1"/>
    <col min="8716" max="8960" width="9.140625" style="6"/>
    <col min="8961" max="8961" width="18.28515625" style="6" customWidth="1"/>
    <col min="8962" max="8962" width="13.5703125" style="6" customWidth="1"/>
    <col min="8963" max="8963" width="15.140625" style="6" customWidth="1"/>
    <col min="8964" max="8965" width="12.85546875" style="6" customWidth="1"/>
    <col min="8966" max="8966" width="12.5703125" style="6" customWidth="1"/>
    <col min="8967" max="8967" width="10.85546875" style="6" customWidth="1"/>
    <col min="8968" max="8970" width="14.5703125" style="6" customWidth="1"/>
    <col min="8971" max="8971" width="12.85546875" style="6" customWidth="1"/>
    <col min="8972" max="9216" width="9.140625" style="6"/>
    <col min="9217" max="9217" width="18.28515625" style="6" customWidth="1"/>
    <col min="9218" max="9218" width="13.5703125" style="6" customWidth="1"/>
    <col min="9219" max="9219" width="15.140625" style="6" customWidth="1"/>
    <col min="9220" max="9221" width="12.85546875" style="6" customWidth="1"/>
    <col min="9222" max="9222" width="12.5703125" style="6" customWidth="1"/>
    <col min="9223" max="9223" width="10.85546875" style="6" customWidth="1"/>
    <col min="9224" max="9226" width="14.5703125" style="6" customWidth="1"/>
    <col min="9227" max="9227" width="12.85546875" style="6" customWidth="1"/>
    <col min="9228" max="9472" width="9.140625" style="6"/>
    <col min="9473" max="9473" width="18.28515625" style="6" customWidth="1"/>
    <col min="9474" max="9474" width="13.5703125" style="6" customWidth="1"/>
    <col min="9475" max="9475" width="15.140625" style="6" customWidth="1"/>
    <col min="9476" max="9477" width="12.85546875" style="6" customWidth="1"/>
    <col min="9478" max="9478" width="12.5703125" style="6" customWidth="1"/>
    <col min="9479" max="9479" width="10.85546875" style="6" customWidth="1"/>
    <col min="9480" max="9482" width="14.5703125" style="6" customWidth="1"/>
    <col min="9483" max="9483" width="12.85546875" style="6" customWidth="1"/>
    <col min="9484" max="9728" width="9.140625" style="6"/>
    <col min="9729" max="9729" width="18.28515625" style="6" customWidth="1"/>
    <col min="9730" max="9730" width="13.5703125" style="6" customWidth="1"/>
    <col min="9731" max="9731" width="15.140625" style="6" customWidth="1"/>
    <col min="9732" max="9733" width="12.85546875" style="6" customWidth="1"/>
    <col min="9734" max="9734" width="12.5703125" style="6" customWidth="1"/>
    <col min="9735" max="9735" width="10.85546875" style="6" customWidth="1"/>
    <col min="9736" max="9738" width="14.5703125" style="6" customWidth="1"/>
    <col min="9739" max="9739" width="12.85546875" style="6" customWidth="1"/>
    <col min="9740" max="9984" width="9.140625" style="6"/>
    <col min="9985" max="9985" width="18.28515625" style="6" customWidth="1"/>
    <col min="9986" max="9986" width="13.5703125" style="6" customWidth="1"/>
    <col min="9987" max="9987" width="15.140625" style="6" customWidth="1"/>
    <col min="9988" max="9989" width="12.85546875" style="6" customWidth="1"/>
    <col min="9990" max="9990" width="12.5703125" style="6" customWidth="1"/>
    <col min="9991" max="9991" width="10.85546875" style="6" customWidth="1"/>
    <col min="9992" max="9994" width="14.5703125" style="6" customWidth="1"/>
    <col min="9995" max="9995" width="12.85546875" style="6" customWidth="1"/>
    <col min="9996" max="10240" width="9.140625" style="6"/>
    <col min="10241" max="10241" width="18.28515625" style="6" customWidth="1"/>
    <col min="10242" max="10242" width="13.5703125" style="6" customWidth="1"/>
    <col min="10243" max="10243" width="15.140625" style="6" customWidth="1"/>
    <col min="10244" max="10245" width="12.85546875" style="6" customWidth="1"/>
    <col min="10246" max="10246" width="12.5703125" style="6" customWidth="1"/>
    <col min="10247" max="10247" width="10.85546875" style="6" customWidth="1"/>
    <col min="10248" max="10250" width="14.5703125" style="6" customWidth="1"/>
    <col min="10251" max="10251" width="12.85546875" style="6" customWidth="1"/>
    <col min="10252" max="10496" width="9.140625" style="6"/>
    <col min="10497" max="10497" width="18.28515625" style="6" customWidth="1"/>
    <col min="10498" max="10498" width="13.5703125" style="6" customWidth="1"/>
    <col min="10499" max="10499" width="15.140625" style="6" customWidth="1"/>
    <col min="10500" max="10501" width="12.85546875" style="6" customWidth="1"/>
    <col min="10502" max="10502" width="12.5703125" style="6" customWidth="1"/>
    <col min="10503" max="10503" width="10.85546875" style="6" customWidth="1"/>
    <col min="10504" max="10506" width="14.5703125" style="6" customWidth="1"/>
    <col min="10507" max="10507" width="12.85546875" style="6" customWidth="1"/>
    <col min="10508" max="10752" width="9.140625" style="6"/>
    <col min="10753" max="10753" width="18.28515625" style="6" customWidth="1"/>
    <col min="10754" max="10754" width="13.5703125" style="6" customWidth="1"/>
    <col min="10755" max="10755" width="15.140625" style="6" customWidth="1"/>
    <col min="10756" max="10757" width="12.85546875" style="6" customWidth="1"/>
    <col min="10758" max="10758" width="12.5703125" style="6" customWidth="1"/>
    <col min="10759" max="10759" width="10.85546875" style="6" customWidth="1"/>
    <col min="10760" max="10762" width="14.5703125" style="6" customWidth="1"/>
    <col min="10763" max="10763" width="12.85546875" style="6" customWidth="1"/>
    <col min="10764" max="11008" width="9.140625" style="6"/>
    <col min="11009" max="11009" width="18.28515625" style="6" customWidth="1"/>
    <col min="11010" max="11010" width="13.5703125" style="6" customWidth="1"/>
    <col min="11011" max="11011" width="15.140625" style="6" customWidth="1"/>
    <col min="11012" max="11013" width="12.85546875" style="6" customWidth="1"/>
    <col min="11014" max="11014" width="12.5703125" style="6" customWidth="1"/>
    <col min="11015" max="11015" width="10.85546875" style="6" customWidth="1"/>
    <col min="11016" max="11018" width="14.5703125" style="6" customWidth="1"/>
    <col min="11019" max="11019" width="12.85546875" style="6" customWidth="1"/>
    <col min="11020" max="11264" width="9.140625" style="6"/>
    <col min="11265" max="11265" width="18.28515625" style="6" customWidth="1"/>
    <col min="11266" max="11266" width="13.5703125" style="6" customWidth="1"/>
    <col min="11267" max="11267" width="15.140625" style="6" customWidth="1"/>
    <col min="11268" max="11269" width="12.85546875" style="6" customWidth="1"/>
    <col min="11270" max="11270" width="12.5703125" style="6" customWidth="1"/>
    <col min="11271" max="11271" width="10.85546875" style="6" customWidth="1"/>
    <col min="11272" max="11274" width="14.5703125" style="6" customWidth="1"/>
    <col min="11275" max="11275" width="12.85546875" style="6" customWidth="1"/>
    <col min="11276" max="11520" width="9.140625" style="6"/>
    <col min="11521" max="11521" width="18.28515625" style="6" customWidth="1"/>
    <col min="11522" max="11522" width="13.5703125" style="6" customWidth="1"/>
    <col min="11523" max="11523" width="15.140625" style="6" customWidth="1"/>
    <col min="11524" max="11525" width="12.85546875" style="6" customWidth="1"/>
    <col min="11526" max="11526" width="12.5703125" style="6" customWidth="1"/>
    <col min="11527" max="11527" width="10.85546875" style="6" customWidth="1"/>
    <col min="11528" max="11530" width="14.5703125" style="6" customWidth="1"/>
    <col min="11531" max="11531" width="12.85546875" style="6" customWidth="1"/>
    <col min="11532" max="11776" width="9.140625" style="6"/>
    <col min="11777" max="11777" width="18.28515625" style="6" customWidth="1"/>
    <col min="11778" max="11778" width="13.5703125" style="6" customWidth="1"/>
    <col min="11779" max="11779" width="15.140625" style="6" customWidth="1"/>
    <col min="11780" max="11781" width="12.85546875" style="6" customWidth="1"/>
    <col min="11782" max="11782" width="12.5703125" style="6" customWidth="1"/>
    <col min="11783" max="11783" width="10.85546875" style="6" customWidth="1"/>
    <col min="11784" max="11786" width="14.5703125" style="6" customWidth="1"/>
    <col min="11787" max="11787" width="12.85546875" style="6" customWidth="1"/>
    <col min="11788" max="12032" width="9.140625" style="6"/>
    <col min="12033" max="12033" width="18.28515625" style="6" customWidth="1"/>
    <col min="12034" max="12034" width="13.5703125" style="6" customWidth="1"/>
    <col min="12035" max="12035" width="15.140625" style="6" customWidth="1"/>
    <col min="12036" max="12037" width="12.85546875" style="6" customWidth="1"/>
    <col min="12038" max="12038" width="12.5703125" style="6" customWidth="1"/>
    <col min="12039" max="12039" width="10.85546875" style="6" customWidth="1"/>
    <col min="12040" max="12042" width="14.5703125" style="6" customWidth="1"/>
    <col min="12043" max="12043" width="12.85546875" style="6" customWidth="1"/>
    <col min="12044" max="12288" width="9.140625" style="6"/>
    <col min="12289" max="12289" width="18.28515625" style="6" customWidth="1"/>
    <col min="12290" max="12290" width="13.5703125" style="6" customWidth="1"/>
    <col min="12291" max="12291" width="15.140625" style="6" customWidth="1"/>
    <col min="12292" max="12293" width="12.85546875" style="6" customWidth="1"/>
    <col min="12294" max="12294" width="12.5703125" style="6" customWidth="1"/>
    <col min="12295" max="12295" width="10.85546875" style="6" customWidth="1"/>
    <col min="12296" max="12298" width="14.5703125" style="6" customWidth="1"/>
    <col min="12299" max="12299" width="12.85546875" style="6" customWidth="1"/>
    <col min="12300" max="12544" width="9.140625" style="6"/>
    <col min="12545" max="12545" width="18.28515625" style="6" customWidth="1"/>
    <col min="12546" max="12546" width="13.5703125" style="6" customWidth="1"/>
    <col min="12547" max="12547" width="15.140625" style="6" customWidth="1"/>
    <col min="12548" max="12549" width="12.85546875" style="6" customWidth="1"/>
    <col min="12550" max="12550" width="12.5703125" style="6" customWidth="1"/>
    <col min="12551" max="12551" width="10.85546875" style="6" customWidth="1"/>
    <col min="12552" max="12554" width="14.5703125" style="6" customWidth="1"/>
    <col min="12555" max="12555" width="12.85546875" style="6" customWidth="1"/>
    <col min="12556" max="12800" width="9.140625" style="6"/>
    <col min="12801" max="12801" width="18.28515625" style="6" customWidth="1"/>
    <col min="12802" max="12802" width="13.5703125" style="6" customWidth="1"/>
    <col min="12803" max="12803" width="15.140625" style="6" customWidth="1"/>
    <col min="12804" max="12805" width="12.85546875" style="6" customWidth="1"/>
    <col min="12806" max="12806" width="12.5703125" style="6" customWidth="1"/>
    <col min="12807" max="12807" width="10.85546875" style="6" customWidth="1"/>
    <col min="12808" max="12810" width="14.5703125" style="6" customWidth="1"/>
    <col min="12811" max="12811" width="12.85546875" style="6" customWidth="1"/>
    <col min="12812" max="13056" width="9.140625" style="6"/>
    <col min="13057" max="13057" width="18.28515625" style="6" customWidth="1"/>
    <col min="13058" max="13058" width="13.5703125" style="6" customWidth="1"/>
    <col min="13059" max="13059" width="15.140625" style="6" customWidth="1"/>
    <col min="13060" max="13061" width="12.85546875" style="6" customWidth="1"/>
    <col min="13062" max="13062" width="12.5703125" style="6" customWidth="1"/>
    <col min="13063" max="13063" width="10.85546875" style="6" customWidth="1"/>
    <col min="13064" max="13066" width="14.5703125" style="6" customWidth="1"/>
    <col min="13067" max="13067" width="12.85546875" style="6" customWidth="1"/>
    <col min="13068" max="13312" width="9.140625" style="6"/>
    <col min="13313" max="13313" width="18.28515625" style="6" customWidth="1"/>
    <col min="13314" max="13314" width="13.5703125" style="6" customWidth="1"/>
    <col min="13315" max="13315" width="15.140625" style="6" customWidth="1"/>
    <col min="13316" max="13317" width="12.85546875" style="6" customWidth="1"/>
    <col min="13318" max="13318" width="12.5703125" style="6" customWidth="1"/>
    <col min="13319" max="13319" width="10.85546875" style="6" customWidth="1"/>
    <col min="13320" max="13322" width="14.5703125" style="6" customWidth="1"/>
    <col min="13323" max="13323" width="12.85546875" style="6" customWidth="1"/>
    <col min="13324" max="13568" width="9.140625" style="6"/>
    <col min="13569" max="13569" width="18.28515625" style="6" customWidth="1"/>
    <col min="13570" max="13570" width="13.5703125" style="6" customWidth="1"/>
    <col min="13571" max="13571" width="15.140625" style="6" customWidth="1"/>
    <col min="13572" max="13573" width="12.85546875" style="6" customWidth="1"/>
    <col min="13574" max="13574" width="12.5703125" style="6" customWidth="1"/>
    <col min="13575" max="13575" width="10.85546875" style="6" customWidth="1"/>
    <col min="13576" max="13578" width="14.5703125" style="6" customWidth="1"/>
    <col min="13579" max="13579" width="12.85546875" style="6" customWidth="1"/>
    <col min="13580" max="13824" width="9.140625" style="6"/>
    <col min="13825" max="13825" width="18.28515625" style="6" customWidth="1"/>
    <col min="13826" max="13826" width="13.5703125" style="6" customWidth="1"/>
    <col min="13827" max="13827" width="15.140625" style="6" customWidth="1"/>
    <col min="13828" max="13829" width="12.85546875" style="6" customWidth="1"/>
    <col min="13830" max="13830" width="12.5703125" style="6" customWidth="1"/>
    <col min="13831" max="13831" width="10.85546875" style="6" customWidth="1"/>
    <col min="13832" max="13834" width="14.5703125" style="6" customWidth="1"/>
    <col min="13835" max="13835" width="12.85546875" style="6" customWidth="1"/>
    <col min="13836" max="14080" width="9.140625" style="6"/>
    <col min="14081" max="14081" width="18.28515625" style="6" customWidth="1"/>
    <col min="14082" max="14082" width="13.5703125" style="6" customWidth="1"/>
    <col min="14083" max="14083" width="15.140625" style="6" customWidth="1"/>
    <col min="14084" max="14085" width="12.85546875" style="6" customWidth="1"/>
    <col min="14086" max="14086" width="12.5703125" style="6" customWidth="1"/>
    <col min="14087" max="14087" width="10.85546875" style="6" customWidth="1"/>
    <col min="14088" max="14090" width="14.5703125" style="6" customWidth="1"/>
    <col min="14091" max="14091" width="12.85546875" style="6" customWidth="1"/>
    <col min="14092" max="14336" width="9.140625" style="6"/>
    <col min="14337" max="14337" width="18.28515625" style="6" customWidth="1"/>
    <col min="14338" max="14338" width="13.5703125" style="6" customWidth="1"/>
    <col min="14339" max="14339" width="15.140625" style="6" customWidth="1"/>
    <col min="14340" max="14341" width="12.85546875" style="6" customWidth="1"/>
    <col min="14342" max="14342" width="12.5703125" style="6" customWidth="1"/>
    <col min="14343" max="14343" width="10.85546875" style="6" customWidth="1"/>
    <col min="14344" max="14346" width="14.5703125" style="6" customWidth="1"/>
    <col min="14347" max="14347" width="12.85546875" style="6" customWidth="1"/>
    <col min="14348" max="14592" width="9.140625" style="6"/>
    <col min="14593" max="14593" width="18.28515625" style="6" customWidth="1"/>
    <col min="14594" max="14594" width="13.5703125" style="6" customWidth="1"/>
    <col min="14595" max="14595" width="15.140625" style="6" customWidth="1"/>
    <col min="14596" max="14597" width="12.85546875" style="6" customWidth="1"/>
    <col min="14598" max="14598" width="12.5703125" style="6" customWidth="1"/>
    <col min="14599" max="14599" width="10.85546875" style="6" customWidth="1"/>
    <col min="14600" max="14602" width="14.5703125" style="6" customWidth="1"/>
    <col min="14603" max="14603" width="12.85546875" style="6" customWidth="1"/>
    <col min="14604" max="14848" width="9.140625" style="6"/>
    <col min="14849" max="14849" width="18.28515625" style="6" customWidth="1"/>
    <col min="14850" max="14850" width="13.5703125" style="6" customWidth="1"/>
    <col min="14851" max="14851" width="15.140625" style="6" customWidth="1"/>
    <col min="14852" max="14853" width="12.85546875" style="6" customWidth="1"/>
    <col min="14854" max="14854" width="12.5703125" style="6" customWidth="1"/>
    <col min="14855" max="14855" width="10.85546875" style="6" customWidth="1"/>
    <col min="14856" max="14858" width="14.5703125" style="6" customWidth="1"/>
    <col min="14859" max="14859" width="12.85546875" style="6" customWidth="1"/>
    <col min="14860" max="15104" width="9.140625" style="6"/>
    <col min="15105" max="15105" width="18.28515625" style="6" customWidth="1"/>
    <col min="15106" max="15106" width="13.5703125" style="6" customWidth="1"/>
    <col min="15107" max="15107" width="15.140625" style="6" customWidth="1"/>
    <col min="15108" max="15109" width="12.85546875" style="6" customWidth="1"/>
    <col min="15110" max="15110" width="12.5703125" style="6" customWidth="1"/>
    <col min="15111" max="15111" width="10.85546875" style="6" customWidth="1"/>
    <col min="15112" max="15114" width="14.5703125" style="6" customWidth="1"/>
    <col min="15115" max="15115" width="12.85546875" style="6" customWidth="1"/>
    <col min="15116" max="15360" width="9.140625" style="6"/>
    <col min="15361" max="15361" width="18.28515625" style="6" customWidth="1"/>
    <col min="15362" max="15362" width="13.5703125" style="6" customWidth="1"/>
    <col min="15363" max="15363" width="15.140625" style="6" customWidth="1"/>
    <col min="15364" max="15365" width="12.85546875" style="6" customWidth="1"/>
    <col min="15366" max="15366" width="12.5703125" style="6" customWidth="1"/>
    <col min="15367" max="15367" width="10.85546875" style="6" customWidth="1"/>
    <col min="15368" max="15370" width="14.5703125" style="6" customWidth="1"/>
    <col min="15371" max="15371" width="12.85546875" style="6" customWidth="1"/>
    <col min="15372" max="15616" width="9.140625" style="6"/>
    <col min="15617" max="15617" width="18.28515625" style="6" customWidth="1"/>
    <col min="15618" max="15618" width="13.5703125" style="6" customWidth="1"/>
    <col min="15619" max="15619" width="15.140625" style="6" customWidth="1"/>
    <col min="15620" max="15621" width="12.85546875" style="6" customWidth="1"/>
    <col min="15622" max="15622" width="12.5703125" style="6" customWidth="1"/>
    <col min="15623" max="15623" width="10.85546875" style="6" customWidth="1"/>
    <col min="15624" max="15626" width="14.5703125" style="6" customWidth="1"/>
    <col min="15627" max="15627" width="12.85546875" style="6" customWidth="1"/>
    <col min="15628" max="15872" width="9.140625" style="6"/>
    <col min="15873" max="15873" width="18.28515625" style="6" customWidth="1"/>
    <col min="15874" max="15874" width="13.5703125" style="6" customWidth="1"/>
    <col min="15875" max="15875" width="15.140625" style="6" customWidth="1"/>
    <col min="15876" max="15877" width="12.85546875" style="6" customWidth="1"/>
    <col min="15878" max="15878" width="12.5703125" style="6" customWidth="1"/>
    <col min="15879" max="15879" width="10.85546875" style="6" customWidth="1"/>
    <col min="15880" max="15882" width="14.5703125" style="6" customWidth="1"/>
    <col min="15883" max="15883" width="12.85546875" style="6" customWidth="1"/>
    <col min="15884" max="16128" width="9.140625" style="6"/>
    <col min="16129" max="16129" width="18.28515625" style="6" customWidth="1"/>
    <col min="16130" max="16130" width="13.5703125" style="6" customWidth="1"/>
    <col min="16131" max="16131" width="15.140625" style="6" customWidth="1"/>
    <col min="16132" max="16133" width="12.85546875" style="6" customWidth="1"/>
    <col min="16134" max="16134" width="12.5703125" style="6" customWidth="1"/>
    <col min="16135" max="16135" width="10.85546875" style="6" customWidth="1"/>
    <col min="16136" max="16138" width="14.5703125" style="6" customWidth="1"/>
    <col min="16139" max="16139" width="12.85546875" style="6" customWidth="1"/>
    <col min="16140" max="16384" width="9.140625" style="6"/>
  </cols>
  <sheetData>
    <row r="1" spans="1:14" ht="15.75">
      <c r="A1" s="208" t="str">
        <f xml:space="preserve"> "Psychological Therapies Waiting Times - Number of patients waiting at the end of the month by Health Board, "&amp;TEXT(A25,"mmm yyyy")&amp;" - "&amp;TEXT(A11,"mmm yyyy")</f>
        <v>Psychological Therapies Waiting Times - Number of patients waiting at the end of the month by Health Board, Apr 2020 - Jun 2021</v>
      </c>
      <c r="B1" s="210"/>
      <c r="C1" s="210"/>
      <c r="D1" s="210"/>
    </row>
    <row r="2" spans="1:14" ht="15.75">
      <c r="A2" s="209"/>
      <c r="B2" s="205"/>
      <c r="C2" s="205"/>
      <c r="D2" s="205"/>
    </row>
    <row r="3" spans="1:14">
      <c r="A3" s="456" t="s">
        <v>458</v>
      </c>
      <c r="B3" s="457"/>
      <c r="C3" s="457"/>
      <c r="D3" s="457"/>
      <c r="E3" s="65"/>
      <c r="F3" s="65"/>
      <c r="G3" s="65"/>
      <c r="H3" s="65"/>
      <c r="I3" s="65"/>
      <c r="J3" s="65"/>
      <c r="K3" s="48"/>
    </row>
    <row r="4" spans="1:14">
      <c r="A4" s="66" t="str">
        <f>"Number of patients waiting at the end of the month by Health Board, "&amp;TEXT(A25,"mmm yyyy")&amp;" - "&amp;TEXT(A11,"mmm yyyy")</f>
        <v>Number of patients waiting at the end of the month by Health Board, Apr 2020 - Jun 2021</v>
      </c>
      <c r="B4" s="65"/>
      <c r="C4" s="65"/>
      <c r="D4" s="65"/>
      <c r="E4" s="65"/>
      <c r="F4" s="65"/>
      <c r="G4" s="65"/>
      <c r="H4" s="65"/>
      <c r="I4" s="65"/>
      <c r="J4" s="65"/>
      <c r="K4" s="48"/>
    </row>
    <row r="5" spans="1:14">
      <c r="A5" s="199" t="s">
        <v>453</v>
      </c>
      <c r="B5" s="65"/>
      <c r="C5" s="65"/>
      <c r="D5" s="65"/>
      <c r="E5" s="65"/>
      <c r="F5" s="65"/>
      <c r="G5" s="65"/>
      <c r="H5" s="65"/>
      <c r="I5" s="65"/>
      <c r="J5" s="65"/>
      <c r="K5" s="48"/>
    </row>
    <row r="6" spans="1:14" ht="15.75" thickBot="1">
      <c r="A6" s="458"/>
      <c r="B6" s="458"/>
      <c r="C6" s="458"/>
      <c r="D6" s="458"/>
      <c r="E6" s="67"/>
      <c r="F6" s="67"/>
      <c r="G6" s="67"/>
      <c r="H6" s="67"/>
      <c r="I6" s="67"/>
      <c r="J6" s="67"/>
      <c r="K6" s="67"/>
    </row>
    <row r="7" spans="1:14" ht="15.75" thickBot="1">
      <c r="A7" s="6" t="s">
        <v>180</v>
      </c>
      <c r="B7" s="9"/>
      <c r="C7" s="471" t="str">
        <f>'3b'!C7:D7</f>
        <v>Scotland</v>
      </c>
      <c r="D7" s="472"/>
      <c r="E7" s="67"/>
      <c r="F7" s="67"/>
      <c r="G7" s="67"/>
      <c r="H7" s="67"/>
      <c r="I7" s="67"/>
      <c r="J7" s="67"/>
      <c r="K7" s="67"/>
    </row>
    <row r="8" spans="1:14">
      <c r="B8" s="33" t="s">
        <v>183</v>
      </c>
      <c r="C8" s="9"/>
      <c r="D8" s="9"/>
      <c r="E8" s="34"/>
      <c r="F8" s="92" t="s">
        <v>172</v>
      </c>
      <c r="G8" s="68" t="s">
        <v>30</v>
      </c>
      <c r="H8" s="34"/>
      <c r="I8" s="34"/>
      <c r="J8" s="34"/>
      <c r="K8" s="28"/>
      <c r="L8" s="28"/>
    </row>
    <row r="9" spans="1:14" ht="21.75" customHeight="1">
      <c r="A9" s="442" t="s">
        <v>31</v>
      </c>
      <c r="B9" s="444" t="s">
        <v>347</v>
      </c>
      <c r="C9" s="445" t="s">
        <v>193</v>
      </c>
      <c r="D9" s="449" t="s">
        <v>33</v>
      </c>
      <c r="E9" s="446"/>
      <c r="F9" s="446"/>
      <c r="G9" s="443"/>
      <c r="H9" s="449" t="s">
        <v>187</v>
      </c>
      <c r="I9" s="446"/>
      <c r="J9" s="446"/>
      <c r="K9" s="446"/>
      <c r="L9" s="20"/>
    </row>
    <row r="10" spans="1:14" ht="16.5" customHeight="1">
      <c r="A10" s="443"/>
      <c r="B10" s="473"/>
      <c r="C10" s="474"/>
      <c r="D10" s="152" t="s">
        <v>34</v>
      </c>
      <c r="E10" s="71" t="s">
        <v>188</v>
      </c>
      <c r="F10" s="71" t="s">
        <v>317</v>
      </c>
      <c r="G10" s="115" t="s">
        <v>331</v>
      </c>
      <c r="H10" s="72" t="s">
        <v>34</v>
      </c>
      <c r="I10" s="71" t="s">
        <v>188</v>
      </c>
      <c r="J10" s="71" t="s">
        <v>317</v>
      </c>
      <c r="K10" s="71" t="s">
        <v>331</v>
      </c>
      <c r="L10" s="93"/>
      <c r="M10" s="40"/>
    </row>
    <row r="11" spans="1:14">
      <c r="A11" s="160">
        <f>REPORT_raw_dataseen!R1</f>
        <v>44348</v>
      </c>
      <c r="B11" s="155" t="str">
        <f>IF(VLOOKUP($C$7,'Type of adjust'!$A$1:$P$17,MATCH($A11,'Type of adjust'!$A$1:$P$1,1),FALSE)="", "..", VLOOKUP($C$7,'Type of adjust'!$A$1:$P$17,MATCH($A11,'Type of adjust'!$A$1:$P$1,1),FALSE))</f>
        <v>..</v>
      </c>
      <c r="C11" s="11">
        <f>IF(VLOOKUP($C$7&amp;"Adjusted waiting over_65"&amp;$C$9,REPORT_raw_datawaiting!$A$1:$R$817,MATCH($A11,REPORT_raw_datawaiting!$D$1:$R$1,1)+3, FALSE)=0,"-", IF(VLOOKUP($C$7&amp;"Adjusted waiting over_65"&amp;$C$9,REPORT_raw_datawaiting!$A$1:$R$817,MATCH($A11,REPORT_raw_datawaiting!$D$1:$R$1,1)+3, FALSE)&lt;-13,"*",VLOOKUP($C$7&amp;"Adjusted waiting over_65"&amp;$C$9,REPORT_raw_datawaiting!$A$1:$R$817,MATCH($A11,REPORT_raw_datawaiting!$D$1:$R$1,1)+3, FALSE)))</f>
        <v>1136</v>
      </c>
      <c r="D11" s="11">
        <f>IF(C11="*","*",IF(VLOOKUP($C$7&amp;"Adjusted waiting over_65"&amp;$D$10,REPORT_raw_datawaiting!$A$1:$R$817,MATCH($A11,REPORT_raw_datawaiting!$D$1:$R$1,1)+3, FALSE)=0,"-",VLOOKUP($C$7&amp;"Adjusted waiting over_65"&amp;$D$10,REPORT_raw_datawaiting!$A$1:$R$817,MATCH($A11,REPORT_raw_datawaiting!$D$1:$R$1,1)+3, FALSE)))</f>
        <v>879</v>
      </c>
      <c r="E11" s="11">
        <f>IF(C11="*","*",IF(VLOOKUP($C$7&amp;"Adjusted waiting over_65"&amp;$E$10,REPORT_raw_datawaiting!$A$1:$R$817,MATCH($A11,REPORT_raw_datawaiting!$D$1:$R$1,1)+3, FALSE)=0,"-",VLOOKUP($C$7&amp;"Adjusted waiting over_65"&amp;$E$10,REPORT_raw_datawaiting!$A$1:$R$817,MATCH($A11,REPORT_raw_datawaiting!$D$1:$R$1,1)+3, FALSE)))</f>
        <v>116</v>
      </c>
      <c r="F11" s="11">
        <f>IF(C11="*","*",IF(VLOOKUP($C$7&amp;"Adjusted waiting over_65"&amp;$F$8,REPORT_raw_datawaiting!$A$1:$R$817,MATCH($A11,REPORT_raw_datawaiting!$D$1:$R$1,1)+3, FALSE)=0,"-",VLOOKUP($C$7&amp;"Adjusted waiting over_65"&amp;$F$8,REPORT_raw_datawaiting!$A$1:$R$817,MATCH($A11,REPORT_raw_datawaiting!$D$1:$R$1,1)+3, FALSE)))</f>
        <v>45</v>
      </c>
      <c r="G11" s="11">
        <f>IF(C11="*","*",IF(VLOOKUP($C$7&amp;"Adjusted waiting over_65"&amp;$G$8,REPORT_raw_datawaiting!$A$1:$R$817,MATCH($A11,REPORT_raw_datawaiting!$D$1:$R$1,1)+3, FALSE)=0,"-",VLOOKUP($C$7&amp;"Adjusted waiting over_65"&amp;$G$8,REPORT_raw_datawaiting!$A$1:$R$817,MATCH($A11,REPORT_raw_datawaiting!$D$1:$R$1,1)+3, FALSE)))</f>
        <v>96</v>
      </c>
      <c r="H11" s="156">
        <f t="shared" ref="H11:K25" si="0">IF(D11="-","-",IF(D11="..","..",IF(D11=0,"-",IF((D11/$C11%)=0,"-",ROUND(D11/$C11%,2)))))</f>
        <v>77.38</v>
      </c>
      <c r="I11" s="156">
        <f t="shared" si="0"/>
        <v>10.210000000000001</v>
      </c>
      <c r="J11" s="156">
        <f t="shared" si="0"/>
        <v>3.96</v>
      </c>
      <c r="K11" s="156">
        <f t="shared" si="0"/>
        <v>8.4499999999999993</v>
      </c>
      <c r="L11" s="94"/>
      <c r="M11" s="94"/>
      <c r="N11" s="94"/>
    </row>
    <row r="12" spans="1:14">
      <c r="A12" s="160">
        <f>DATE(YEAR(A11),MONTH(A11)-1,DAY(A11))</f>
        <v>44317</v>
      </c>
      <c r="B12" s="155" t="str">
        <f>IF(VLOOKUP($C$7,'Type of adjust'!$A$1:$P$17,MATCH($A12,'Type of adjust'!$A$1:$P$1,1),FALSE)="", "..", VLOOKUP($C$7,'Type of adjust'!$A$1:$P$17,MATCH($A12,'Type of adjust'!$A$1:$P$1,1),FALSE))</f>
        <v>..</v>
      </c>
      <c r="C12" s="11">
        <f>IF(VLOOKUP($C$7&amp;"Adjusted waiting over_65"&amp;$C$9,REPORT_raw_datawaiting!$A$1:$R$817,MATCH($A12,REPORT_raw_datawaiting!$D$1:$R$1,1)+3, FALSE)=0,"-", IF(VLOOKUP($C$7&amp;"Adjusted waiting over_65"&amp;$C$9,REPORT_raw_datawaiting!$A$1:$R$817,MATCH($A12,REPORT_raw_datawaiting!$D$1:$R$1,1)+3, FALSE)&lt;-6,"*",VLOOKUP($C$7&amp;"Adjusted waiting over_65"&amp;$C$9,REPORT_raw_datawaiting!$A$1:$R$817,MATCH($A12,REPORT_raw_datawaiting!$D$1:$R$1,1)+3, FALSE)))</f>
        <v>1023</v>
      </c>
      <c r="D12" s="11">
        <f>IF(C12="*","*",IF(VLOOKUP($C$7&amp;"Adjusted waiting over_65"&amp;$D$10,REPORT_raw_datawaiting!$A$1:$R$817,MATCH($A12,REPORT_raw_datawaiting!$D$1:$R$1,1)+3, FALSE)=0,"-",VLOOKUP($C$7&amp;"Adjusted waiting over_65"&amp;$D$10,REPORT_raw_datawaiting!$A$1:$R$817,MATCH($A12,REPORT_raw_datawaiting!$D$1:$R$1,1)+3, FALSE)))</f>
        <v>745</v>
      </c>
      <c r="E12" s="11">
        <f>IF(C12="*","*",IF(VLOOKUP($C$7&amp;"Adjusted waiting over_65"&amp;$E$10,REPORT_raw_datawaiting!$A$1:$R$817,MATCH($A12,REPORT_raw_datawaiting!$D$1:$R$1,1)+3, FALSE)=0,"-",VLOOKUP($C$7&amp;"Adjusted waiting over_65"&amp;$E$10,REPORT_raw_datawaiting!$A$1:$R$817,MATCH($A12,REPORT_raw_datawaiting!$D$1:$R$1,1)+3, FALSE)))</f>
        <v>133</v>
      </c>
      <c r="F12" s="11">
        <f>IF(C12="*","*",IF(VLOOKUP($C$7&amp;"Adjusted waiting over_65"&amp;$F$8,REPORT_raw_datawaiting!$A$1:$R$817,MATCH($A12,REPORT_raw_datawaiting!$D$1:$R$1,1)+3, FALSE)=0,"-",VLOOKUP($C$7&amp;"Adjusted waiting over_65"&amp;$F$8,REPORT_raw_datawaiting!$A$1:$R$817,MATCH($A12,REPORT_raw_datawaiting!$D$1:$R$1,1)+3, FALSE)))</f>
        <v>46</v>
      </c>
      <c r="G12" s="11">
        <f>IF(C12="*","*",IF(VLOOKUP($C$7&amp;"Adjusted waiting over_65"&amp;$G$8,REPORT_raw_datawaiting!$A$1:$R$817,MATCH($A12,REPORT_raw_datawaiting!$D$1:$R$1,1)+3, FALSE)=0,"-",VLOOKUP($C$7&amp;"Adjusted waiting over_65"&amp;$G$8,REPORT_raw_datawaiting!$A$1:$R$817,MATCH($A12,REPORT_raw_datawaiting!$D$1:$R$1,1)+3, FALSE)))</f>
        <v>99</v>
      </c>
      <c r="H12" s="156">
        <f t="shared" si="0"/>
        <v>72.83</v>
      </c>
      <c r="I12" s="156">
        <f t="shared" si="0"/>
        <v>13</v>
      </c>
      <c r="J12" s="156">
        <f t="shared" si="0"/>
        <v>4.5</v>
      </c>
      <c r="K12" s="156">
        <f t="shared" si="0"/>
        <v>9.68</v>
      </c>
      <c r="L12" s="94"/>
      <c r="M12" s="94"/>
      <c r="N12" s="94"/>
    </row>
    <row r="13" spans="1:14">
      <c r="A13" s="160">
        <f>DATE(YEAR(A12),MONTH(A12)-1,DAY(A12))</f>
        <v>44287</v>
      </c>
      <c r="B13" s="155" t="str">
        <f>IF(VLOOKUP($C$7,'Type of adjust'!$A$1:$P$17,MATCH($A13,'Type of adjust'!$A$1:$P$1,1),FALSE)="", "..", VLOOKUP($C$7,'Type of adjust'!$A$1:$P$17,MATCH($A13,'Type of adjust'!$A$1:$P$1,1),FALSE))</f>
        <v>..</v>
      </c>
      <c r="C13" s="11">
        <f>IF(VLOOKUP($C$7&amp;"Adjusted waiting over_65"&amp;$C$9,REPORT_raw_datawaiting!$A$1:$R$817,MATCH($A13,REPORT_raw_datawaiting!$D$1:$R$1,1)+3, FALSE)=0,"-", IF(VLOOKUP($C$7&amp;"Adjusted waiting over_65"&amp;$C$9,REPORT_raw_datawaiting!$A$1:$R$817,MATCH($A13,REPORT_raw_datawaiting!$D$1:$R$1,1)+3, FALSE)&lt;-6,"*",VLOOKUP($C$7&amp;"Adjusted waiting over_65"&amp;$C$9,REPORT_raw_datawaiting!$A$1:$R$817,MATCH($A13,REPORT_raw_datawaiting!$D$1:$R$1,1)+3, FALSE)))</f>
        <v>966</v>
      </c>
      <c r="D13" s="11">
        <f>IF(C13="*","*",IF(VLOOKUP($C$7&amp;"Adjusted waiting over_65"&amp;$D$10,REPORT_raw_datawaiting!$A$1:$R$817,MATCH($A13,REPORT_raw_datawaiting!$D$1:$R$1,1)+3, FALSE)=0,"-",VLOOKUP($C$7&amp;"Adjusted waiting over_65"&amp;$D$10,REPORT_raw_datawaiting!$A$1:$R$817,MATCH($A13,REPORT_raw_datawaiting!$D$1:$R$1,1)+3, FALSE)))</f>
        <v>672</v>
      </c>
      <c r="E13" s="11">
        <f>IF(C13="*","*",IF(VLOOKUP($C$7&amp;"Adjusted waiting over_65"&amp;$E$10,REPORT_raw_datawaiting!$A$1:$R$817,MATCH($A13,REPORT_raw_datawaiting!$D$1:$R$1,1)+3, FALSE)=0,"-",VLOOKUP($C$7&amp;"Adjusted waiting over_65"&amp;$E$10,REPORT_raw_datawaiting!$A$1:$R$817,MATCH($A13,REPORT_raw_datawaiting!$D$1:$R$1,1)+3, FALSE)))</f>
        <v>144</v>
      </c>
      <c r="F13" s="11">
        <f>IF(C13="*","*",IF(VLOOKUP($C$7&amp;"Adjusted waiting over_65"&amp;$F$8,REPORT_raw_datawaiting!$A$1:$R$817,MATCH($A13,REPORT_raw_datawaiting!$D$1:$R$1,1)+3, FALSE)=0,"-",VLOOKUP($C$7&amp;"Adjusted waiting over_65"&amp;$F$8,REPORT_raw_datawaiting!$A$1:$R$817,MATCH($A13,REPORT_raw_datawaiting!$D$1:$R$1,1)+3, FALSE)))</f>
        <v>40</v>
      </c>
      <c r="G13" s="11">
        <f>IF(C13="*","*",IF(VLOOKUP($C$7&amp;"Adjusted waiting over_65"&amp;$G$8,REPORT_raw_datawaiting!$A$1:$R$817,MATCH($A13,REPORT_raw_datawaiting!$D$1:$R$1,1)+3, FALSE)=0,"-",VLOOKUP($C$7&amp;"Adjusted waiting over_65"&amp;$G$8,REPORT_raw_datawaiting!$A$1:$R$817,MATCH($A13,REPORT_raw_datawaiting!$D$1:$R$1,1)+3, FALSE)))</f>
        <v>110</v>
      </c>
      <c r="H13" s="156">
        <f t="shared" si="0"/>
        <v>69.569999999999993</v>
      </c>
      <c r="I13" s="156">
        <f t="shared" si="0"/>
        <v>14.91</v>
      </c>
      <c r="J13" s="156">
        <f t="shared" si="0"/>
        <v>4.1399999999999997</v>
      </c>
      <c r="K13" s="156">
        <f t="shared" si="0"/>
        <v>11.39</v>
      </c>
      <c r="L13" s="94"/>
      <c r="M13" s="94"/>
      <c r="N13" s="94"/>
    </row>
    <row r="14" spans="1:14">
      <c r="A14" s="160">
        <f>DATE(YEAR(A13),MONTH(A13)-1,DAY(A13))</f>
        <v>44256</v>
      </c>
      <c r="B14" s="155" t="str">
        <f>IF(VLOOKUP($C$7,'Type of adjust'!$A$1:$P$17,MATCH($A14,'Type of adjust'!$A$1:$P$1,1),FALSE)="", "..", VLOOKUP($C$7,'Type of adjust'!$A$1:$P$17,MATCH($A14,'Type of adjust'!$A$1:$P$1,1),FALSE))</f>
        <v>..</v>
      </c>
      <c r="C14" s="11">
        <f>IF(VLOOKUP($C$7&amp;"Adjusted waiting over_65"&amp;$C$9,REPORT_raw_datawaiting!$A$1:$R$817,MATCH($A14,REPORT_raw_datawaiting!$D$1:$R$1,1)+3, FALSE)=0,"-", IF(VLOOKUP($C$7&amp;"Adjusted waiting over_65"&amp;$C$9,REPORT_raw_datawaiting!$A$1:$R$817,MATCH($A14,REPORT_raw_datawaiting!$D$1:$R$1,1)+3, FALSE)&lt;-6,"*",VLOOKUP($C$7&amp;"Adjusted waiting over_65"&amp;$C$9,REPORT_raw_datawaiting!$A$1:$R$817,MATCH($A14,REPORT_raw_datawaiting!$D$1:$R$1,1)+3, FALSE)))</f>
        <v>918</v>
      </c>
      <c r="D14" s="11">
        <f>IF(C14="*","*",IF(VLOOKUP($C$7&amp;"Adjusted waiting over_65"&amp;$D$10,REPORT_raw_datawaiting!$A$1:$R$817,MATCH($A14,REPORT_raw_datawaiting!$D$1:$R$1,1)+3, FALSE)=0,"-",VLOOKUP($C$7&amp;"Adjusted waiting over_65"&amp;$D$10,REPORT_raw_datawaiting!$A$1:$R$817,MATCH($A14,REPORT_raw_datawaiting!$D$1:$R$1,1)+3, FALSE)))</f>
        <v>649</v>
      </c>
      <c r="E14" s="11">
        <f>IF(C14="*","*",IF(VLOOKUP($C$7&amp;"Adjusted waiting over_65"&amp;$E$10,REPORT_raw_datawaiting!$A$1:$R$817,MATCH($A14,REPORT_raw_datawaiting!$D$1:$R$1,1)+3, FALSE)=0,"-",VLOOKUP($C$7&amp;"Adjusted waiting over_65"&amp;$E$10,REPORT_raw_datawaiting!$A$1:$R$817,MATCH($A14,REPORT_raw_datawaiting!$D$1:$R$1,1)+3, FALSE)))</f>
        <v>131</v>
      </c>
      <c r="F14" s="11">
        <f>IF(C14="*","*",IF(VLOOKUP($C$7&amp;"Adjusted waiting over_65"&amp;$F$8,REPORT_raw_datawaiting!$A$1:$R$817,MATCH($A14,REPORT_raw_datawaiting!$D$1:$R$1,1)+3, FALSE)=0,"-",VLOOKUP($C$7&amp;"Adjusted waiting over_65"&amp;$F$8,REPORT_raw_datawaiting!$A$1:$R$817,MATCH($A14,REPORT_raw_datawaiting!$D$1:$R$1,1)+3, FALSE)))</f>
        <v>35</v>
      </c>
      <c r="G14" s="11">
        <f>IF(C14="*","*",IF(VLOOKUP($C$7&amp;"Adjusted waiting over_65"&amp;$G$8,REPORT_raw_datawaiting!$A$1:$R$817,MATCH($A14,REPORT_raw_datawaiting!$D$1:$R$1,1)+3, FALSE)=0,"-",VLOOKUP($C$7&amp;"Adjusted waiting over_65"&amp;$G$8,REPORT_raw_datawaiting!$A$1:$R$817,MATCH($A14,REPORT_raw_datawaiting!$D$1:$R$1,1)+3, FALSE)))</f>
        <v>103</v>
      </c>
      <c r="H14" s="156">
        <f>IF(D14="-","-",IF(D14="..","..",IF(D14=0,"-",IF((D14/$C14%)=0,"-",ROUND(D14/$C14%,2)))))</f>
        <v>70.7</v>
      </c>
      <c r="I14" s="156">
        <f t="shared" si="0"/>
        <v>14.27</v>
      </c>
      <c r="J14" s="156">
        <f t="shared" si="0"/>
        <v>3.81</v>
      </c>
      <c r="K14" s="156">
        <f t="shared" si="0"/>
        <v>11.22</v>
      </c>
      <c r="L14" s="94"/>
      <c r="M14" s="94"/>
      <c r="N14" s="94"/>
    </row>
    <row r="15" spans="1:14">
      <c r="A15" s="160">
        <f>DATE(YEAR(A14),MONTH(A14)-1,DAY(A14))</f>
        <v>44228</v>
      </c>
      <c r="B15" s="155" t="str">
        <f>IF(VLOOKUP($C$7,'Type of adjust'!$A$1:$P$17,MATCH($A15,'Type of adjust'!$A$1:$P$1,1),FALSE)="", "..", VLOOKUP($C$7,'Type of adjust'!$A$1:$P$17,MATCH($A15,'Type of adjust'!$A$1:$P$1,1),FALSE))</f>
        <v>..</v>
      </c>
      <c r="C15" s="11">
        <f>IF(VLOOKUP($C$7&amp;"Adjusted waiting over_65"&amp;$C$9,REPORT_raw_datawaiting!$A$1:$R$817,MATCH($A15,REPORT_raw_datawaiting!$D$1:$R$1,1)+3, FALSE)=0,"-", IF(VLOOKUP($C$7&amp;"Adjusted waiting over_65"&amp;$C$9,REPORT_raw_datawaiting!$A$1:$R$817,MATCH($A15,REPORT_raw_datawaiting!$D$1:$R$1,1)+3, FALSE)&lt;-6,"*",VLOOKUP($C$7&amp;"Adjusted waiting over_65"&amp;$C$9,REPORT_raw_datawaiting!$A$1:$R$817,MATCH($A15,REPORT_raw_datawaiting!$D$1:$R$1,1)+3, FALSE)))</f>
        <v>850</v>
      </c>
      <c r="D15" s="11">
        <f>IF(C15="*","*",IF(VLOOKUP($C$7&amp;"Adjusted waiting over_65"&amp;$D$10,REPORT_raw_datawaiting!$A$1:$R$817,MATCH($A15,REPORT_raw_datawaiting!$D$1:$R$1,1)+3, FALSE)=0,"-",VLOOKUP($C$7&amp;"Adjusted waiting over_65"&amp;$D$10,REPORT_raw_datawaiting!$A$1:$R$817,MATCH($A15,REPORT_raw_datawaiting!$D$1:$R$1,1)+3, FALSE)))</f>
        <v>582</v>
      </c>
      <c r="E15" s="11">
        <f>IF(C15="*","*",IF(VLOOKUP($C$7&amp;"Adjusted waiting over_65"&amp;$E$10,REPORT_raw_datawaiting!$A$1:$R$817,MATCH($A15,REPORT_raw_datawaiting!$D$1:$R$1,1)+3, FALSE)=0,"-",VLOOKUP($C$7&amp;"Adjusted waiting over_65"&amp;$E$10,REPORT_raw_datawaiting!$A$1:$R$817,MATCH($A15,REPORT_raw_datawaiting!$D$1:$R$1,1)+3, FALSE)))</f>
        <v>121</v>
      </c>
      <c r="F15" s="11">
        <f>IF(C15="*","*",IF(VLOOKUP($C$7&amp;"Adjusted waiting over_65"&amp;$F$8,REPORT_raw_datawaiting!$A$1:$R$817,MATCH($A15,REPORT_raw_datawaiting!$D$1:$R$1,1)+3, FALSE)=0,"-",VLOOKUP($C$7&amp;"Adjusted waiting over_65"&amp;$F$8,REPORT_raw_datawaiting!$A$1:$R$817,MATCH($A15,REPORT_raw_datawaiting!$D$1:$R$1,1)+3, FALSE)))</f>
        <v>39</v>
      </c>
      <c r="G15" s="11">
        <f>IF(C15="*","*",IF(VLOOKUP($C$7&amp;"Adjusted waiting over_65"&amp;$G$8,REPORT_raw_datawaiting!$A$1:$R$817,MATCH($A15,REPORT_raw_datawaiting!$D$1:$R$1,1)+3, FALSE)=0,"-",VLOOKUP($C$7&amp;"Adjusted waiting over_65"&amp;$G$8,REPORT_raw_datawaiting!$A$1:$R$817,MATCH($A15,REPORT_raw_datawaiting!$D$1:$R$1,1)+3, FALSE)))</f>
        <v>108</v>
      </c>
      <c r="H15" s="156">
        <f t="shared" ref="H15:H25" si="1">IF(D15="-","-",IF(D15="..","..",IF(D15=0,"-",IF((D15/$C15%)=0,"-",ROUND(D15/$C15%,2)))))</f>
        <v>68.47</v>
      </c>
      <c r="I15" s="156">
        <f t="shared" si="0"/>
        <v>14.24</v>
      </c>
      <c r="J15" s="156">
        <f t="shared" si="0"/>
        <v>4.59</v>
      </c>
      <c r="K15" s="156">
        <f t="shared" si="0"/>
        <v>12.71</v>
      </c>
      <c r="L15" s="94"/>
      <c r="M15" s="94"/>
      <c r="N15" s="94"/>
    </row>
    <row r="16" spans="1:14">
      <c r="A16" s="160">
        <f>DATE(YEAR(A15),MONTH(A15)-1,DAY(A15))</f>
        <v>44197</v>
      </c>
      <c r="B16" s="155" t="str">
        <f>IF(VLOOKUP($C$7,'Type of adjust'!$A$1:$P$17,MATCH($A16,'Type of adjust'!$A$1:$P$1,1),FALSE)="", "..", VLOOKUP($C$7,'Type of adjust'!$A$1:$P$17,MATCH($A16,'Type of adjust'!$A$1:$P$1,1),FALSE))</f>
        <v>..</v>
      </c>
      <c r="C16" s="11">
        <f>IF(VLOOKUP($C$7&amp;"Adjusted waiting over_65"&amp;$C$9,REPORT_raw_datawaiting!$A$1:$R$817,MATCH($A16,REPORT_raw_datawaiting!$D$1:$R$1,1)+3, FALSE)=0,"-", IF(VLOOKUP($C$7&amp;"Adjusted waiting over_65"&amp;$C$9,REPORT_raw_datawaiting!$A$1:$R$817,MATCH($A16,REPORT_raw_datawaiting!$D$1:$R$1,1)+3, FALSE)&lt;-23,"*",VLOOKUP($C$7&amp;"Adjusted waiting over_65"&amp;$C$9,REPORT_raw_datawaiting!$A$1:$R$817,MATCH($A16,REPORT_raw_datawaiting!$D$1:$R$1,1)+3, FALSE)))</f>
        <v>826</v>
      </c>
      <c r="D16" s="11">
        <f>IF(C16="*","*",IF(VLOOKUP($C$7&amp;"Adjusted waiting over_65"&amp;$D$10,REPORT_raw_datawaiting!$A$1:$R$817,MATCH($A16,REPORT_raw_datawaiting!$D$1:$R$1,1)+3, FALSE)=0,"-",VLOOKUP($C$7&amp;"Adjusted waiting over_65"&amp;$D$10,REPORT_raw_datawaiting!$A$1:$R$817,MATCH($A16,REPORT_raw_datawaiting!$D$1:$R$1,1)+3, FALSE)))</f>
        <v>543</v>
      </c>
      <c r="E16" s="11">
        <f>IF(C16="*","*",IF(VLOOKUP($C$7&amp;"Adjusted waiting over_65"&amp;$E$10,REPORT_raw_datawaiting!$A$1:$R$817,MATCH($A16,REPORT_raw_datawaiting!$D$1:$R$1,1)+3, FALSE)=0,"-",VLOOKUP($C$7&amp;"Adjusted waiting over_65"&amp;$E$10,REPORT_raw_datawaiting!$A$1:$R$817,MATCH($A16,REPORT_raw_datawaiting!$D$1:$R$1,1)+3, FALSE)))</f>
        <v>104</v>
      </c>
      <c r="F16" s="11">
        <f>IF(C16="*","*",IF(VLOOKUP($C$7&amp;"Adjusted waiting over_65"&amp;$F$8,REPORT_raw_datawaiting!$A$1:$R$817,MATCH($A16,REPORT_raw_datawaiting!$D$1:$R$1,1)+3, FALSE)=0,"-",VLOOKUP($C$7&amp;"Adjusted waiting over_65"&amp;$F$8,REPORT_raw_datawaiting!$A$1:$R$817,MATCH($A16,REPORT_raw_datawaiting!$D$1:$R$1,1)+3, FALSE)))</f>
        <v>77</v>
      </c>
      <c r="G16" s="11">
        <f>IF(C16="*","*",IF(VLOOKUP($C$7&amp;"Adjusted waiting over_65"&amp;$G$8,REPORT_raw_datawaiting!$A$1:$R$817,MATCH($A16,REPORT_raw_datawaiting!$D$1:$R$1,1)+3, FALSE)=0,"-",VLOOKUP($C$7&amp;"Adjusted waiting over_65"&amp;$G$8,REPORT_raw_datawaiting!$A$1:$R$817,MATCH($A16,REPORT_raw_datawaiting!$D$1:$R$1,1)+3, FALSE)))</f>
        <v>102</v>
      </c>
      <c r="H16" s="156">
        <f t="shared" si="1"/>
        <v>65.739999999999995</v>
      </c>
      <c r="I16" s="156">
        <f t="shared" si="0"/>
        <v>12.59</v>
      </c>
      <c r="J16" s="156">
        <f t="shared" si="0"/>
        <v>9.32</v>
      </c>
      <c r="K16" s="156">
        <f t="shared" si="0"/>
        <v>12.35</v>
      </c>
      <c r="L16" s="94"/>
      <c r="M16" s="94"/>
      <c r="N16" s="94"/>
    </row>
    <row r="17" spans="1:14">
      <c r="A17" s="160">
        <f t="shared" ref="A17:A25" si="2">DATE(YEAR(A16),MONTH(A16)-1,DAY(A16))</f>
        <v>44166</v>
      </c>
      <c r="B17" s="155" t="str">
        <f>IF(VLOOKUP($C$7,'Type of adjust'!$A$1:$P$17,MATCH($A17,'Type of adjust'!$A$1:$P$1,1),FALSE)="", "..", VLOOKUP($C$7,'Type of adjust'!$A$1:$P$17,MATCH($A17,'Type of adjust'!$A$1:$P$1,1),FALSE))</f>
        <v>..</v>
      </c>
      <c r="C17" s="11">
        <f>IF(VLOOKUP($C$7&amp;"Adjusted waiting over_65"&amp;$C$9,REPORT_raw_datawaiting!$A$1:$R$817,MATCH($A17,REPORT_raw_datawaiting!$D$1:$R$1,1)+3, FALSE)=0,"-", IF(VLOOKUP($C$7&amp;"Adjusted waiting over_65"&amp;$C$9,REPORT_raw_datawaiting!$A$1:$R$817,MATCH($A17,REPORT_raw_datawaiting!$D$1:$R$1,1)+3, FALSE)&lt;-6,"*",VLOOKUP($C$7&amp;"Adjusted waiting over_65"&amp;$C$9,REPORT_raw_datawaiting!$A$1:$R$817,MATCH($A17,REPORT_raw_datawaiting!$D$1:$R$1,1)+3, FALSE)))</f>
        <v>903</v>
      </c>
      <c r="D17" s="11">
        <f>IF(C17="*","*",IF(VLOOKUP($C$7&amp;"Adjusted waiting over_65"&amp;$D$10,REPORT_raw_datawaiting!$A$1:$R$817,MATCH($A17,REPORT_raw_datawaiting!$D$1:$R$1,1)+3, FALSE)=0,"-",VLOOKUP($C$7&amp;"Adjusted waiting over_65"&amp;$D$10,REPORT_raw_datawaiting!$A$1:$R$817,MATCH($A17,REPORT_raw_datawaiting!$D$1:$R$1,1)+3, FALSE)))</f>
        <v>578</v>
      </c>
      <c r="E17" s="11">
        <f>IF(C17="*","*",IF(VLOOKUP($C$7&amp;"Adjusted waiting over_65"&amp;$E$10,REPORT_raw_datawaiting!$A$1:$R$817,MATCH($A17,REPORT_raw_datawaiting!$D$1:$R$1,1)+3, FALSE)=0,"-",VLOOKUP($C$7&amp;"Adjusted waiting over_65"&amp;$E$10,REPORT_raw_datawaiting!$A$1:$R$817,MATCH($A17,REPORT_raw_datawaiting!$D$1:$R$1,1)+3, FALSE)))</f>
        <v>102</v>
      </c>
      <c r="F17" s="11">
        <f>IF(C17="*","*",IF(VLOOKUP($C$7&amp;"Adjusted waiting over_65"&amp;$F$8,REPORT_raw_datawaiting!$A$1:$R$817,MATCH($A17,REPORT_raw_datawaiting!$D$1:$R$1,1)+3, FALSE)=0,"-",VLOOKUP($C$7&amp;"Adjusted waiting over_65"&amp;$F$8,REPORT_raw_datawaiting!$A$1:$R$817,MATCH($A17,REPORT_raw_datawaiting!$D$1:$R$1,1)+3, FALSE)))</f>
        <v>120</v>
      </c>
      <c r="G17" s="11">
        <f>IF(C17="*","*",IF(VLOOKUP($C$7&amp;"Adjusted waiting over_65"&amp;$G$8,REPORT_raw_datawaiting!$A$1:$R$817,MATCH($A17,REPORT_raw_datawaiting!$D$1:$R$1,1)+3, FALSE)=0,"-",VLOOKUP($C$7&amp;"Adjusted waiting over_65"&amp;$G$8,REPORT_raw_datawaiting!$A$1:$R$817,MATCH($A17,REPORT_raw_datawaiting!$D$1:$R$1,1)+3, FALSE)))</f>
        <v>103</v>
      </c>
      <c r="H17" s="156">
        <f t="shared" si="1"/>
        <v>64.010000000000005</v>
      </c>
      <c r="I17" s="156">
        <f t="shared" si="0"/>
        <v>11.3</v>
      </c>
      <c r="J17" s="156">
        <f t="shared" si="0"/>
        <v>13.29</v>
      </c>
      <c r="K17" s="156">
        <f t="shared" si="0"/>
        <v>11.41</v>
      </c>
      <c r="L17" s="94"/>
      <c r="M17" s="94"/>
      <c r="N17" s="94"/>
    </row>
    <row r="18" spans="1:14">
      <c r="A18" s="160">
        <f t="shared" si="2"/>
        <v>44136</v>
      </c>
      <c r="B18" s="155" t="str">
        <f>IF(VLOOKUP($C$7,'Type of adjust'!$A$1:$P$17,MATCH($A18,'Type of adjust'!$A$1:$P$1,1),FALSE)="", "..", VLOOKUP($C$7,'Type of adjust'!$A$1:$P$17,MATCH($A18,'Type of adjust'!$A$1:$P$1,1),FALSE))</f>
        <v>..</v>
      </c>
      <c r="C18" s="11">
        <f>IF(VLOOKUP($C$7&amp;"Adjusted waiting over_65"&amp;$C$9,REPORT_raw_datawaiting!$A$1:$R$817,MATCH($A18,REPORT_raw_datawaiting!$D$1:$R$1,1)+3, FALSE)=0,"-", IF(VLOOKUP($C$7&amp;"Adjusted waiting over_65"&amp;$C$9,REPORT_raw_datawaiting!$A$1:$R$817,MATCH($A18,REPORT_raw_datawaiting!$D$1:$R$1,1)+3, FALSE)&lt;-6,"*",VLOOKUP($C$7&amp;"Adjusted waiting over_65"&amp;$C$9,REPORT_raw_datawaiting!$A$1:$R$817,MATCH($A18,REPORT_raw_datawaiting!$D$1:$R$1,1)+3, FALSE)))</f>
        <v>963</v>
      </c>
      <c r="D18" s="11">
        <f>IF(C18="*","*",IF(VLOOKUP($C$7&amp;"Adjusted waiting over_65"&amp;$D$10,REPORT_raw_datawaiting!$A$1:$R$817,MATCH($A18,REPORT_raw_datawaiting!$D$1:$R$1,1)+3, FALSE)=0,"-",VLOOKUP($C$7&amp;"Adjusted waiting over_65"&amp;$D$10,REPORT_raw_datawaiting!$A$1:$R$817,MATCH($A18,REPORT_raw_datawaiting!$D$1:$R$1,1)+3, FALSE)))</f>
        <v>587</v>
      </c>
      <c r="E18" s="11">
        <f>IF(C18="*","*",IF(VLOOKUP($C$7&amp;"Adjusted waiting over_65"&amp;$E$10,REPORT_raw_datawaiting!$A$1:$R$817,MATCH($A18,REPORT_raw_datawaiting!$D$1:$R$1,1)+3, FALSE)=0,"-",VLOOKUP($C$7&amp;"Adjusted waiting over_65"&amp;$E$10,REPORT_raw_datawaiting!$A$1:$R$817,MATCH($A18,REPORT_raw_datawaiting!$D$1:$R$1,1)+3, FALSE)))</f>
        <v>97</v>
      </c>
      <c r="F18" s="11">
        <f>IF(C18="*","*",IF(VLOOKUP($C$7&amp;"Adjusted waiting over_65"&amp;$F$8,REPORT_raw_datawaiting!$A$1:$R$817,MATCH($A18,REPORT_raw_datawaiting!$D$1:$R$1,1)+3, FALSE)=0,"-",VLOOKUP($C$7&amp;"Adjusted waiting over_65"&amp;$F$8,REPORT_raw_datawaiting!$A$1:$R$817,MATCH($A18,REPORT_raw_datawaiting!$D$1:$R$1,1)+3, FALSE)))</f>
        <v>173</v>
      </c>
      <c r="G18" s="11">
        <f>IF(C18="*","*",IF(VLOOKUP($C$7&amp;"Adjusted waiting over_65"&amp;$G$8,REPORT_raw_datawaiting!$A$1:$R$817,MATCH($A18,REPORT_raw_datawaiting!$D$1:$R$1,1)+3, FALSE)=0,"-",VLOOKUP($C$7&amp;"Adjusted waiting over_65"&amp;$G$8,REPORT_raw_datawaiting!$A$1:$R$817,MATCH($A18,REPORT_raw_datawaiting!$D$1:$R$1,1)+3, FALSE)))</f>
        <v>106</v>
      </c>
      <c r="H18" s="156">
        <f t="shared" si="1"/>
        <v>60.96</v>
      </c>
      <c r="I18" s="156">
        <f t="shared" si="0"/>
        <v>10.07</v>
      </c>
      <c r="J18" s="156">
        <f t="shared" si="0"/>
        <v>17.96</v>
      </c>
      <c r="K18" s="156">
        <f t="shared" si="0"/>
        <v>11.01</v>
      </c>
      <c r="L18" s="94"/>
      <c r="M18" s="94"/>
      <c r="N18" s="94"/>
    </row>
    <row r="19" spans="1:14">
      <c r="A19" s="160">
        <f t="shared" si="2"/>
        <v>44105</v>
      </c>
      <c r="B19" s="155" t="str">
        <f>IF(VLOOKUP($C$7,'Type of adjust'!$A$1:$P$17,MATCH($A19,'Type of adjust'!$A$1:$P$1,1),FALSE)="", "..", VLOOKUP($C$7,'Type of adjust'!$A$1:$P$17,MATCH($A19,'Type of adjust'!$A$1:$P$1,1),FALSE))</f>
        <v>..</v>
      </c>
      <c r="C19" s="11">
        <f>IF(VLOOKUP($C$7&amp;"Adjusted waiting over_65"&amp;$C$9,REPORT_raw_datawaiting!$A$1:$R$817,MATCH($A19,REPORT_raw_datawaiting!$D$1:$R$1,1)+3, FALSE)=0,"-", IF(VLOOKUP($C$7&amp;"Adjusted waiting over_65"&amp;$C$9,REPORT_raw_datawaiting!$A$1:$R$817,MATCH($A19,REPORT_raw_datawaiting!$D$1:$R$1,1)+3, FALSE)&lt;-6,"*",VLOOKUP($C$7&amp;"Adjusted waiting over_65"&amp;$C$9,REPORT_raw_datawaiting!$A$1:$R$817,MATCH($A19,REPORT_raw_datawaiting!$D$1:$R$1,1)+3, FALSE)))</f>
        <v>1075</v>
      </c>
      <c r="D19" s="11">
        <f>IF(C19="*","*",IF(VLOOKUP($C$7&amp;"Adjusted waiting over_65"&amp;$D$10,REPORT_raw_datawaiting!$A$1:$R$817,MATCH($A19,REPORT_raw_datawaiting!$D$1:$R$1,1)+3, FALSE)=0,"-",VLOOKUP($C$7&amp;"Adjusted waiting over_65"&amp;$D$10,REPORT_raw_datawaiting!$A$1:$R$817,MATCH($A19,REPORT_raw_datawaiting!$D$1:$R$1,1)+3, FALSE)))</f>
        <v>601</v>
      </c>
      <c r="E19" s="11">
        <f>IF(C19="*","*",IF(VLOOKUP($C$7&amp;"Adjusted waiting over_65"&amp;$E$10,REPORT_raw_datawaiting!$A$1:$R$817,MATCH($A19,REPORT_raw_datawaiting!$D$1:$R$1,1)+3, FALSE)=0,"-",VLOOKUP($C$7&amp;"Adjusted waiting over_65"&amp;$E$10,REPORT_raw_datawaiting!$A$1:$R$817,MATCH($A19,REPORT_raw_datawaiting!$D$1:$R$1,1)+3, FALSE)))</f>
        <v>154</v>
      </c>
      <c r="F19" s="11">
        <f>IF(C19="*","*",IF(VLOOKUP($C$7&amp;"Adjusted waiting over_65"&amp;$F$8,REPORT_raw_datawaiting!$A$1:$R$817,MATCH($A19,REPORT_raw_datawaiting!$D$1:$R$1,1)+3, FALSE)=0,"-",VLOOKUP($C$7&amp;"Adjusted waiting over_65"&amp;$F$8,REPORT_raw_datawaiting!$A$1:$R$817,MATCH($A19,REPORT_raw_datawaiting!$D$1:$R$1,1)+3, FALSE)))</f>
        <v>199</v>
      </c>
      <c r="G19" s="11">
        <f>IF(C19="*","*",IF(VLOOKUP($C$7&amp;"Adjusted waiting over_65"&amp;$G$8,REPORT_raw_datawaiting!$A$1:$R$817,MATCH($A19,REPORT_raw_datawaiting!$D$1:$R$1,1)+3, FALSE)=0,"-",VLOOKUP($C$7&amp;"Adjusted waiting over_65"&amp;$G$8,REPORT_raw_datawaiting!$A$1:$R$817,MATCH($A19,REPORT_raw_datawaiting!$D$1:$R$1,1)+3, FALSE)))</f>
        <v>121</v>
      </c>
      <c r="H19" s="156">
        <f t="shared" si="1"/>
        <v>55.91</v>
      </c>
      <c r="I19" s="156">
        <f t="shared" si="0"/>
        <v>14.33</v>
      </c>
      <c r="J19" s="156">
        <f t="shared" si="0"/>
        <v>18.510000000000002</v>
      </c>
      <c r="K19" s="156">
        <f t="shared" si="0"/>
        <v>11.26</v>
      </c>
      <c r="L19" s="94"/>
      <c r="M19" s="94"/>
      <c r="N19" s="94"/>
    </row>
    <row r="20" spans="1:14">
      <c r="A20" s="160">
        <f t="shared" si="2"/>
        <v>44075</v>
      </c>
      <c r="B20" s="155" t="str">
        <f>IF(VLOOKUP($C$7,'Type of adjust'!$A$1:$P$17,MATCH($A20,'Type of adjust'!$A$1:$P$1,1),FALSE)="", "..", VLOOKUP($C$7,'Type of adjust'!$A$1:$P$17,MATCH($A20,'Type of adjust'!$A$1:$P$1,1),FALSE))</f>
        <v>..</v>
      </c>
      <c r="C20" s="11">
        <f>IF(VLOOKUP($C$7&amp;"Adjusted waiting over_65"&amp;$C$9,REPORT_raw_datawaiting!$A$1:$R$817,MATCH($A20,REPORT_raw_datawaiting!$D$1:$R$1,1)+3, FALSE)=0,"-", IF(VLOOKUP($C$7&amp;"Adjusted waiting over_65"&amp;$C$9,REPORT_raw_datawaiting!$A$1:$R$817,MATCH($A20,REPORT_raw_datawaiting!$D$1:$R$1,1)+3, FALSE)&lt;-6,"*",VLOOKUP($C$7&amp;"Adjusted waiting over_65"&amp;$C$9,REPORT_raw_datawaiting!$A$1:$R$817,MATCH($A20,REPORT_raw_datawaiting!$D$1:$R$1,1)+3, FALSE)))</f>
        <v>1054</v>
      </c>
      <c r="D20" s="11">
        <f>IF(C20="*","*",IF(VLOOKUP($C$7&amp;"Adjusted waiting over_65"&amp;$D$10,REPORT_raw_datawaiting!$A$1:$R$817,MATCH($A20,REPORT_raw_datawaiting!$D$1:$R$1,1)+3, FALSE)=0,"-",VLOOKUP($C$7&amp;"Adjusted waiting over_65"&amp;$D$10,REPORT_raw_datawaiting!$A$1:$R$817,MATCH($A20,REPORT_raw_datawaiting!$D$1:$R$1,1)+3, FALSE)))</f>
        <v>541</v>
      </c>
      <c r="E20" s="11">
        <f>IF(C20="*","*",IF(VLOOKUP($C$7&amp;"Adjusted waiting over_65"&amp;$E$10,REPORT_raw_datawaiting!$A$1:$R$817,MATCH($A20,REPORT_raw_datawaiting!$D$1:$R$1,1)+3, FALSE)=0,"-",VLOOKUP($C$7&amp;"Adjusted waiting over_65"&amp;$E$10,REPORT_raw_datawaiting!$A$1:$R$817,MATCH($A20,REPORT_raw_datawaiting!$D$1:$R$1,1)+3, FALSE)))</f>
        <v>245</v>
      </c>
      <c r="F20" s="11">
        <f>IF(C20="*","*",IF(VLOOKUP($C$7&amp;"Adjusted waiting over_65"&amp;$F$8,REPORT_raw_datawaiting!$A$1:$R$817,MATCH($A20,REPORT_raw_datawaiting!$D$1:$R$1,1)+3, FALSE)=0,"-",VLOOKUP($C$7&amp;"Adjusted waiting over_65"&amp;$F$8,REPORT_raw_datawaiting!$A$1:$R$817,MATCH($A20,REPORT_raw_datawaiting!$D$1:$R$1,1)+3, FALSE)))</f>
        <v>158</v>
      </c>
      <c r="G20" s="11">
        <f>IF(C20="*","*",IF(VLOOKUP($C$7&amp;"Adjusted waiting over_65"&amp;$G$8,REPORT_raw_datawaiting!$A$1:$R$817,MATCH($A20,REPORT_raw_datawaiting!$D$1:$R$1,1)+3, FALSE)=0,"-",VLOOKUP($C$7&amp;"Adjusted waiting over_65"&amp;$G$8,REPORT_raw_datawaiting!$A$1:$R$817,MATCH($A20,REPORT_raw_datawaiting!$D$1:$R$1,1)+3, FALSE)))</f>
        <v>110</v>
      </c>
      <c r="H20" s="156">
        <f t="shared" si="1"/>
        <v>51.33</v>
      </c>
      <c r="I20" s="156">
        <f t="shared" si="0"/>
        <v>23.24</v>
      </c>
      <c r="J20" s="156">
        <f t="shared" si="0"/>
        <v>14.99</v>
      </c>
      <c r="K20" s="156">
        <f t="shared" si="0"/>
        <v>10.44</v>
      </c>
      <c r="L20" s="94"/>
      <c r="M20" s="94"/>
      <c r="N20" s="94"/>
    </row>
    <row r="21" spans="1:14">
      <c r="A21" s="160">
        <f t="shared" si="2"/>
        <v>44044</v>
      </c>
      <c r="B21" s="155" t="str">
        <f>IF(VLOOKUP($C$7,'Type of adjust'!$A$1:$P$17,MATCH($A21,'Type of adjust'!$A$1:$P$1,1),FALSE)="", "..", VLOOKUP($C$7,'Type of adjust'!$A$1:$P$17,MATCH($A21,'Type of adjust'!$A$1:$P$1,1),FALSE))</f>
        <v>..</v>
      </c>
      <c r="C21" s="11">
        <f>IF(VLOOKUP($C$7&amp;"Adjusted waiting over_65"&amp;$C$9,REPORT_raw_datawaiting!$A$1:$R$817,MATCH($A21,REPORT_raw_datawaiting!$D$1:$R$1,1)+3, FALSE)=0,"-", IF(VLOOKUP($C$7&amp;"Adjusted waiting over_65"&amp;$C$9,REPORT_raw_datawaiting!$A$1:$R$817,MATCH($A21,REPORT_raw_datawaiting!$D$1:$R$1,1)+3, FALSE)&lt;-6,"*",VLOOKUP($C$7&amp;"Adjusted waiting over_65"&amp;$C$9,REPORT_raw_datawaiting!$A$1:$R$817,MATCH($A21,REPORT_raw_datawaiting!$D$1:$R$1,1)+3, FALSE)))</f>
        <v>1012</v>
      </c>
      <c r="D21" s="11">
        <f>IF(C21="*","*",IF(VLOOKUP($C$7&amp;"Adjusted waiting over_65"&amp;$D$10,REPORT_raw_datawaiting!$A$1:$R$817,MATCH($A21,REPORT_raw_datawaiting!$D$1:$R$1,1)+3, FALSE)=0,"-",VLOOKUP($C$7&amp;"Adjusted waiting over_65"&amp;$D$10,REPORT_raw_datawaiting!$A$1:$R$817,MATCH($A21,REPORT_raw_datawaiting!$D$1:$R$1,1)+3, FALSE)))</f>
        <v>457</v>
      </c>
      <c r="E21" s="11">
        <f>IF(C21="*","*",IF(VLOOKUP($C$7&amp;"Adjusted waiting over_65"&amp;$E$10,REPORT_raw_datawaiting!$A$1:$R$817,MATCH($A21,REPORT_raw_datawaiting!$D$1:$R$1,1)+3, FALSE)=0,"-",VLOOKUP($C$7&amp;"Adjusted waiting over_65"&amp;$E$10,REPORT_raw_datawaiting!$A$1:$R$817,MATCH($A21,REPORT_raw_datawaiting!$D$1:$R$1,1)+3, FALSE)))</f>
        <v>334</v>
      </c>
      <c r="F21" s="11">
        <f>IF(C21="*","*",IF(VLOOKUP($C$7&amp;"Adjusted waiting over_65"&amp;$F$8,REPORT_raw_datawaiting!$A$1:$R$817,MATCH($A21,REPORT_raw_datawaiting!$D$1:$R$1,1)+3, FALSE)=0,"-",VLOOKUP($C$7&amp;"Adjusted waiting over_65"&amp;$F$8,REPORT_raw_datawaiting!$A$1:$R$817,MATCH($A21,REPORT_raw_datawaiting!$D$1:$R$1,1)+3, FALSE)))</f>
        <v>122</v>
      </c>
      <c r="G21" s="11">
        <f>IF(C21="*","*",IF(VLOOKUP($C$7&amp;"Adjusted waiting over_65"&amp;$G$8,REPORT_raw_datawaiting!$A$1:$R$817,MATCH($A21,REPORT_raw_datawaiting!$D$1:$R$1,1)+3, FALSE)=0,"-",VLOOKUP($C$7&amp;"Adjusted waiting over_65"&amp;$G$8,REPORT_raw_datawaiting!$A$1:$R$817,MATCH($A21,REPORT_raw_datawaiting!$D$1:$R$1,1)+3, FALSE)))</f>
        <v>99</v>
      </c>
      <c r="H21" s="156">
        <f t="shared" si="1"/>
        <v>45.16</v>
      </c>
      <c r="I21" s="156">
        <f t="shared" si="0"/>
        <v>33</v>
      </c>
      <c r="J21" s="156">
        <f t="shared" si="0"/>
        <v>12.06</v>
      </c>
      <c r="K21" s="156">
        <f t="shared" si="0"/>
        <v>9.7799999999999994</v>
      </c>
      <c r="L21" s="94"/>
      <c r="M21" s="94"/>
      <c r="N21" s="94"/>
    </row>
    <row r="22" spans="1:14">
      <c r="A22" s="160">
        <f t="shared" si="2"/>
        <v>44013</v>
      </c>
      <c r="B22" s="155" t="str">
        <f>IF(VLOOKUP($C$7,'Type of adjust'!$A$1:$P$17,MATCH($A22,'Type of adjust'!$A$1:$P$1,1),FALSE)="", "..", VLOOKUP($C$7,'Type of adjust'!$A$1:$P$17,MATCH($A22,'Type of adjust'!$A$1:$P$1,1),FALSE))</f>
        <v>..</v>
      </c>
      <c r="C22" s="11">
        <f>IF(VLOOKUP($C$7&amp;"Adjusted waiting over_65"&amp;$C$9,REPORT_raw_datawaiting!$A$1:$R$817,MATCH($A22,REPORT_raw_datawaiting!$D$1:$R$1,1)+3, FALSE)=0,"-", IF(VLOOKUP($C$7&amp;"Adjusted waiting over_65"&amp;$C$9,REPORT_raw_datawaiting!$A$1:$R$817,MATCH($A22,REPORT_raw_datawaiting!$D$1:$R$1,1)+3, FALSE)&lt;-6,"*",VLOOKUP($C$7&amp;"Adjusted waiting over_65"&amp;$C$9,REPORT_raw_datawaiting!$A$1:$R$817,MATCH($A22,REPORT_raw_datawaiting!$D$1:$R$1,1)+3, FALSE)))</f>
        <v>1051</v>
      </c>
      <c r="D22" s="11">
        <f>IF(C22="*","*",IF(VLOOKUP($C$7&amp;"Adjusted waiting over_65"&amp;$D$10,REPORT_raw_datawaiting!$A$1:$R$817,MATCH($A22,REPORT_raw_datawaiting!$D$1:$R$1,1)+3, FALSE)=0,"-",VLOOKUP($C$7&amp;"Adjusted waiting over_65"&amp;$D$10,REPORT_raw_datawaiting!$A$1:$R$817,MATCH($A22,REPORT_raw_datawaiting!$D$1:$R$1,1)+3, FALSE)))</f>
        <v>425</v>
      </c>
      <c r="E22" s="11">
        <f>IF(C22="*","*",IF(VLOOKUP($C$7&amp;"Adjusted waiting over_65"&amp;$E$10,REPORT_raw_datawaiting!$A$1:$R$817,MATCH($A22,REPORT_raw_datawaiting!$D$1:$R$1,1)+3, FALSE)=0,"-",VLOOKUP($C$7&amp;"Adjusted waiting over_65"&amp;$E$10,REPORT_raw_datawaiting!$A$1:$R$817,MATCH($A22,REPORT_raw_datawaiting!$D$1:$R$1,1)+3, FALSE)))</f>
        <v>437</v>
      </c>
      <c r="F22" s="11">
        <f>IF(C22="*","*",IF(VLOOKUP($C$7&amp;"Adjusted waiting over_65"&amp;$F$8,REPORT_raw_datawaiting!$A$1:$R$817,MATCH($A22,REPORT_raw_datawaiting!$D$1:$R$1,1)+3, FALSE)=0,"-",VLOOKUP($C$7&amp;"Adjusted waiting over_65"&amp;$F$8,REPORT_raw_datawaiting!$A$1:$R$817,MATCH($A22,REPORT_raw_datawaiting!$D$1:$R$1,1)+3, FALSE)))</f>
        <v>110</v>
      </c>
      <c r="G22" s="11">
        <f>IF(C22="*","*",IF(VLOOKUP($C$7&amp;"Adjusted waiting over_65"&amp;$G$8,REPORT_raw_datawaiting!$A$1:$R$817,MATCH($A22,REPORT_raw_datawaiting!$D$1:$R$1,1)+3, FALSE)=0,"-",VLOOKUP($C$7&amp;"Adjusted waiting over_65"&amp;$G$8,REPORT_raw_datawaiting!$A$1:$R$817,MATCH($A22,REPORT_raw_datawaiting!$D$1:$R$1,1)+3, FALSE)))</f>
        <v>79</v>
      </c>
      <c r="H22" s="156">
        <f t="shared" si="1"/>
        <v>40.44</v>
      </c>
      <c r="I22" s="156">
        <f t="shared" si="0"/>
        <v>41.58</v>
      </c>
      <c r="J22" s="156">
        <f t="shared" si="0"/>
        <v>10.47</v>
      </c>
      <c r="K22" s="156">
        <f t="shared" si="0"/>
        <v>7.52</v>
      </c>
      <c r="L22" s="94"/>
      <c r="M22" s="94"/>
      <c r="N22" s="94"/>
    </row>
    <row r="23" spans="1:14">
      <c r="A23" s="160">
        <f t="shared" si="2"/>
        <v>43983</v>
      </c>
      <c r="B23" s="155" t="str">
        <f>IF(VLOOKUP($C$7,'Type of adjust'!$A$1:$P$17,MATCH($A23,'Type of adjust'!$A$1:$P$1,1),FALSE)="", "..", VLOOKUP($C$7,'Type of adjust'!$A$1:$P$17,MATCH($A23,'Type of adjust'!$A$1:$P$1,1),FALSE))</f>
        <v>..</v>
      </c>
      <c r="C23" s="11">
        <f>IF(VLOOKUP($C$7&amp;"Adjusted waiting over_65"&amp;$C$9,REPORT_raw_datawaiting!$A$1:$R$817,MATCH($A23,REPORT_raw_datawaiting!$D$1:$R$1,1)+3, FALSE)=0,"-", IF(VLOOKUP($C$7&amp;"Adjusted waiting over_65"&amp;$C$9,REPORT_raw_datawaiting!$A$1:$R$817,MATCH($A23,REPORT_raw_datawaiting!$D$1:$R$1,1)+3, FALSE)&lt;-9,"*",VLOOKUP($C$7&amp;"Adjusted waiting over_65"&amp;$C$9,REPORT_raw_datawaiting!$A$1:$R$817,MATCH($A23,REPORT_raw_datawaiting!$D$1:$R$1,1)+3, FALSE)))</f>
        <v>1072</v>
      </c>
      <c r="D23" s="11">
        <f>IF(C23="*","*",IF(VLOOKUP($C$7&amp;"Adjusted waiting over_65"&amp;$D$10,REPORT_raw_datawaiting!$A$1:$R$817,MATCH($A23,REPORT_raw_datawaiting!$D$1:$R$1,1)+3, FALSE)=0,"-",VLOOKUP($C$7&amp;"Adjusted waiting over_65"&amp;$D$10,REPORT_raw_datawaiting!$A$1:$R$817,MATCH($A23,REPORT_raw_datawaiting!$D$1:$R$1,1)+3, FALSE)))</f>
        <v>486</v>
      </c>
      <c r="E23" s="11">
        <f>IF(C23="*","*",IF(VLOOKUP($C$7&amp;"Adjusted waiting over_65"&amp;$E$10,REPORT_raw_datawaiting!$A$1:$R$817,MATCH($A23,REPORT_raw_datawaiting!$D$1:$R$1,1)+3, FALSE)=0,"-",VLOOKUP($C$7&amp;"Adjusted waiting over_65"&amp;$E$10,REPORT_raw_datawaiting!$A$1:$R$817,MATCH($A23,REPORT_raw_datawaiting!$D$1:$R$1,1)+3, FALSE)))</f>
        <v>419</v>
      </c>
      <c r="F23" s="11">
        <f>IF(C23="*","*",IF(VLOOKUP($C$7&amp;"Adjusted waiting over_65"&amp;$F$8,REPORT_raw_datawaiting!$A$1:$R$817,MATCH($A23,REPORT_raw_datawaiting!$D$1:$R$1,1)+3, FALSE)=0,"-",VLOOKUP($C$7&amp;"Adjusted waiting over_65"&amp;$F$8,REPORT_raw_datawaiting!$A$1:$R$817,MATCH($A23,REPORT_raw_datawaiting!$D$1:$R$1,1)+3, FALSE)))</f>
        <v>92</v>
      </c>
      <c r="G23" s="11">
        <f>IF(C23="*","*",IF(VLOOKUP($C$7&amp;"Adjusted waiting over_65"&amp;$G$8,REPORT_raw_datawaiting!$A$1:$R$817,MATCH($A23,REPORT_raw_datawaiting!$D$1:$R$1,1)+3, FALSE)=0,"-",VLOOKUP($C$7&amp;"Adjusted waiting over_65"&amp;$G$8,REPORT_raw_datawaiting!$A$1:$R$817,MATCH($A23,REPORT_raw_datawaiting!$D$1:$R$1,1)+3, FALSE)))</f>
        <v>75</v>
      </c>
      <c r="H23" s="156">
        <f t="shared" si="1"/>
        <v>45.34</v>
      </c>
      <c r="I23" s="156">
        <f t="shared" si="0"/>
        <v>39.090000000000003</v>
      </c>
      <c r="J23" s="156">
        <f t="shared" si="0"/>
        <v>8.58</v>
      </c>
      <c r="K23" s="156">
        <f t="shared" si="0"/>
        <v>7</v>
      </c>
      <c r="L23" s="94"/>
      <c r="M23" s="94"/>
      <c r="N23" s="94"/>
    </row>
    <row r="24" spans="1:14">
      <c r="A24" s="160">
        <f t="shared" si="2"/>
        <v>43952</v>
      </c>
      <c r="B24" s="155" t="str">
        <f>IF(VLOOKUP($C$7,'Type of adjust'!$A$1:$P$17,MATCH($A24,'Type of adjust'!$A$1:$P$1,1),FALSE)="", "..", VLOOKUP($C$7,'Type of adjust'!$A$1:$P$17,MATCH($A24,'Type of adjust'!$A$1:$P$1,1),FALSE))</f>
        <v>..</v>
      </c>
      <c r="C24" s="11">
        <f>IF(VLOOKUP($C$7&amp;"Adjusted waiting over_65"&amp;$C$9,REPORT_raw_datawaiting!$A$1:$R$817,MATCH($A24,REPORT_raw_datawaiting!$D$1:$R$1,1)+3, FALSE)=0,"-", IF(VLOOKUP($C$7&amp;"Adjusted waiting over_65"&amp;$C$9,REPORT_raw_datawaiting!$A$1:$R$817,MATCH($A24,REPORT_raw_datawaiting!$D$1:$R$1,1)+3, FALSE)&lt;-12,"*",VLOOKUP($C$7&amp;"Adjusted waiting over_65"&amp;$C$9,REPORT_raw_datawaiting!$A$1:$R$817,MATCH($A24,REPORT_raw_datawaiting!$D$1:$R$1,1)+3, FALSE)))</f>
        <v>1084</v>
      </c>
      <c r="D24" s="11">
        <f>IF(C24="*","*",IF(VLOOKUP($C$7&amp;"Adjusted waiting over_65"&amp;$D$10,REPORT_raw_datawaiting!$A$1:$R$817,MATCH($A24,REPORT_raw_datawaiting!$D$1:$R$1,1)+3, FALSE)=0,"-",VLOOKUP($C$7&amp;"Adjusted waiting over_65"&amp;$D$10,REPORT_raw_datawaiting!$A$1:$R$817,MATCH($A24,REPORT_raw_datawaiting!$D$1:$R$1,1)+3, FALSE)))</f>
        <v>622</v>
      </c>
      <c r="E24" s="11">
        <f>IF(C24="*","*",IF(VLOOKUP($C$7&amp;"Adjusted waiting over_65"&amp;$E$10,REPORT_raw_datawaiting!$A$1:$R$817,MATCH($A24,REPORT_raw_datawaiting!$D$1:$R$1,1)+3, FALSE)=0,"-",VLOOKUP($C$7&amp;"Adjusted waiting over_65"&amp;$E$10,REPORT_raw_datawaiting!$A$1:$R$817,MATCH($A24,REPORT_raw_datawaiting!$D$1:$R$1,1)+3, FALSE)))</f>
        <v>296</v>
      </c>
      <c r="F24" s="11">
        <f>IF(C24="*","*",IF(VLOOKUP($C$7&amp;"Adjusted waiting over_65"&amp;$F$8,REPORT_raw_datawaiting!$A$1:$R$817,MATCH($A24,REPORT_raw_datawaiting!$D$1:$R$1,1)+3, FALSE)=0,"-",VLOOKUP($C$7&amp;"Adjusted waiting over_65"&amp;$F$8,REPORT_raw_datawaiting!$A$1:$R$817,MATCH($A24,REPORT_raw_datawaiting!$D$1:$R$1,1)+3, FALSE)))</f>
        <v>96</v>
      </c>
      <c r="G24" s="11">
        <f>IF(C24="*","*",IF(VLOOKUP($C$7&amp;"Adjusted waiting over_65"&amp;$G$8,REPORT_raw_datawaiting!$A$1:$R$817,MATCH($A24,REPORT_raw_datawaiting!$D$1:$R$1,1)+3, FALSE)=0,"-",VLOOKUP($C$7&amp;"Adjusted waiting over_65"&amp;$G$8,REPORT_raw_datawaiting!$A$1:$R$817,MATCH($A24,REPORT_raw_datawaiting!$D$1:$R$1,1)+3, FALSE)))</f>
        <v>70</v>
      </c>
      <c r="H24" s="156">
        <f t="shared" si="1"/>
        <v>57.38</v>
      </c>
      <c r="I24" s="156">
        <f t="shared" si="0"/>
        <v>27.31</v>
      </c>
      <c r="J24" s="156">
        <f t="shared" si="0"/>
        <v>8.86</v>
      </c>
      <c r="K24" s="156">
        <f t="shared" si="0"/>
        <v>6.46</v>
      </c>
      <c r="L24" s="94"/>
      <c r="M24" s="94"/>
      <c r="N24" s="94"/>
    </row>
    <row r="25" spans="1:14">
      <c r="A25" s="160">
        <f t="shared" si="2"/>
        <v>43922</v>
      </c>
      <c r="B25" s="155" t="str">
        <f>IF(VLOOKUP($C$7,'Type of adjust'!$A$1:$P$17,MATCH($A25,'Type of adjust'!$A$1:$P$1,1),FALSE)="", "..", VLOOKUP($C$7,'Type of adjust'!$A$1:$P$17,MATCH($A25,'Type of adjust'!$A$1:$P$1,1),FALSE))</f>
        <v>..</v>
      </c>
      <c r="C25" s="11">
        <f>IF(VLOOKUP($C$7&amp;"Adjusted waiting over_65"&amp;$C$9,REPORT_raw_datawaiting!$A$1:$R$817,MATCH($A25,REPORT_raw_datawaiting!$D$1:$R$1,1)+3, FALSE)=0,"-", IF(VLOOKUP($C$7&amp;"Adjusted waiting over_65"&amp;$C$9,REPORT_raw_datawaiting!$A$1:$R$817,MATCH($A25,REPORT_raw_datawaiting!$D$1:$R$1,1)+3, FALSE)&lt;-11,"*",VLOOKUP($C$7&amp;"Adjusted waiting over_65"&amp;$C$9,REPORT_raw_datawaiting!$A$1:$R$817,MATCH($A25,REPORT_raw_datawaiting!$D$1:$R$1,1)+3, FALSE)))</f>
        <v>1140</v>
      </c>
      <c r="D25" s="11">
        <f>IF(C25="*","*",IF(VLOOKUP($C$7&amp;"Adjusted waiting over_65"&amp;$D$10,REPORT_raw_datawaiting!$A$1:$R$817,MATCH($A25,REPORT_raw_datawaiting!$D$1:$R$1,1)+3, FALSE)=0,"-",VLOOKUP($C$7&amp;"Adjusted waiting over_65"&amp;$D$10,REPORT_raw_datawaiting!$A$1:$R$817,MATCH($A25,REPORT_raw_datawaiting!$D$1:$R$1,1)+3, FALSE)))</f>
        <v>769</v>
      </c>
      <c r="E25" s="11">
        <f>IF(C25="*","*",IF(VLOOKUP($C$7&amp;"Adjusted waiting over_65"&amp;$E$10,REPORT_raw_datawaiting!$A$1:$R$817,MATCH($A25,REPORT_raw_datawaiting!$D$1:$R$1,1)+3, FALSE)=0,"-",VLOOKUP($C$7&amp;"Adjusted waiting over_65"&amp;$E$10,REPORT_raw_datawaiting!$A$1:$R$817,MATCH($A25,REPORT_raw_datawaiting!$D$1:$R$1,1)+3, FALSE)))</f>
        <v>205</v>
      </c>
      <c r="F25" s="11">
        <f>IF(C25="*","*",IF(VLOOKUP($C$7&amp;"Adjusted waiting over_65"&amp;$F$8,REPORT_raw_datawaiting!$A$1:$R$817,MATCH($A25,REPORT_raw_datawaiting!$D$1:$R$1,1)+3, FALSE)=0,"-",VLOOKUP($C$7&amp;"Adjusted waiting over_65"&amp;$F$8,REPORT_raw_datawaiting!$A$1:$R$817,MATCH($A25,REPORT_raw_datawaiting!$D$1:$R$1,1)+3, FALSE)))</f>
        <v>99</v>
      </c>
      <c r="G25" s="11">
        <f>IF(C25="*","*",IF(VLOOKUP($C$7&amp;"Adjusted waiting over_65"&amp;$G$8,REPORT_raw_datawaiting!$A$1:$R$817,MATCH($A25,REPORT_raw_datawaiting!$D$1:$R$1,1)+3, FALSE)=0,"-",VLOOKUP($C$7&amp;"Adjusted waiting over_65"&amp;$G$8,REPORT_raw_datawaiting!$A$1:$R$817,MATCH($A25,REPORT_raw_datawaiting!$D$1:$R$1,1)+3, FALSE)))</f>
        <v>67</v>
      </c>
      <c r="H25" s="156">
        <f t="shared" si="1"/>
        <v>67.459999999999994</v>
      </c>
      <c r="I25" s="156">
        <f t="shared" si="0"/>
        <v>17.98</v>
      </c>
      <c r="J25" s="156">
        <f t="shared" si="0"/>
        <v>8.68</v>
      </c>
      <c r="K25" s="156">
        <f t="shared" si="0"/>
        <v>5.88</v>
      </c>
      <c r="L25" s="94"/>
      <c r="M25" s="94"/>
      <c r="N25" s="94"/>
    </row>
    <row r="26" spans="1:14">
      <c r="B26" s="16"/>
      <c r="C26" s="16"/>
      <c r="D26" s="16"/>
      <c r="E26" s="16"/>
      <c r="F26" s="16"/>
      <c r="G26" s="17"/>
      <c r="H26" s="17"/>
      <c r="I26" s="17"/>
      <c r="J26" s="17"/>
    </row>
    <row r="27" spans="1:14">
      <c r="A27" s="8"/>
      <c r="B27" s="16"/>
      <c r="C27" s="16"/>
      <c r="D27" s="16"/>
      <c r="E27" s="16"/>
      <c r="F27" s="16"/>
      <c r="G27" s="17"/>
      <c r="H27" s="17"/>
      <c r="I27" s="17"/>
      <c r="J27" s="17"/>
    </row>
    <row r="28" spans="1:14" ht="20.25">
      <c r="A28" s="76" t="s">
        <v>337</v>
      </c>
      <c r="B28" s="16"/>
      <c r="C28" s="16"/>
      <c r="D28" s="16"/>
      <c r="E28" s="16"/>
      <c r="F28" s="16"/>
      <c r="G28" s="17"/>
      <c r="H28" s="17"/>
      <c r="I28" s="17"/>
      <c r="J28" s="17"/>
    </row>
    <row r="29" spans="1:14">
      <c r="A29" s="77" t="s">
        <v>338</v>
      </c>
      <c r="B29" s="77" t="s">
        <v>339</v>
      </c>
      <c r="C29" s="78"/>
      <c r="D29" s="450" t="s">
        <v>340</v>
      </c>
      <c r="E29" s="450"/>
      <c r="F29" s="450"/>
      <c r="G29" s="450"/>
      <c r="H29" s="450"/>
      <c r="I29" s="450"/>
      <c r="J29" s="450"/>
      <c r="K29" s="450"/>
    </row>
    <row r="30" spans="1:14">
      <c r="A30" s="79" t="s">
        <v>55</v>
      </c>
      <c r="B30" s="80" t="s">
        <v>341</v>
      </c>
      <c r="C30" s="81"/>
      <c r="D30" s="451" t="s">
        <v>342</v>
      </c>
      <c r="E30" s="451"/>
      <c r="F30" s="451"/>
      <c r="G30" s="451"/>
      <c r="H30" s="451"/>
      <c r="I30" s="451"/>
      <c r="J30" s="451"/>
      <c r="K30" s="451"/>
    </row>
    <row r="31" spans="1:14" ht="51">
      <c r="A31" s="82" t="s">
        <v>343</v>
      </c>
      <c r="B31" s="83" t="s">
        <v>344</v>
      </c>
      <c r="C31" s="84"/>
      <c r="D31" s="452" t="s">
        <v>345</v>
      </c>
      <c r="E31" s="452"/>
      <c r="F31" s="452"/>
      <c r="G31" s="452"/>
      <c r="H31" s="452"/>
      <c r="I31" s="452"/>
      <c r="J31" s="452"/>
      <c r="K31" s="452"/>
    </row>
    <row r="32" spans="1:14">
      <c r="A32" s="85" t="s">
        <v>27</v>
      </c>
      <c r="B32" s="86"/>
      <c r="C32" s="87"/>
      <c r="D32" s="439" t="s">
        <v>346</v>
      </c>
      <c r="E32" s="439"/>
      <c r="F32" s="439"/>
      <c r="G32" s="439"/>
      <c r="H32" s="439"/>
      <c r="I32" s="439"/>
      <c r="J32" s="439"/>
      <c r="K32" s="439"/>
    </row>
    <row r="33" spans="1:10">
      <c r="A33" s="88"/>
      <c r="B33" s="89"/>
      <c r="C33" s="89"/>
      <c r="D33" s="19"/>
      <c r="E33" s="89"/>
      <c r="F33" s="89"/>
      <c r="G33" s="90"/>
      <c r="H33" s="90"/>
      <c r="I33" s="15"/>
      <c r="J33" s="15"/>
    </row>
    <row r="34" spans="1:10">
      <c r="A34" s="88"/>
      <c r="B34" s="89"/>
      <c r="C34" s="89"/>
      <c r="D34" s="19"/>
      <c r="E34" s="89"/>
      <c r="F34" s="89"/>
      <c r="G34" s="90"/>
      <c r="H34" s="90"/>
      <c r="I34" s="15"/>
      <c r="J34" s="15"/>
    </row>
    <row r="35" spans="1:10">
      <c r="A35" s="88"/>
      <c r="B35" s="89"/>
      <c r="C35" s="89"/>
      <c r="D35" s="19"/>
      <c r="E35" s="89"/>
      <c r="F35" s="89"/>
      <c r="G35" s="90"/>
      <c r="H35" s="90"/>
      <c r="I35" s="15"/>
      <c r="J35" s="15"/>
    </row>
    <row r="36" spans="1:10">
      <c r="A36" s="91" t="s">
        <v>190</v>
      </c>
      <c r="B36" s="89"/>
      <c r="C36" s="89"/>
      <c r="D36" s="89"/>
      <c r="E36" s="89"/>
      <c r="F36" s="89"/>
      <c r="G36" s="90"/>
      <c r="H36" s="90"/>
      <c r="I36" s="15"/>
      <c r="J36" s="15"/>
    </row>
    <row r="37" spans="1:10">
      <c r="A37" s="91" t="s">
        <v>191</v>
      </c>
      <c r="B37" s="89"/>
      <c r="C37" s="89"/>
      <c r="D37" s="89"/>
      <c r="E37" s="89"/>
      <c r="F37" s="89"/>
      <c r="G37" s="90"/>
      <c r="H37" s="90"/>
      <c r="I37" s="15"/>
      <c r="J37" s="15"/>
    </row>
    <row r="38" spans="1:10">
      <c r="B38" s="16"/>
      <c r="C38" s="16"/>
      <c r="D38" s="16"/>
      <c r="E38" s="16"/>
      <c r="F38" s="16"/>
      <c r="G38" s="18"/>
      <c r="H38" s="18"/>
      <c r="I38" s="18"/>
      <c r="J38" s="18"/>
    </row>
    <row r="39" spans="1:10">
      <c r="A39" s="43" t="s">
        <v>410</v>
      </c>
      <c r="B39" s="12"/>
      <c r="C39" s="12"/>
      <c r="D39" s="12"/>
      <c r="E39" s="12"/>
      <c r="F39" s="12"/>
      <c r="G39" s="13"/>
      <c r="H39" s="13"/>
      <c r="I39" s="13"/>
      <c r="J39" s="13"/>
    </row>
    <row r="40" spans="1:10">
      <c r="B40" s="7"/>
      <c r="C40" s="7"/>
      <c r="D40" s="7"/>
      <c r="E40" s="7"/>
      <c r="F40" s="7"/>
      <c r="G40" s="14"/>
      <c r="H40" s="14"/>
      <c r="I40" s="14"/>
      <c r="J40" s="14"/>
    </row>
    <row r="41" spans="1:10">
      <c r="A41" s="8"/>
      <c r="B41" s="7"/>
      <c r="C41" s="7"/>
      <c r="D41" s="7"/>
      <c r="E41" s="7"/>
      <c r="F41" s="7"/>
      <c r="G41" s="15"/>
      <c r="H41" s="15"/>
      <c r="I41" s="15"/>
      <c r="J41" s="15"/>
    </row>
    <row r="42" spans="1:10">
      <c r="B42" s="16"/>
      <c r="C42" s="16"/>
      <c r="D42" s="16"/>
      <c r="E42" s="16"/>
      <c r="F42" s="16"/>
      <c r="G42" s="18"/>
      <c r="H42" s="18"/>
      <c r="I42" s="18"/>
      <c r="J42" s="18"/>
    </row>
    <row r="43" spans="1:10">
      <c r="B43" s="12"/>
      <c r="C43" s="12"/>
      <c r="D43" s="12"/>
      <c r="E43" s="12"/>
      <c r="F43" s="12"/>
      <c r="G43" s="13"/>
      <c r="H43" s="13"/>
      <c r="I43" s="13"/>
      <c r="J43" s="13"/>
    </row>
    <row r="44" spans="1:10">
      <c r="B44" s="12"/>
      <c r="C44" s="12"/>
      <c r="D44" s="7"/>
      <c r="E44" s="7"/>
      <c r="F44" s="7"/>
      <c r="G44" s="14"/>
      <c r="H44" s="14"/>
      <c r="I44" s="14"/>
      <c r="J44" s="14"/>
    </row>
    <row r="45" spans="1:10">
      <c r="B45" s="12"/>
      <c r="C45" s="12"/>
      <c r="D45" s="7"/>
      <c r="E45" s="7"/>
      <c r="F45" s="7"/>
      <c r="G45" s="15"/>
      <c r="H45" s="15"/>
      <c r="I45" s="15"/>
      <c r="J45" s="15"/>
    </row>
    <row r="46" spans="1:10">
      <c r="B46" s="16"/>
      <c r="C46" s="16"/>
      <c r="D46" s="7"/>
      <c r="E46" s="7"/>
      <c r="F46" s="7"/>
      <c r="G46" s="15"/>
      <c r="H46" s="15"/>
      <c r="I46" s="15"/>
      <c r="J46" s="15"/>
    </row>
    <row r="47" spans="1:10">
      <c r="A47" s="29" t="str">
        <f>"Percentage of patients waiting less than 18 weeks for adjusted waits - "&amp;C7</f>
        <v>Percentage of patients waiting less than 18 weeks for adjusted waits - Scotland</v>
      </c>
      <c r="B47" s="16"/>
      <c r="C47" s="16"/>
      <c r="D47" s="16"/>
      <c r="E47" s="16"/>
      <c r="F47" s="16"/>
      <c r="G47" s="15"/>
      <c r="H47" s="15"/>
      <c r="I47" s="15"/>
      <c r="J47" s="15"/>
    </row>
    <row r="48" spans="1:10">
      <c r="A48" s="28"/>
      <c r="B48" s="16"/>
      <c r="C48" s="16"/>
      <c r="D48" s="16"/>
      <c r="E48" s="16"/>
      <c r="F48" s="16"/>
      <c r="G48" s="18"/>
      <c r="H48" s="18"/>
      <c r="I48" s="18"/>
      <c r="J48" s="18"/>
    </row>
    <row r="49" spans="1:10">
      <c r="B49" s="12"/>
      <c r="C49" s="12"/>
      <c r="D49" s="12"/>
      <c r="E49" s="12"/>
      <c r="F49" s="12"/>
      <c r="G49" s="13"/>
      <c r="H49" s="13"/>
      <c r="I49" s="13"/>
      <c r="J49" s="13"/>
    </row>
    <row r="50" spans="1:10">
      <c r="B50" s="7"/>
      <c r="C50" s="7"/>
      <c r="D50" s="7"/>
      <c r="E50" s="7"/>
      <c r="F50" s="7"/>
      <c r="G50" s="14"/>
      <c r="H50" s="14"/>
      <c r="I50" s="14"/>
      <c r="J50" s="14"/>
    </row>
    <row r="51" spans="1:10">
      <c r="A51" s="29" t="str">
        <f>"Patients waiting - adjusted waits - "&amp;C7</f>
        <v>Patients waiting - adjusted waits - Scotland</v>
      </c>
      <c r="B51" s="16"/>
      <c r="C51" s="16"/>
      <c r="D51" s="16"/>
      <c r="E51" s="16"/>
      <c r="F51" s="16"/>
      <c r="G51" s="15"/>
      <c r="H51" s="15"/>
      <c r="I51" s="15"/>
      <c r="J51" s="15"/>
    </row>
    <row r="52" spans="1:10">
      <c r="A52" s="29" t="str">
        <f>"Percentage of patients waiting 0-18 weeks - adjusted waits - "&amp;C7</f>
        <v>Percentage of patients waiting 0-18 weeks - adjusted waits - Scotland</v>
      </c>
      <c r="B52" s="16"/>
      <c r="C52" s="16"/>
      <c r="D52" s="16"/>
      <c r="E52" s="16"/>
      <c r="F52" s="16"/>
      <c r="G52" s="15"/>
      <c r="H52" s="15"/>
      <c r="I52" s="15"/>
      <c r="J52" s="15"/>
    </row>
    <row r="53" spans="1:10">
      <c r="A53" s="29" t="str">
        <f>"Percentage of patients waiting - adjusted waits - "&amp;C7</f>
        <v>Percentage of patients waiting - adjusted waits - Scotland</v>
      </c>
      <c r="B53" s="16"/>
      <c r="C53" s="16"/>
      <c r="D53" s="16"/>
      <c r="E53" s="16"/>
      <c r="F53" s="16"/>
      <c r="G53" s="17"/>
      <c r="H53" s="17"/>
      <c r="I53" s="17"/>
      <c r="J53" s="17"/>
    </row>
    <row r="54" spans="1:10">
      <c r="B54" s="12"/>
      <c r="C54" s="12"/>
      <c r="D54" s="12"/>
      <c r="E54" s="12"/>
      <c r="F54" s="12"/>
      <c r="G54" s="13"/>
      <c r="H54" s="13"/>
      <c r="I54" s="13"/>
      <c r="J54" s="13"/>
    </row>
    <row r="55" spans="1:10" s="20" customFormat="1">
      <c r="B55" s="21"/>
      <c r="C55" s="21"/>
      <c r="D55" s="21"/>
      <c r="E55" s="21"/>
      <c r="F55" s="21"/>
      <c r="G55" s="22"/>
      <c r="H55" s="22"/>
      <c r="I55" s="22"/>
      <c r="J55" s="22"/>
    </row>
    <row r="56" spans="1:10">
      <c r="B56" s="8"/>
      <c r="C56" s="8"/>
      <c r="D56" s="8"/>
      <c r="E56" s="8"/>
      <c r="F56" s="8"/>
      <c r="G56" s="23"/>
      <c r="H56" s="24"/>
      <c r="I56" s="24"/>
      <c r="J56" s="24"/>
    </row>
    <row r="57" spans="1:10">
      <c r="B57" s="8"/>
      <c r="C57" s="8"/>
      <c r="D57" s="8"/>
      <c r="E57" s="8"/>
      <c r="F57" s="8"/>
      <c r="G57" s="25"/>
      <c r="H57" s="24"/>
      <c r="I57" s="24"/>
      <c r="J57" s="24"/>
    </row>
    <row r="58" spans="1:10">
      <c r="B58" s="8"/>
      <c r="C58" s="8"/>
      <c r="D58" s="8"/>
      <c r="E58" s="8"/>
      <c r="F58" s="8"/>
      <c r="G58" s="23"/>
      <c r="H58" s="24"/>
      <c r="I58" s="24"/>
      <c r="J58" s="24"/>
    </row>
    <row r="59" spans="1:10">
      <c r="A59" s="16"/>
      <c r="B59" s="16"/>
      <c r="C59" s="16"/>
      <c r="D59" s="16"/>
      <c r="E59" s="16"/>
      <c r="F59" s="16"/>
      <c r="G59" s="16"/>
      <c r="H59" s="26"/>
      <c r="I59" s="26"/>
      <c r="J59" s="26"/>
    </row>
    <row r="60" spans="1:10">
      <c r="B60" s="16"/>
      <c r="C60" s="16"/>
      <c r="D60" s="16"/>
      <c r="E60" s="16"/>
      <c r="F60" s="16"/>
      <c r="G60" s="18"/>
      <c r="H60" s="18"/>
      <c r="I60" s="18"/>
      <c r="J60" s="18"/>
    </row>
    <row r="61" spans="1:10">
      <c r="B61" s="12"/>
      <c r="C61" s="12"/>
      <c r="D61" s="12"/>
      <c r="E61" s="12"/>
      <c r="F61" s="12"/>
      <c r="G61" s="13"/>
      <c r="H61" s="13"/>
      <c r="I61" s="13"/>
      <c r="J61" s="13"/>
    </row>
    <row r="62" spans="1:10">
      <c r="B62" s="7"/>
      <c r="C62" s="7"/>
      <c r="D62" s="7"/>
      <c r="E62" s="7"/>
      <c r="F62" s="7"/>
      <c r="G62" s="14"/>
      <c r="H62" s="14"/>
      <c r="I62" s="14"/>
      <c r="J62" s="14"/>
    </row>
    <row r="63" spans="1:10">
      <c r="B63" s="7"/>
      <c r="C63" s="7"/>
      <c r="D63" s="7"/>
      <c r="E63" s="7"/>
      <c r="F63" s="7"/>
      <c r="G63" s="15"/>
      <c r="H63" s="15"/>
      <c r="I63" s="15"/>
      <c r="J63" s="15"/>
    </row>
    <row r="64" spans="1:10">
      <c r="B64" s="7"/>
      <c r="C64" s="7"/>
      <c r="D64" s="7"/>
      <c r="E64" s="7"/>
      <c r="F64" s="7"/>
      <c r="G64" s="15"/>
      <c r="H64" s="15"/>
      <c r="I64" s="15"/>
      <c r="J64" s="15"/>
    </row>
    <row r="65" spans="2:10">
      <c r="B65" s="16"/>
      <c r="C65" s="16"/>
      <c r="D65" s="16"/>
      <c r="E65" s="16"/>
      <c r="F65" s="16"/>
      <c r="G65" s="18"/>
      <c r="H65" s="18"/>
      <c r="I65" s="18"/>
      <c r="J65" s="18"/>
    </row>
    <row r="66" spans="2:10">
      <c r="B66" s="27"/>
      <c r="C66" s="27"/>
      <c r="D66" s="27"/>
      <c r="E66" s="27"/>
      <c r="F66" s="27"/>
      <c r="G66" s="13"/>
      <c r="H66" s="13"/>
      <c r="I66" s="13"/>
      <c r="J66" s="13"/>
    </row>
    <row r="67" spans="2:10">
      <c r="B67" s="28"/>
      <c r="C67" s="28"/>
      <c r="D67" s="28"/>
      <c r="E67" s="28"/>
      <c r="F67" s="28"/>
      <c r="G67" s="14"/>
      <c r="H67" s="14"/>
      <c r="I67" s="14"/>
      <c r="J67" s="14"/>
    </row>
    <row r="68" spans="2:10">
      <c r="G68" s="15"/>
      <c r="H68" s="15"/>
      <c r="I68" s="15"/>
      <c r="J68" s="15"/>
    </row>
    <row r="69" spans="2:10">
      <c r="G69" s="15"/>
      <c r="H69" s="15"/>
      <c r="I69" s="15"/>
      <c r="J69" s="15"/>
    </row>
    <row r="85" spans="1:4">
      <c r="A85" s="28"/>
      <c r="B85" s="28"/>
      <c r="C85" s="28"/>
      <c r="D85" s="28"/>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9"/>
      <c r="B91" s="29"/>
      <c r="C91" s="29"/>
      <c r="D91" s="29"/>
    </row>
    <row r="92" spans="1:4">
      <c r="A92" s="29"/>
      <c r="B92" s="29"/>
      <c r="C92" s="29"/>
      <c r="D92" s="29"/>
    </row>
    <row r="93" spans="1:4">
      <c r="A93" s="29"/>
      <c r="B93" s="29"/>
      <c r="C93" s="29"/>
      <c r="D93" s="29"/>
    </row>
    <row r="94" spans="1:4">
      <c r="A94" s="29"/>
      <c r="C94" s="29"/>
      <c r="D94" s="29"/>
    </row>
    <row r="95" spans="1:4">
      <c r="A95" s="29"/>
      <c r="B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sheetData>
  <mergeCells count="12">
    <mergeCell ref="A3:D3"/>
    <mergeCell ref="A6:D6"/>
    <mergeCell ref="C7:D7"/>
    <mergeCell ref="A9:A10"/>
    <mergeCell ref="B9:B10"/>
    <mergeCell ref="C9:C10"/>
    <mergeCell ref="D9:G9"/>
    <mergeCell ref="H9:K9"/>
    <mergeCell ref="D29:K29"/>
    <mergeCell ref="D30:K30"/>
    <mergeCell ref="D31:K31"/>
    <mergeCell ref="D32:K32"/>
  </mergeCells>
  <dataValidations count="2">
    <dataValidation type="list" allowBlank="1" showInputMessage="1" showErrorMessage="1" sqref="C7:D7">
      <formula1>ISLANDBOARDS</formula1>
    </dataValidation>
    <dataValidation type="list" allowBlank="1" showInputMessage="1" showErrorMessage="1" sqref="WVK983022:WVL983022 C65518:D65518 IY65518:IZ65518 SU65518:SV65518 ACQ65518:ACR65518 AMM65518:AMN65518 AWI65518:AWJ65518 BGE65518:BGF65518 BQA65518:BQB65518 BZW65518:BZX65518 CJS65518:CJT65518 CTO65518:CTP65518 DDK65518:DDL65518 DNG65518:DNH65518 DXC65518:DXD65518 EGY65518:EGZ65518 EQU65518:EQV65518 FAQ65518:FAR65518 FKM65518:FKN65518 FUI65518:FUJ65518 GEE65518:GEF65518 GOA65518:GOB65518 GXW65518:GXX65518 HHS65518:HHT65518 HRO65518:HRP65518 IBK65518:IBL65518 ILG65518:ILH65518 IVC65518:IVD65518 JEY65518:JEZ65518 JOU65518:JOV65518 JYQ65518:JYR65518 KIM65518:KIN65518 KSI65518:KSJ65518 LCE65518:LCF65518 LMA65518:LMB65518 LVW65518:LVX65518 MFS65518:MFT65518 MPO65518:MPP65518 MZK65518:MZL65518 NJG65518:NJH65518 NTC65518:NTD65518 OCY65518:OCZ65518 OMU65518:OMV65518 OWQ65518:OWR65518 PGM65518:PGN65518 PQI65518:PQJ65518 QAE65518:QAF65518 QKA65518:QKB65518 QTW65518:QTX65518 RDS65518:RDT65518 RNO65518:RNP65518 RXK65518:RXL65518 SHG65518:SHH65518 SRC65518:SRD65518 TAY65518:TAZ65518 TKU65518:TKV65518 TUQ65518:TUR65518 UEM65518:UEN65518 UOI65518:UOJ65518 UYE65518:UYF65518 VIA65518:VIB65518 VRW65518:VRX65518 WBS65518:WBT65518 WLO65518:WLP65518 WVK65518:WVL65518 C131054:D131054 IY131054:IZ131054 SU131054:SV131054 ACQ131054:ACR131054 AMM131054:AMN131054 AWI131054:AWJ131054 BGE131054:BGF131054 BQA131054:BQB131054 BZW131054:BZX131054 CJS131054:CJT131054 CTO131054:CTP131054 DDK131054:DDL131054 DNG131054:DNH131054 DXC131054:DXD131054 EGY131054:EGZ131054 EQU131054:EQV131054 FAQ131054:FAR131054 FKM131054:FKN131054 FUI131054:FUJ131054 GEE131054:GEF131054 GOA131054:GOB131054 GXW131054:GXX131054 HHS131054:HHT131054 HRO131054:HRP131054 IBK131054:IBL131054 ILG131054:ILH131054 IVC131054:IVD131054 JEY131054:JEZ131054 JOU131054:JOV131054 JYQ131054:JYR131054 KIM131054:KIN131054 KSI131054:KSJ131054 LCE131054:LCF131054 LMA131054:LMB131054 LVW131054:LVX131054 MFS131054:MFT131054 MPO131054:MPP131054 MZK131054:MZL131054 NJG131054:NJH131054 NTC131054:NTD131054 OCY131054:OCZ131054 OMU131054:OMV131054 OWQ131054:OWR131054 PGM131054:PGN131054 PQI131054:PQJ131054 QAE131054:QAF131054 QKA131054:QKB131054 QTW131054:QTX131054 RDS131054:RDT131054 RNO131054:RNP131054 RXK131054:RXL131054 SHG131054:SHH131054 SRC131054:SRD131054 TAY131054:TAZ131054 TKU131054:TKV131054 TUQ131054:TUR131054 UEM131054:UEN131054 UOI131054:UOJ131054 UYE131054:UYF131054 VIA131054:VIB131054 VRW131054:VRX131054 WBS131054:WBT131054 WLO131054:WLP131054 WVK131054:WVL131054 C196590:D196590 IY196590:IZ196590 SU196590:SV196590 ACQ196590:ACR196590 AMM196590:AMN196590 AWI196590:AWJ196590 BGE196590:BGF196590 BQA196590:BQB196590 BZW196590:BZX196590 CJS196590:CJT196590 CTO196590:CTP196590 DDK196590:DDL196590 DNG196590:DNH196590 DXC196590:DXD196590 EGY196590:EGZ196590 EQU196590:EQV196590 FAQ196590:FAR196590 FKM196590:FKN196590 FUI196590:FUJ196590 GEE196590:GEF196590 GOA196590:GOB196590 GXW196590:GXX196590 HHS196590:HHT196590 HRO196590:HRP196590 IBK196590:IBL196590 ILG196590:ILH196590 IVC196590:IVD196590 JEY196590:JEZ196590 JOU196590:JOV196590 JYQ196590:JYR196590 KIM196590:KIN196590 KSI196590:KSJ196590 LCE196590:LCF196590 LMA196590:LMB196590 LVW196590:LVX196590 MFS196590:MFT196590 MPO196590:MPP196590 MZK196590:MZL196590 NJG196590:NJH196590 NTC196590:NTD196590 OCY196590:OCZ196590 OMU196590:OMV196590 OWQ196590:OWR196590 PGM196590:PGN196590 PQI196590:PQJ196590 QAE196590:QAF196590 QKA196590:QKB196590 QTW196590:QTX196590 RDS196590:RDT196590 RNO196590:RNP196590 RXK196590:RXL196590 SHG196590:SHH196590 SRC196590:SRD196590 TAY196590:TAZ196590 TKU196590:TKV196590 TUQ196590:TUR196590 UEM196590:UEN196590 UOI196590:UOJ196590 UYE196590:UYF196590 VIA196590:VIB196590 VRW196590:VRX196590 WBS196590:WBT196590 WLO196590:WLP196590 WVK196590:WVL196590 C262126:D262126 IY262126:IZ262126 SU262126:SV262126 ACQ262126:ACR262126 AMM262126:AMN262126 AWI262126:AWJ262126 BGE262126:BGF262126 BQA262126:BQB262126 BZW262126:BZX262126 CJS262126:CJT262126 CTO262126:CTP262126 DDK262126:DDL262126 DNG262126:DNH262126 DXC262126:DXD262126 EGY262126:EGZ262126 EQU262126:EQV262126 FAQ262126:FAR262126 FKM262126:FKN262126 FUI262126:FUJ262126 GEE262126:GEF262126 GOA262126:GOB262126 GXW262126:GXX262126 HHS262126:HHT262126 HRO262126:HRP262126 IBK262126:IBL262126 ILG262126:ILH262126 IVC262126:IVD262126 JEY262126:JEZ262126 JOU262126:JOV262126 JYQ262126:JYR262126 KIM262126:KIN262126 KSI262126:KSJ262126 LCE262126:LCF262126 LMA262126:LMB262126 LVW262126:LVX262126 MFS262126:MFT262126 MPO262126:MPP262126 MZK262126:MZL262126 NJG262126:NJH262126 NTC262126:NTD262126 OCY262126:OCZ262126 OMU262126:OMV262126 OWQ262126:OWR262126 PGM262126:PGN262126 PQI262126:PQJ262126 QAE262126:QAF262126 QKA262126:QKB262126 QTW262126:QTX262126 RDS262126:RDT262126 RNO262126:RNP262126 RXK262126:RXL262126 SHG262126:SHH262126 SRC262126:SRD262126 TAY262126:TAZ262126 TKU262126:TKV262126 TUQ262126:TUR262126 UEM262126:UEN262126 UOI262126:UOJ262126 UYE262126:UYF262126 VIA262126:VIB262126 VRW262126:VRX262126 WBS262126:WBT262126 WLO262126:WLP262126 WVK262126:WVL262126 C327662:D327662 IY327662:IZ327662 SU327662:SV327662 ACQ327662:ACR327662 AMM327662:AMN327662 AWI327662:AWJ327662 BGE327662:BGF327662 BQA327662:BQB327662 BZW327662:BZX327662 CJS327662:CJT327662 CTO327662:CTP327662 DDK327662:DDL327662 DNG327662:DNH327662 DXC327662:DXD327662 EGY327662:EGZ327662 EQU327662:EQV327662 FAQ327662:FAR327662 FKM327662:FKN327662 FUI327662:FUJ327662 GEE327662:GEF327662 GOA327662:GOB327662 GXW327662:GXX327662 HHS327662:HHT327662 HRO327662:HRP327662 IBK327662:IBL327662 ILG327662:ILH327662 IVC327662:IVD327662 JEY327662:JEZ327662 JOU327662:JOV327662 JYQ327662:JYR327662 KIM327662:KIN327662 KSI327662:KSJ327662 LCE327662:LCF327662 LMA327662:LMB327662 LVW327662:LVX327662 MFS327662:MFT327662 MPO327662:MPP327662 MZK327662:MZL327662 NJG327662:NJH327662 NTC327662:NTD327662 OCY327662:OCZ327662 OMU327662:OMV327662 OWQ327662:OWR327662 PGM327662:PGN327662 PQI327662:PQJ327662 QAE327662:QAF327662 QKA327662:QKB327662 QTW327662:QTX327662 RDS327662:RDT327662 RNO327662:RNP327662 RXK327662:RXL327662 SHG327662:SHH327662 SRC327662:SRD327662 TAY327662:TAZ327662 TKU327662:TKV327662 TUQ327662:TUR327662 UEM327662:UEN327662 UOI327662:UOJ327662 UYE327662:UYF327662 VIA327662:VIB327662 VRW327662:VRX327662 WBS327662:WBT327662 WLO327662:WLP327662 WVK327662:WVL327662 C393198:D393198 IY393198:IZ393198 SU393198:SV393198 ACQ393198:ACR393198 AMM393198:AMN393198 AWI393198:AWJ393198 BGE393198:BGF393198 BQA393198:BQB393198 BZW393198:BZX393198 CJS393198:CJT393198 CTO393198:CTP393198 DDK393198:DDL393198 DNG393198:DNH393198 DXC393198:DXD393198 EGY393198:EGZ393198 EQU393198:EQV393198 FAQ393198:FAR393198 FKM393198:FKN393198 FUI393198:FUJ393198 GEE393198:GEF393198 GOA393198:GOB393198 GXW393198:GXX393198 HHS393198:HHT393198 HRO393198:HRP393198 IBK393198:IBL393198 ILG393198:ILH393198 IVC393198:IVD393198 JEY393198:JEZ393198 JOU393198:JOV393198 JYQ393198:JYR393198 KIM393198:KIN393198 KSI393198:KSJ393198 LCE393198:LCF393198 LMA393198:LMB393198 LVW393198:LVX393198 MFS393198:MFT393198 MPO393198:MPP393198 MZK393198:MZL393198 NJG393198:NJH393198 NTC393198:NTD393198 OCY393198:OCZ393198 OMU393198:OMV393198 OWQ393198:OWR393198 PGM393198:PGN393198 PQI393198:PQJ393198 QAE393198:QAF393198 QKA393198:QKB393198 QTW393198:QTX393198 RDS393198:RDT393198 RNO393198:RNP393198 RXK393198:RXL393198 SHG393198:SHH393198 SRC393198:SRD393198 TAY393198:TAZ393198 TKU393198:TKV393198 TUQ393198:TUR393198 UEM393198:UEN393198 UOI393198:UOJ393198 UYE393198:UYF393198 VIA393198:VIB393198 VRW393198:VRX393198 WBS393198:WBT393198 WLO393198:WLP393198 WVK393198:WVL393198 C458734:D458734 IY458734:IZ458734 SU458734:SV458734 ACQ458734:ACR458734 AMM458734:AMN458734 AWI458734:AWJ458734 BGE458734:BGF458734 BQA458734:BQB458734 BZW458734:BZX458734 CJS458734:CJT458734 CTO458734:CTP458734 DDK458734:DDL458734 DNG458734:DNH458734 DXC458734:DXD458734 EGY458734:EGZ458734 EQU458734:EQV458734 FAQ458734:FAR458734 FKM458734:FKN458734 FUI458734:FUJ458734 GEE458734:GEF458734 GOA458734:GOB458734 GXW458734:GXX458734 HHS458734:HHT458734 HRO458734:HRP458734 IBK458734:IBL458734 ILG458734:ILH458734 IVC458734:IVD458734 JEY458734:JEZ458734 JOU458734:JOV458734 JYQ458734:JYR458734 KIM458734:KIN458734 KSI458734:KSJ458734 LCE458734:LCF458734 LMA458734:LMB458734 LVW458734:LVX458734 MFS458734:MFT458734 MPO458734:MPP458734 MZK458734:MZL458734 NJG458734:NJH458734 NTC458734:NTD458734 OCY458734:OCZ458734 OMU458734:OMV458734 OWQ458734:OWR458734 PGM458734:PGN458734 PQI458734:PQJ458734 QAE458734:QAF458734 QKA458734:QKB458734 QTW458734:QTX458734 RDS458734:RDT458734 RNO458734:RNP458734 RXK458734:RXL458734 SHG458734:SHH458734 SRC458734:SRD458734 TAY458734:TAZ458734 TKU458734:TKV458734 TUQ458734:TUR458734 UEM458734:UEN458734 UOI458734:UOJ458734 UYE458734:UYF458734 VIA458734:VIB458734 VRW458734:VRX458734 WBS458734:WBT458734 WLO458734:WLP458734 WVK458734:WVL458734 C524270:D524270 IY524270:IZ524270 SU524270:SV524270 ACQ524270:ACR524270 AMM524270:AMN524270 AWI524270:AWJ524270 BGE524270:BGF524270 BQA524270:BQB524270 BZW524270:BZX524270 CJS524270:CJT524270 CTO524270:CTP524270 DDK524270:DDL524270 DNG524270:DNH524270 DXC524270:DXD524270 EGY524270:EGZ524270 EQU524270:EQV524270 FAQ524270:FAR524270 FKM524270:FKN524270 FUI524270:FUJ524270 GEE524270:GEF524270 GOA524270:GOB524270 GXW524270:GXX524270 HHS524270:HHT524270 HRO524270:HRP524270 IBK524270:IBL524270 ILG524270:ILH524270 IVC524270:IVD524270 JEY524270:JEZ524270 JOU524270:JOV524270 JYQ524270:JYR524270 KIM524270:KIN524270 KSI524270:KSJ524270 LCE524270:LCF524270 LMA524270:LMB524270 LVW524270:LVX524270 MFS524270:MFT524270 MPO524270:MPP524270 MZK524270:MZL524270 NJG524270:NJH524270 NTC524270:NTD524270 OCY524270:OCZ524270 OMU524270:OMV524270 OWQ524270:OWR524270 PGM524270:PGN524270 PQI524270:PQJ524270 QAE524270:QAF524270 QKA524270:QKB524270 QTW524270:QTX524270 RDS524270:RDT524270 RNO524270:RNP524270 RXK524270:RXL524270 SHG524270:SHH524270 SRC524270:SRD524270 TAY524270:TAZ524270 TKU524270:TKV524270 TUQ524270:TUR524270 UEM524270:UEN524270 UOI524270:UOJ524270 UYE524270:UYF524270 VIA524270:VIB524270 VRW524270:VRX524270 WBS524270:WBT524270 WLO524270:WLP524270 WVK524270:WVL524270 C589806:D589806 IY589806:IZ589806 SU589806:SV589806 ACQ589806:ACR589806 AMM589806:AMN589806 AWI589806:AWJ589806 BGE589806:BGF589806 BQA589806:BQB589806 BZW589806:BZX589806 CJS589806:CJT589806 CTO589806:CTP589806 DDK589806:DDL589806 DNG589806:DNH589806 DXC589806:DXD589806 EGY589806:EGZ589806 EQU589806:EQV589806 FAQ589806:FAR589806 FKM589806:FKN589806 FUI589806:FUJ589806 GEE589806:GEF589806 GOA589806:GOB589806 GXW589806:GXX589806 HHS589806:HHT589806 HRO589806:HRP589806 IBK589806:IBL589806 ILG589806:ILH589806 IVC589806:IVD589806 JEY589806:JEZ589806 JOU589806:JOV589806 JYQ589806:JYR589806 KIM589806:KIN589806 KSI589806:KSJ589806 LCE589806:LCF589806 LMA589806:LMB589806 LVW589806:LVX589806 MFS589806:MFT589806 MPO589806:MPP589806 MZK589806:MZL589806 NJG589806:NJH589806 NTC589806:NTD589806 OCY589806:OCZ589806 OMU589806:OMV589806 OWQ589806:OWR589806 PGM589806:PGN589806 PQI589806:PQJ589806 QAE589806:QAF589806 QKA589806:QKB589806 QTW589806:QTX589806 RDS589806:RDT589806 RNO589806:RNP589806 RXK589806:RXL589806 SHG589806:SHH589806 SRC589806:SRD589806 TAY589806:TAZ589806 TKU589806:TKV589806 TUQ589806:TUR589806 UEM589806:UEN589806 UOI589806:UOJ589806 UYE589806:UYF589806 VIA589806:VIB589806 VRW589806:VRX589806 WBS589806:WBT589806 WLO589806:WLP589806 WVK589806:WVL589806 C655342:D655342 IY655342:IZ655342 SU655342:SV655342 ACQ655342:ACR655342 AMM655342:AMN655342 AWI655342:AWJ655342 BGE655342:BGF655342 BQA655342:BQB655342 BZW655342:BZX655342 CJS655342:CJT655342 CTO655342:CTP655342 DDK655342:DDL655342 DNG655342:DNH655342 DXC655342:DXD655342 EGY655342:EGZ655342 EQU655342:EQV655342 FAQ655342:FAR655342 FKM655342:FKN655342 FUI655342:FUJ655342 GEE655342:GEF655342 GOA655342:GOB655342 GXW655342:GXX655342 HHS655342:HHT655342 HRO655342:HRP655342 IBK655342:IBL655342 ILG655342:ILH655342 IVC655342:IVD655342 JEY655342:JEZ655342 JOU655342:JOV655342 JYQ655342:JYR655342 KIM655342:KIN655342 KSI655342:KSJ655342 LCE655342:LCF655342 LMA655342:LMB655342 LVW655342:LVX655342 MFS655342:MFT655342 MPO655342:MPP655342 MZK655342:MZL655342 NJG655342:NJH655342 NTC655342:NTD655342 OCY655342:OCZ655342 OMU655342:OMV655342 OWQ655342:OWR655342 PGM655342:PGN655342 PQI655342:PQJ655342 QAE655342:QAF655342 QKA655342:QKB655342 QTW655342:QTX655342 RDS655342:RDT655342 RNO655342:RNP655342 RXK655342:RXL655342 SHG655342:SHH655342 SRC655342:SRD655342 TAY655342:TAZ655342 TKU655342:TKV655342 TUQ655342:TUR655342 UEM655342:UEN655342 UOI655342:UOJ655342 UYE655342:UYF655342 VIA655342:VIB655342 VRW655342:VRX655342 WBS655342:WBT655342 WLO655342:WLP655342 WVK655342:WVL655342 C720878:D720878 IY720878:IZ720878 SU720878:SV720878 ACQ720878:ACR720878 AMM720878:AMN720878 AWI720878:AWJ720878 BGE720878:BGF720878 BQA720878:BQB720878 BZW720878:BZX720878 CJS720878:CJT720878 CTO720878:CTP720878 DDK720878:DDL720878 DNG720878:DNH720878 DXC720878:DXD720878 EGY720878:EGZ720878 EQU720878:EQV720878 FAQ720878:FAR720878 FKM720878:FKN720878 FUI720878:FUJ720878 GEE720878:GEF720878 GOA720878:GOB720878 GXW720878:GXX720878 HHS720878:HHT720878 HRO720878:HRP720878 IBK720878:IBL720878 ILG720878:ILH720878 IVC720878:IVD720878 JEY720878:JEZ720878 JOU720878:JOV720878 JYQ720878:JYR720878 KIM720878:KIN720878 KSI720878:KSJ720878 LCE720878:LCF720878 LMA720878:LMB720878 LVW720878:LVX720878 MFS720878:MFT720878 MPO720878:MPP720878 MZK720878:MZL720878 NJG720878:NJH720878 NTC720878:NTD720878 OCY720878:OCZ720878 OMU720878:OMV720878 OWQ720878:OWR720878 PGM720878:PGN720878 PQI720878:PQJ720878 QAE720878:QAF720878 QKA720878:QKB720878 QTW720878:QTX720878 RDS720878:RDT720878 RNO720878:RNP720878 RXK720878:RXL720878 SHG720878:SHH720878 SRC720878:SRD720878 TAY720878:TAZ720878 TKU720878:TKV720878 TUQ720878:TUR720878 UEM720878:UEN720878 UOI720878:UOJ720878 UYE720878:UYF720878 VIA720878:VIB720878 VRW720878:VRX720878 WBS720878:WBT720878 WLO720878:WLP720878 WVK720878:WVL720878 C786414:D786414 IY786414:IZ786414 SU786414:SV786414 ACQ786414:ACR786414 AMM786414:AMN786414 AWI786414:AWJ786414 BGE786414:BGF786414 BQA786414:BQB786414 BZW786414:BZX786414 CJS786414:CJT786414 CTO786414:CTP786414 DDK786414:DDL786414 DNG786414:DNH786414 DXC786414:DXD786414 EGY786414:EGZ786414 EQU786414:EQV786414 FAQ786414:FAR786414 FKM786414:FKN786414 FUI786414:FUJ786414 GEE786414:GEF786414 GOA786414:GOB786414 GXW786414:GXX786414 HHS786414:HHT786414 HRO786414:HRP786414 IBK786414:IBL786414 ILG786414:ILH786414 IVC786414:IVD786414 JEY786414:JEZ786414 JOU786414:JOV786414 JYQ786414:JYR786414 KIM786414:KIN786414 KSI786414:KSJ786414 LCE786414:LCF786414 LMA786414:LMB786414 LVW786414:LVX786414 MFS786414:MFT786414 MPO786414:MPP786414 MZK786414:MZL786414 NJG786414:NJH786414 NTC786414:NTD786414 OCY786414:OCZ786414 OMU786414:OMV786414 OWQ786414:OWR786414 PGM786414:PGN786414 PQI786414:PQJ786414 QAE786414:QAF786414 QKA786414:QKB786414 QTW786414:QTX786414 RDS786414:RDT786414 RNO786414:RNP786414 RXK786414:RXL786414 SHG786414:SHH786414 SRC786414:SRD786414 TAY786414:TAZ786414 TKU786414:TKV786414 TUQ786414:TUR786414 UEM786414:UEN786414 UOI786414:UOJ786414 UYE786414:UYF786414 VIA786414:VIB786414 VRW786414:VRX786414 WBS786414:WBT786414 WLO786414:WLP786414 WVK786414:WVL786414 C851950:D851950 IY851950:IZ851950 SU851950:SV851950 ACQ851950:ACR851950 AMM851950:AMN851950 AWI851950:AWJ851950 BGE851950:BGF851950 BQA851950:BQB851950 BZW851950:BZX851950 CJS851950:CJT851950 CTO851950:CTP851950 DDK851950:DDL851950 DNG851950:DNH851950 DXC851950:DXD851950 EGY851950:EGZ851950 EQU851950:EQV851950 FAQ851950:FAR851950 FKM851950:FKN851950 FUI851950:FUJ851950 GEE851950:GEF851950 GOA851950:GOB851950 GXW851950:GXX851950 HHS851950:HHT851950 HRO851950:HRP851950 IBK851950:IBL851950 ILG851950:ILH851950 IVC851950:IVD851950 JEY851950:JEZ851950 JOU851950:JOV851950 JYQ851950:JYR851950 KIM851950:KIN851950 KSI851950:KSJ851950 LCE851950:LCF851950 LMA851950:LMB851950 LVW851950:LVX851950 MFS851950:MFT851950 MPO851950:MPP851950 MZK851950:MZL851950 NJG851950:NJH851950 NTC851950:NTD851950 OCY851950:OCZ851950 OMU851950:OMV851950 OWQ851950:OWR851950 PGM851950:PGN851950 PQI851950:PQJ851950 QAE851950:QAF851950 QKA851950:QKB851950 QTW851950:QTX851950 RDS851950:RDT851950 RNO851950:RNP851950 RXK851950:RXL851950 SHG851950:SHH851950 SRC851950:SRD851950 TAY851950:TAZ851950 TKU851950:TKV851950 TUQ851950:TUR851950 UEM851950:UEN851950 UOI851950:UOJ851950 UYE851950:UYF851950 VIA851950:VIB851950 VRW851950:VRX851950 WBS851950:WBT851950 WLO851950:WLP851950 WVK851950:WVL851950 C917486:D917486 IY917486:IZ917486 SU917486:SV917486 ACQ917486:ACR917486 AMM917486:AMN917486 AWI917486:AWJ917486 BGE917486:BGF917486 BQA917486:BQB917486 BZW917486:BZX917486 CJS917486:CJT917486 CTO917486:CTP917486 DDK917486:DDL917486 DNG917486:DNH917486 DXC917486:DXD917486 EGY917486:EGZ917486 EQU917486:EQV917486 FAQ917486:FAR917486 FKM917486:FKN917486 FUI917486:FUJ917486 GEE917486:GEF917486 GOA917486:GOB917486 GXW917486:GXX917486 HHS917486:HHT917486 HRO917486:HRP917486 IBK917486:IBL917486 ILG917486:ILH917486 IVC917486:IVD917486 JEY917486:JEZ917486 JOU917486:JOV917486 JYQ917486:JYR917486 KIM917486:KIN917486 KSI917486:KSJ917486 LCE917486:LCF917486 LMA917486:LMB917486 LVW917486:LVX917486 MFS917486:MFT917486 MPO917486:MPP917486 MZK917486:MZL917486 NJG917486:NJH917486 NTC917486:NTD917486 OCY917486:OCZ917486 OMU917486:OMV917486 OWQ917486:OWR917486 PGM917486:PGN917486 PQI917486:PQJ917486 QAE917486:QAF917486 QKA917486:QKB917486 QTW917486:QTX917486 RDS917486:RDT917486 RNO917486:RNP917486 RXK917486:RXL917486 SHG917486:SHH917486 SRC917486:SRD917486 TAY917486:TAZ917486 TKU917486:TKV917486 TUQ917486:TUR917486 UEM917486:UEN917486 UOI917486:UOJ917486 UYE917486:UYF917486 VIA917486:VIB917486 VRW917486:VRX917486 WBS917486:WBT917486 WLO917486:WLP917486 WVK917486:WVL917486 C983022:D983022 IY983022:IZ983022 SU983022:SV983022 ACQ983022:ACR983022 AMM983022:AMN983022 AWI983022:AWJ983022 BGE983022:BGF983022 BQA983022:BQB983022 BZW983022:BZX983022 CJS983022:CJT983022 CTO983022:CTP983022 DDK983022:DDL983022 DNG983022:DNH983022 DXC983022:DXD983022 EGY983022:EGZ983022 EQU983022:EQV983022 FAQ983022:FAR983022 FKM983022:FKN983022 FUI983022:FUJ983022 GEE983022:GEF983022 GOA983022:GOB983022 GXW983022:GXX983022 HHS983022:HHT983022 HRO983022:HRP983022 IBK983022:IBL983022 ILG983022:ILH983022 IVC983022:IVD983022 JEY983022:JEZ983022 JOU983022:JOV983022 JYQ983022:JYR983022 KIM983022:KIN983022 KSI983022:KSJ983022 LCE983022:LCF983022 LMA983022:LMB983022 LVW983022:LVX983022 MFS983022:MFT983022 MPO983022:MPP983022 MZK983022:MZL983022 NJG983022:NJH983022 NTC983022:NTD983022 OCY983022:OCZ983022 OMU983022:OMV983022 OWQ983022:OWR983022 PGM983022:PGN983022 PQI983022:PQJ983022 QAE983022:QAF983022 QKA983022:QKB983022 QTW983022:QTX983022 RDS983022:RDT983022 RNO983022:RNP983022 RXK983022:RXL983022 SHG983022:SHH983022 SRC983022:SRD983022 TAY983022:TAZ983022 TKU983022:TKV983022 TUQ983022:TUR983022 UEM983022:UEN983022 UOI983022:UOJ983022 UYE983022:UYF983022 VIA983022:VIB983022 VRW983022:VRX983022 WBS983022:WBT983022 WLO983022:WLP983022 IY7:IZ7 SU7:SV7 ACQ7:ACR7 AMM7:AMN7 AWI7:AWJ7 BGE7:BGF7 BQA7:BQB7 BZW7:BZX7 CJS7:CJT7 CTO7:CTP7 DDK7:DDL7 DNG7:DNH7 DXC7:DXD7 EGY7:EGZ7 EQU7:EQV7 FAQ7:FAR7 FKM7:FKN7 FUI7:FUJ7 GEE7:GEF7 GOA7:GOB7 GXW7:GXX7 HHS7:HHT7 HRO7:HRP7 IBK7:IBL7 ILG7:ILH7 IVC7:IVD7 JEY7:JEZ7 JOU7:JOV7 JYQ7:JYR7 KIM7:KIN7 KSI7:KSJ7 LCE7:LCF7 LMA7:LMB7 LVW7:LVX7 MFS7:MFT7 MPO7:MPP7 MZK7:MZL7 NJG7:NJH7 NTC7:NTD7 OCY7:OCZ7 OMU7:OMV7 OWQ7:OWR7 PGM7:PGN7 PQI7:PQJ7 QAE7:QAF7 QKA7:QKB7 QTW7:QTX7 RDS7:RDT7 RNO7:RNP7 RXK7:RXL7 SHG7:SHH7 SRC7:SRD7 TAY7:TAZ7 TKU7:TKV7 TUQ7:TUR7 UEM7:UEN7 UOI7:UOJ7 UYE7:UYF7 VIA7:VIB7 VRW7:VRX7 WBS7:WBT7 WLO7:WLP7 WVK7:WVL7">
      <formula1>NHSBOARDS</formula1>
    </dataValidation>
  </dataValidations>
  <hyperlinks>
    <hyperlink ref="A5" r:id="rId1"/>
  </hyperlinks>
  <pageMargins left="0.7" right="0.7" top="0.75" bottom="0.75" header="0.3" footer="0.3"/>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J123"/>
  <sheetViews>
    <sheetView topLeftCell="A7" workbookViewId="0">
      <selection activeCell="E17" sqref="E17"/>
    </sheetView>
  </sheetViews>
  <sheetFormatPr defaultRowHeight="15"/>
  <cols>
    <col min="1" max="1" width="22.85546875" style="6" customWidth="1"/>
    <col min="2" max="2" width="13.5703125" style="6" customWidth="1"/>
    <col min="3" max="3" width="15.140625" style="6" customWidth="1"/>
    <col min="4" max="4" width="12.85546875" style="6" customWidth="1"/>
    <col min="5" max="5" width="12.28515625" style="6" customWidth="1"/>
    <col min="6" max="7" width="14.5703125" style="6" customWidth="1"/>
    <col min="8" max="8" width="9.140625" style="6"/>
    <col min="9" max="9" width="14.7109375" style="6" customWidth="1"/>
    <col min="10" max="252" width="9.140625" style="6"/>
    <col min="253" max="253" width="18.28515625" style="6" customWidth="1"/>
    <col min="254" max="254" width="13.5703125" style="6" customWidth="1"/>
    <col min="255" max="255" width="15.140625" style="6" customWidth="1"/>
    <col min="256" max="256" width="12.85546875" style="6" customWidth="1"/>
    <col min="257" max="257" width="12.28515625" style="6" customWidth="1"/>
    <col min="258" max="258" width="12.42578125" style="6" customWidth="1"/>
    <col min="259" max="259" width="11.7109375" style="6" customWidth="1"/>
    <col min="260" max="262" width="14.5703125" style="6" customWidth="1"/>
    <col min="263" max="263" width="13.42578125" style="6" customWidth="1"/>
    <col min="264" max="508" width="9.140625" style="6"/>
    <col min="509" max="509" width="18.28515625" style="6" customWidth="1"/>
    <col min="510" max="510" width="13.5703125" style="6" customWidth="1"/>
    <col min="511" max="511" width="15.140625" style="6" customWidth="1"/>
    <col min="512" max="512" width="12.85546875" style="6" customWidth="1"/>
    <col min="513" max="513" width="12.28515625" style="6" customWidth="1"/>
    <col min="514" max="514" width="12.42578125" style="6" customWidth="1"/>
    <col min="515" max="515" width="11.7109375" style="6" customWidth="1"/>
    <col min="516" max="518" width="14.5703125" style="6" customWidth="1"/>
    <col min="519" max="519" width="13.42578125" style="6" customWidth="1"/>
    <col min="520" max="764" width="9.140625" style="6"/>
    <col min="765" max="765" width="18.28515625" style="6" customWidth="1"/>
    <col min="766" max="766" width="13.5703125" style="6" customWidth="1"/>
    <col min="767" max="767" width="15.140625" style="6" customWidth="1"/>
    <col min="768" max="768" width="12.85546875" style="6" customWidth="1"/>
    <col min="769" max="769" width="12.28515625" style="6" customWidth="1"/>
    <col min="770" max="770" width="12.42578125" style="6" customWidth="1"/>
    <col min="771" max="771" width="11.7109375" style="6" customWidth="1"/>
    <col min="772" max="774" width="14.5703125" style="6" customWidth="1"/>
    <col min="775" max="775" width="13.42578125" style="6" customWidth="1"/>
    <col min="776" max="1020" width="9.140625" style="6"/>
    <col min="1021" max="1021" width="18.28515625" style="6" customWidth="1"/>
    <col min="1022" max="1022" width="13.5703125" style="6" customWidth="1"/>
    <col min="1023" max="1023" width="15.140625" style="6" customWidth="1"/>
    <col min="1024" max="1024" width="12.85546875" style="6" customWidth="1"/>
    <col min="1025" max="1025" width="12.28515625" style="6" customWidth="1"/>
    <col min="1026" max="1026" width="12.42578125" style="6" customWidth="1"/>
    <col min="1027" max="1027" width="11.7109375" style="6" customWidth="1"/>
    <col min="1028" max="1030" width="14.5703125" style="6" customWidth="1"/>
    <col min="1031" max="1031" width="13.42578125" style="6" customWidth="1"/>
    <col min="1032" max="1276" width="9.140625" style="6"/>
    <col min="1277" max="1277" width="18.28515625" style="6" customWidth="1"/>
    <col min="1278" max="1278" width="13.5703125" style="6" customWidth="1"/>
    <col min="1279" max="1279" width="15.140625" style="6" customWidth="1"/>
    <col min="1280" max="1280" width="12.85546875" style="6" customWidth="1"/>
    <col min="1281" max="1281" width="12.28515625" style="6" customWidth="1"/>
    <col min="1282" max="1282" width="12.42578125" style="6" customWidth="1"/>
    <col min="1283" max="1283" width="11.7109375" style="6" customWidth="1"/>
    <col min="1284" max="1286" width="14.5703125" style="6" customWidth="1"/>
    <col min="1287" max="1287" width="13.42578125" style="6" customWidth="1"/>
    <col min="1288" max="1532" width="9.140625" style="6"/>
    <col min="1533" max="1533" width="18.28515625" style="6" customWidth="1"/>
    <col min="1534" max="1534" width="13.5703125" style="6" customWidth="1"/>
    <col min="1535" max="1535" width="15.140625" style="6" customWidth="1"/>
    <col min="1536" max="1536" width="12.85546875" style="6" customWidth="1"/>
    <col min="1537" max="1537" width="12.28515625" style="6" customWidth="1"/>
    <col min="1538" max="1538" width="12.42578125" style="6" customWidth="1"/>
    <col min="1539" max="1539" width="11.7109375" style="6" customWidth="1"/>
    <col min="1540" max="1542" width="14.5703125" style="6" customWidth="1"/>
    <col min="1543" max="1543" width="13.42578125" style="6" customWidth="1"/>
    <col min="1544" max="1788" width="9.140625" style="6"/>
    <col min="1789" max="1789" width="18.28515625" style="6" customWidth="1"/>
    <col min="1790" max="1790" width="13.5703125" style="6" customWidth="1"/>
    <col min="1791" max="1791" width="15.140625" style="6" customWidth="1"/>
    <col min="1792" max="1792" width="12.85546875" style="6" customWidth="1"/>
    <col min="1793" max="1793" width="12.28515625" style="6" customWidth="1"/>
    <col min="1794" max="1794" width="12.42578125" style="6" customWidth="1"/>
    <col min="1795" max="1795" width="11.7109375" style="6" customWidth="1"/>
    <col min="1796" max="1798" width="14.5703125" style="6" customWidth="1"/>
    <col min="1799" max="1799" width="13.42578125" style="6" customWidth="1"/>
    <col min="1800" max="2044" width="9.140625" style="6"/>
    <col min="2045" max="2045" width="18.28515625" style="6" customWidth="1"/>
    <col min="2046" max="2046" width="13.5703125" style="6" customWidth="1"/>
    <col min="2047" max="2047" width="15.140625" style="6" customWidth="1"/>
    <col min="2048" max="2048" width="12.85546875" style="6" customWidth="1"/>
    <col min="2049" max="2049" width="12.28515625" style="6" customWidth="1"/>
    <col min="2050" max="2050" width="12.42578125" style="6" customWidth="1"/>
    <col min="2051" max="2051" width="11.7109375" style="6" customWidth="1"/>
    <col min="2052" max="2054" width="14.5703125" style="6" customWidth="1"/>
    <col min="2055" max="2055" width="13.42578125" style="6" customWidth="1"/>
    <col min="2056" max="2300" width="9.140625" style="6"/>
    <col min="2301" max="2301" width="18.28515625" style="6" customWidth="1"/>
    <col min="2302" max="2302" width="13.5703125" style="6" customWidth="1"/>
    <col min="2303" max="2303" width="15.140625" style="6" customWidth="1"/>
    <col min="2304" max="2304" width="12.85546875" style="6" customWidth="1"/>
    <col min="2305" max="2305" width="12.28515625" style="6" customWidth="1"/>
    <col min="2306" max="2306" width="12.42578125" style="6" customWidth="1"/>
    <col min="2307" max="2307" width="11.7109375" style="6" customWidth="1"/>
    <col min="2308" max="2310" width="14.5703125" style="6" customWidth="1"/>
    <col min="2311" max="2311" width="13.42578125" style="6" customWidth="1"/>
    <col min="2312" max="2556" width="9.140625" style="6"/>
    <col min="2557" max="2557" width="18.28515625" style="6" customWidth="1"/>
    <col min="2558" max="2558" width="13.5703125" style="6" customWidth="1"/>
    <col min="2559" max="2559" width="15.140625" style="6" customWidth="1"/>
    <col min="2560" max="2560" width="12.85546875" style="6" customWidth="1"/>
    <col min="2561" max="2561" width="12.28515625" style="6" customWidth="1"/>
    <col min="2562" max="2562" width="12.42578125" style="6" customWidth="1"/>
    <col min="2563" max="2563" width="11.7109375" style="6" customWidth="1"/>
    <col min="2564" max="2566" width="14.5703125" style="6" customWidth="1"/>
    <col min="2567" max="2567" width="13.42578125" style="6" customWidth="1"/>
    <col min="2568" max="2812" width="9.140625" style="6"/>
    <col min="2813" max="2813" width="18.28515625" style="6" customWidth="1"/>
    <col min="2814" max="2814" width="13.5703125" style="6" customWidth="1"/>
    <col min="2815" max="2815" width="15.140625" style="6" customWidth="1"/>
    <col min="2816" max="2816" width="12.85546875" style="6" customWidth="1"/>
    <col min="2817" max="2817" width="12.28515625" style="6" customWidth="1"/>
    <col min="2818" max="2818" width="12.42578125" style="6" customWidth="1"/>
    <col min="2819" max="2819" width="11.7109375" style="6" customWidth="1"/>
    <col min="2820" max="2822" width="14.5703125" style="6" customWidth="1"/>
    <col min="2823" max="2823" width="13.42578125" style="6" customWidth="1"/>
    <col min="2824" max="3068" width="9.140625" style="6"/>
    <col min="3069" max="3069" width="18.28515625" style="6" customWidth="1"/>
    <col min="3070" max="3070" width="13.5703125" style="6" customWidth="1"/>
    <col min="3071" max="3071" width="15.140625" style="6" customWidth="1"/>
    <col min="3072" max="3072" width="12.85546875" style="6" customWidth="1"/>
    <col min="3073" max="3073" width="12.28515625" style="6" customWidth="1"/>
    <col min="3074" max="3074" width="12.42578125" style="6" customWidth="1"/>
    <col min="3075" max="3075" width="11.7109375" style="6" customWidth="1"/>
    <col min="3076" max="3078" width="14.5703125" style="6" customWidth="1"/>
    <col min="3079" max="3079" width="13.42578125" style="6" customWidth="1"/>
    <col min="3080" max="3324" width="9.140625" style="6"/>
    <col min="3325" max="3325" width="18.28515625" style="6" customWidth="1"/>
    <col min="3326" max="3326" width="13.5703125" style="6" customWidth="1"/>
    <col min="3327" max="3327" width="15.140625" style="6" customWidth="1"/>
    <col min="3328" max="3328" width="12.85546875" style="6" customWidth="1"/>
    <col min="3329" max="3329" width="12.28515625" style="6" customWidth="1"/>
    <col min="3330" max="3330" width="12.42578125" style="6" customWidth="1"/>
    <col min="3331" max="3331" width="11.7109375" style="6" customWidth="1"/>
    <col min="3332" max="3334" width="14.5703125" style="6" customWidth="1"/>
    <col min="3335" max="3335" width="13.42578125" style="6" customWidth="1"/>
    <col min="3336" max="3580" width="9.140625" style="6"/>
    <col min="3581" max="3581" width="18.28515625" style="6" customWidth="1"/>
    <col min="3582" max="3582" width="13.5703125" style="6" customWidth="1"/>
    <col min="3583" max="3583" width="15.140625" style="6" customWidth="1"/>
    <col min="3584" max="3584" width="12.85546875" style="6" customWidth="1"/>
    <col min="3585" max="3585" width="12.28515625" style="6" customWidth="1"/>
    <col min="3586" max="3586" width="12.42578125" style="6" customWidth="1"/>
    <col min="3587" max="3587" width="11.7109375" style="6" customWidth="1"/>
    <col min="3588" max="3590" width="14.5703125" style="6" customWidth="1"/>
    <col min="3591" max="3591" width="13.42578125" style="6" customWidth="1"/>
    <col min="3592" max="3836" width="9.140625" style="6"/>
    <col min="3837" max="3837" width="18.28515625" style="6" customWidth="1"/>
    <col min="3838" max="3838" width="13.5703125" style="6" customWidth="1"/>
    <col min="3839" max="3839" width="15.140625" style="6" customWidth="1"/>
    <col min="3840" max="3840" width="12.85546875" style="6" customWidth="1"/>
    <col min="3841" max="3841" width="12.28515625" style="6" customWidth="1"/>
    <col min="3842" max="3842" width="12.42578125" style="6" customWidth="1"/>
    <col min="3843" max="3843" width="11.7109375" style="6" customWidth="1"/>
    <col min="3844" max="3846" width="14.5703125" style="6" customWidth="1"/>
    <col min="3847" max="3847" width="13.42578125" style="6" customWidth="1"/>
    <col min="3848" max="4092" width="9.140625" style="6"/>
    <col min="4093" max="4093" width="18.28515625" style="6" customWidth="1"/>
    <col min="4094" max="4094" width="13.5703125" style="6" customWidth="1"/>
    <col min="4095" max="4095" width="15.140625" style="6" customWidth="1"/>
    <col min="4096" max="4096" width="12.85546875" style="6" customWidth="1"/>
    <col min="4097" max="4097" width="12.28515625" style="6" customWidth="1"/>
    <col min="4098" max="4098" width="12.42578125" style="6" customWidth="1"/>
    <col min="4099" max="4099" width="11.7109375" style="6" customWidth="1"/>
    <col min="4100" max="4102" width="14.5703125" style="6" customWidth="1"/>
    <col min="4103" max="4103" width="13.42578125" style="6" customWidth="1"/>
    <col min="4104" max="4348" width="9.140625" style="6"/>
    <col min="4349" max="4349" width="18.28515625" style="6" customWidth="1"/>
    <col min="4350" max="4350" width="13.5703125" style="6" customWidth="1"/>
    <col min="4351" max="4351" width="15.140625" style="6" customWidth="1"/>
    <col min="4352" max="4352" width="12.85546875" style="6" customWidth="1"/>
    <col min="4353" max="4353" width="12.28515625" style="6" customWidth="1"/>
    <col min="4354" max="4354" width="12.42578125" style="6" customWidth="1"/>
    <col min="4355" max="4355" width="11.7109375" style="6" customWidth="1"/>
    <col min="4356" max="4358" width="14.5703125" style="6" customWidth="1"/>
    <col min="4359" max="4359" width="13.42578125" style="6" customWidth="1"/>
    <col min="4360" max="4604" width="9.140625" style="6"/>
    <col min="4605" max="4605" width="18.28515625" style="6" customWidth="1"/>
    <col min="4606" max="4606" width="13.5703125" style="6" customWidth="1"/>
    <col min="4607" max="4607" width="15.140625" style="6" customWidth="1"/>
    <col min="4608" max="4608" width="12.85546875" style="6" customWidth="1"/>
    <col min="4609" max="4609" width="12.28515625" style="6" customWidth="1"/>
    <col min="4610" max="4610" width="12.42578125" style="6" customWidth="1"/>
    <col min="4611" max="4611" width="11.7109375" style="6" customWidth="1"/>
    <col min="4612" max="4614" width="14.5703125" style="6" customWidth="1"/>
    <col min="4615" max="4615" width="13.42578125" style="6" customWidth="1"/>
    <col min="4616" max="4860" width="9.140625" style="6"/>
    <col min="4861" max="4861" width="18.28515625" style="6" customWidth="1"/>
    <col min="4862" max="4862" width="13.5703125" style="6" customWidth="1"/>
    <col min="4863" max="4863" width="15.140625" style="6" customWidth="1"/>
    <col min="4864" max="4864" width="12.85546875" style="6" customWidth="1"/>
    <col min="4865" max="4865" width="12.28515625" style="6" customWidth="1"/>
    <col min="4866" max="4866" width="12.42578125" style="6" customWidth="1"/>
    <col min="4867" max="4867" width="11.7109375" style="6" customWidth="1"/>
    <col min="4868" max="4870" width="14.5703125" style="6" customWidth="1"/>
    <col min="4871" max="4871" width="13.42578125" style="6" customWidth="1"/>
    <col min="4872" max="5116" width="9.140625" style="6"/>
    <col min="5117" max="5117" width="18.28515625" style="6" customWidth="1"/>
    <col min="5118" max="5118" width="13.5703125" style="6" customWidth="1"/>
    <col min="5119" max="5119" width="15.140625" style="6" customWidth="1"/>
    <col min="5120" max="5120" width="12.85546875" style="6" customWidth="1"/>
    <col min="5121" max="5121" width="12.28515625" style="6" customWidth="1"/>
    <col min="5122" max="5122" width="12.42578125" style="6" customWidth="1"/>
    <col min="5123" max="5123" width="11.7109375" style="6" customWidth="1"/>
    <col min="5124" max="5126" width="14.5703125" style="6" customWidth="1"/>
    <col min="5127" max="5127" width="13.42578125" style="6" customWidth="1"/>
    <col min="5128" max="5372" width="9.140625" style="6"/>
    <col min="5373" max="5373" width="18.28515625" style="6" customWidth="1"/>
    <col min="5374" max="5374" width="13.5703125" style="6" customWidth="1"/>
    <col min="5375" max="5375" width="15.140625" style="6" customWidth="1"/>
    <col min="5376" max="5376" width="12.85546875" style="6" customWidth="1"/>
    <col min="5377" max="5377" width="12.28515625" style="6" customWidth="1"/>
    <col min="5378" max="5378" width="12.42578125" style="6" customWidth="1"/>
    <col min="5379" max="5379" width="11.7109375" style="6" customWidth="1"/>
    <col min="5380" max="5382" width="14.5703125" style="6" customWidth="1"/>
    <col min="5383" max="5383" width="13.42578125" style="6" customWidth="1"/>
    <col min="5384" max="5628" width="9.140625" style="6"/>
    <col min="5629" max="5629" width="18.28515625" style="6" customWidth="1"/>
    <col min="5630" max="5630" width="13.5703125" style="6" customWidth="1"/>
    <col min="5631" max="5631" width="15.140625" style="6" customWidth="1"/>
    <col min="5632" max="5632" width="12.85546875" style="6" customWidth="1"/>
    <col min="5633" max="5633" width="12.28515625" style="6" customWidth="1"/>
    <col min="5634" max="5634" width="12.42578125" style="6" customWidth="1"/>
    <col min="5635" max="5635" width="11.7109375" style="6" customWidth="1"/>
    <col min="5636" max="5638" width="14.5703125" style="6" customWidth="1"/>
    <col min="5639" max="5639" width="13.42578125" style="6" customWidth="1"/>
    <col min="5640" max="5884" width="9.140625" style="6"/>
    <col min="5885" max="5885" width="18.28515625" style="6" customWidth="1"/>
    <col min="5886" max="5886" width="13.5703125" style="6" customWidth="1"/>
    <col min="5887" max="5887" width="15.140625" style="6" customWidth="1"/>
    <col min="5888" max="5888" width="12.85546875" style="6" customWidth="1"/>
    <col min="5889" max="5889" width="12.28515625" style="6" customWidth="1"/>
    <col min="5890" max="5890" width="12.42578125" style="6" customWidth="1"/>
    <col min="5891" max="5891" width="11.7109375" style="6" customWidth="1"/>
    <col min="5892" max="5894" width="14.5703125" style="6" customWidth="1"/>
    <col min="5895" max="5895" width="13.42578125" style="6" customWidth="1"/>
    <col min="5896" max="6140" width="9.140625" style="6"/>
    <col min="6141" max="6141" width="18.28515625" style="6" customWidth="1"/>
    <col min="6142" max="6142" width="13.5703125" style="6" customWidth="1"/>
    <col min="6143" max="6143" width="15.140625" style="6" customWidth="1"/>
    <col min="6144" max="6144" width="12.85546875" style="6" customWidth="1"/>
    <col min="6145" max="6145" width="12.28515625" style="6" customWidth="1"/>
    <col min="6146" max="6146" width="12.42578125" style="6" customWidth="1"/>
    <col min="6147" max="6147" width="11.7109375" style="6" customWidth="1"/>
    <col min="6148" max="6150" width="14.5703125" style="6" customWidth="1"/>
    <col min="6151" max="6151" width="13.42578125" style="6" customWidth="1"/>
    <col min="6152" max="6396" width="9.140625" style="6"/>
    <col min="6397" max="6397" width="18.28515625" style="6" customWidth="1"/>
    <col min="6398" max="6398" width="13.5703125" style="6" customWidth="1"/>
    <col min="6399" max="6399" width="15.140625" style="6" customWidth="1"/>
    <col min="6400" max="6400" width="12.85546875" style="6" customWidth="1"/>
    <col min="6401" max="6401" width="12.28515625" style="6" customWidth="1"/>
    <col min="6402" max="6402" width="12.42578125" style="6" customWidth="1"/>
    <col min="6403" max="6403" width="11.7109375" style="6" customWidth="1"/>
    <col min="6404" max="6406" width="14.5703125" style="6" customWidth="1"/>
    <col min="6407" max="6407" width="13.42578125" style="6" customWidth="1"/>
    <col min="6408" max="6652" width="9.140625" style="6"/>
    <col min="6653" max="6653" width="18.28515625" style="6" customWidth="1"/>
    <col min="6654" max="6654" width="13.5703125" style="6" customWidth="1"/>
    <col min="6655" max="6655" width="15.140625" style="6" customWidth="1"/>
    <col min="6656" max="6656" width="12.85546875" style="6" customWidth="1"/>
    <col min="6657" max="6657" width="12.28515625" style="6" customWidth="1"/>
    <col min="6658" max="6658" width="12.42578125" style="6" customWidth="1"/>
    <col min="6659" max="6659" width="11.7109375" style="6" customWidth="1"/>
    <col min="6660" max="6662" width="14.5703125" style="6" customWidth="1"/>
    <col min="6663" max="6663" width="13.42578125" style="6" customWidth="1"/>
    <col min="6664" max="6908" width="9.140625" style="6"/>
    <col min="6909" max="6909" width="18.28515625" style="6" customWidth="1"/>
    <col min="6910" max="6910" width="13.5703125" style="6" customWidth="1"/>
    <col min="6911" max="6911" width="15.140625" style="6" customWidth="1"/>
    <col min="6912" max="6912" width="12.85546875" style="6" customWidth="1"/>
    <col min="6913" max="6913" width="12.28515625" style="6" customWidth="1"/>
    <col min="6914" max="6914" width="12.42578125" style="6" customWidth="1"/>
    <col min="6915" max="6915" width="11.7109375" style="6" customWidth="1"/>
    <col min="6916" max="6918" width="14.5703125" style="6" customWidth="1"/>
    <col min="6919" max="6919" width="13.42578125" style="6" customWidth="1"/>
    <col min="6920" max="7164" width="9.140625" style="6"/>
    <col min="7165" max="7165" width="18.28515625" style="6" customWidth="1"/>
    <col min="7166" max="7166" width="13.5703125" style="6" customWidth="1"/>
    <col min="7167" max="7167" width="15.140625" style="6" customWidth="1"/>
    <col min="7168" max="7168" width="12.85546875" style="6" customWidth="1"/>
    <col min="7169" max="7169" width="12.28515625" style="6" customWidth="1"/>
    <col min="7170" max="7170" width="12.42578125" style="6" customWidth="1"/>
    <col min="7171" max="7171" width="11.7109375" style="6" customWidth="1"/>
    <col min="7172" max="7174" width="14.5703125" style="6" customWidth="1"/>
    <col min="7175" max="7175" width="13.42578125" style="6" customWidth="1"/>
    <col min="7176" max="7420" width="9.140625" style="6"/>
    <col min="7421" max="7421" width="18.28515625" style="6" customWidth="1"/>
    <col min="7422" max="7422" width="13.5703125" style="6" customWidth="1"/>
    <col min="7423" max="7423" width="15.140625" style="6" customWidth="1"/>
    <col min="7424" max="7424" width="12.85546875" style="6" customWidth="1"/>
    <col min="7425" max="7425" width="12.28515625" style="6" customWidth="1"/>
    <col min="7426" max="7426" width="12.42578125" style="6" customWidth="1"/>
    <col min="7427" max="7427" width="11.7109375" style="6" customWidth="1"/>
    <col min="7428" max="7430" width="14.5703125" style="6" customWidth="1"/>
    <col min="7431" max="7431" width="13.42578125" style="6" customWidth="1"/>
    <col min="7432" max="7676" width="9.140625" style="6"/>
    <col min="7677" max="7677" width="18.28515625" style="6" customWidth="1"/>
    <col min="7678" max="7678" width="13.5703125" style="6" customWidth="1"/>
    <col min="7679" max="7679" width="15.140625" style="6" customWidth="1"/>
    <col min="7680" max="7680" width="12.85546875" style="6" customWidth="1"/>
    <col min="7681" max="7681" width="12.28515625" style="6" customWidth="1"/>
    <col min="7682" max="7682" width="12.42578125" style="6" customWidth="1"/>
    <col min="7683" max="7683" width="11.7109375" style="6" customWidth="1"/>
    <col min="7684" max="7686" width="14.5703125" style="6" customWidth="1"/>
    <col min="7687" max="7687" width="13.42578125" style="6" customWidth="1"/>
    <col min="7688" max="7932" width="9.140625" style="6"/>
    <col min="7933" max="7933" width="18.28515625" style="6" customWidth="1"/>
    <col min="7934" max="7934" width="13.5703125" style="6" customWidth="1"/>
    <col min="7935" max="7935" width="15.140625" style="6" customWidth="1"/>
    <col min="7936" max="7936" width="12.85546875" style="6" customWidth="1"/>
    <col min="7937" max="7937" width="12.28515625" style="6" customWidth="1"/>
    <col min="7938" max="7938" width="12.42578125" style="6" customWidth="1"/>
    <col min="7939" max="7939" width="11.7109375" style="6" customWidth="1"/>
    <col min="7940" max="7942" width="14.5703125" style="6" customWidth="1"/>
    <col min="7943" max="7943" width="13.42578125" style="6" customWidth="1"/>
    <col min="7944" max="8188" width="9.140625" style="6"/>
    <col min="8189" max="8189" width="18.28515625" style="6" customWidth="1"/>
    <col min="8190" max="8190" width="13.5703125" style="6" customWidth="1"/>
    <col min="8191" max="8191" width="15.140625" style="6" customWidth="1"/>
    <col min="8192" max="8192" width="12.85546875" style="6" customWidth="1"/>
    <col min="8193" max="8193" width="12.28515625" style="6" customWidth="1"/>
    <col min="8194" max="8194" width="12.42578125" style="6" customWidth="1"/>
    <col min="8195" max="8195" width="11.7109375" style="6" customWidth="1"/>
    <col min="8196" max="8198" width="14.5703125" style="6" customWidth="1"/>
    <col min="8199" max="8199" width="13.42578125" style="6" customWidth="1"/>
    <col min="8200" max="8444" width="9.140625" style="6"/>
    <col min="8445" max="8445" width="18.28515625" style="6" customWidth="1"/>
    <col min="8446" max="8446" width="13.5703125" style="6" customWidth="1"/>
    <col min="8447" max="8447" width="15.140625" style="6" customWidth="1"/>
    <col min="8448" max="8448" width="12.85546875" style="6" customWidth="1"/>
    <col min="8449" max="8449" width="12.28515625" style="6" customWidth="1"/>
    <col min="8450" max="8450" width="12.42578125" style="6" customWidth="1"/>
    <col min="8451" max="8451" width="11.7109375" style="6" customWidth="1"/>
    <col min="8452" max="8454" width="14.5703125" style="6" customWidth="1"/>
    <col min="8455" max="8455" width="13.42578125" style="6" customWidth="1"/>
    <col min="8456" max="8700" width="9.140625" style="6"/>
    <col min="8701" max="8701" width="18.28515625" style="6" customWidth="1"/>
    <col min="8702" max="8702" width="13.5703125" style="6" customWidth="1"/>
    <col min="8703" max="8703" width="15.140625" style="6" customWidth="1"/>
    <col min="8704" max="8704" width="12.85546875" style="6" customWidth="1"/>
    <col min="8705" max="8705" width="12.28515625" style="6" customWidth="1"/>
    <col min="8706" max="8706" width="12.42578125" style="6" customWidth="1"/>
    <col min="8707" max="8707" width="11.7109375" style="6" customWidth="1"/>
    <col min="8708" max="8710" width="14.5703125" style="6" customWidth="1"/>
    <col min="8711" max="8711" width="13.42578125" style="6" customWidth="1"/>
    <col min="8712" max="8956" width="9.140625" style="6"/>
    <col min="8957" max="8957" width="18.28515625" style="6" customWidth="1"/>
    <col min="8958" max="8958" width="13.5703125" style="6" customWidth="1"/>
    <col min="8959" max="8959" width="15.140625" style="6" customWidth="1"/>
    <col min="8960" max="8960" width="12.85546875" style="6" customWidth="1"/>
    <col min="8961" max="8961" width="12.28515625" style="6" customWidth="1"/>
    <col min="8962" max="8962" width="12.42578125" style="6" customWidth="1"/>
    <col min="8963" max="8963" width="11.7109375" style="6" customWidth="1"/>
    <col min="8964" max="8966" width="14.5703125" style="6" customWidth="1"/>
    <col min="8967" max="8967" width="13.42578125" style="6" customWidth="1"/>
    <col min="8968" max="9212" width="9.140625" style="6"/>
    <col min="9213" max="9213" width="18.28515625" style="6" customWidth="1"/>
    <col min="9214" max="9214" width="13.5703125" style="6" customWidth="1"/>
    <col min="9215" max="9215" width="15.140625" style="6" customWidth="1"/>
    <col min="9216" max="9216" width="12.85546875" style="6" customWidth="1"/>
    <col min="9217" max="9217" width="12.28515625" style="6" customWidth="1"/>
    <col min="9218" max="9218" width="12.42578125" style="6" customWidth="1"/>
    <col min="9219" max="9219" width="11.7109375" style="6" customWidth="1"/>
    <col min="9220" max="9222" width="14.5703125" style="6" customWidth="1"/>
    <col min="9223" max="9223" width="13.42578125" style="6" customWidth="1"/>
    <col min="9224" max="9468" width="9.140625" style="6"/>
    <col min="9469" max="9469" width="18.28515625" style="6" customWidth="1"/>
    <col min="9470" max="9470" width="13.5703125" style="6" customWidth="1"/>
    <col min="9471" max="9471" width="15.140625" style="6" customWidth="1"/>
    <col min="9472" max="9472" width="12.85546875" style="6" customWidth="1"/>
    <col min="9473" max="9473" width="12.28515625" style="6" customWidth="1"/>
    <col min="9474" max="9474" width="12.42578125" style="6" customWidth="1"/>
    <col min="9475" max="9475" width="11.7109375" style="6" customWidth="1"/>
    <col min="9476" max="9478" width="14.5703125" style="6" customWidth="1"/>
    <col min="9479" max="9479" width="13.42578125" style="6" customWidth="1"/>
    <col min="9480" max="9724" width="9.140625" style="6"/>
    <col min="9725" max="9725" width="18.28515625" style="6" customWidth="1"/>
    <col min="9726" max="9726" width="13.5703125" style="6" customWidth="1"/>
    <col min="9727" max="9727" width="15.140625" style="6" customWidth="1"/>
    <col min="9728" max="9728" width="12.85546875" style="6" customWidth="1"/>
    <col min="9729" max="9729" width="12.28515625" style="6" customWidth="1"/>
    <col min="9730" max="9730" width="12.42578125" style="6" customWidth="1"/>
    <col min="9731" max="9731" width="11.7109375" style="6" customWidth="1"/>
    <col min="9732" max="9734" width="14.5703125" style="6" customWidth="1"/>
    <col min="9735" max="9735" width="13.42578125" style="6" customWidth="1"/>
    <col min="9736" max="9980" width="9.140625" style="6"/>
    <col min="9981" max="9981" width="18.28515625" style="6" customWidth="1"/>
    <col min="9982" max="9982" width="13.5703125" style="6" customWidth="1"/>
    <col min="9983" max="9983" width="15.140625" style="6" customWidth="1"/>
    <col min="9984" max="9984" width="12.85546875" style="6" customWidth="1"/>
    <col min="9985" max="9985" width="12.28515625" style="6" customWidth="1"/>
    <col min="9986" max="9986" width="12.42578125" style="6" customWidth="1"/>
    <col min="9987" max="9987" width="11.7109375" style="6" customWidth="1"/>
    <col min="9988" max="9990" width="14.5703125" style="6" customWidth="1"/>
    <col min="9991" max="9991" width="13.42578125" style="6" customWidth="1"/>
    <col min="9992" max="10236" width="9.140625" style="6"/>
    <col min="10237" max="10237" width="18.28515625" style="6" customWidth="1"/>
    <col min="10238" max="10238" width="13.5703125" style="6" customWidth="1"/>
    <col min="10239" max="10239" width="15.140625" style="6" customWidth="1"/>
    <col min="10240" max="10240" width="12.85546875" style="6" customWidth="1"/>
    <col min="10241" max="10241" width="12.28515625" style="6" customWidth="1"/>
    <col min="10242" max="10242" width="12.42578125" style="6" customWidth="1"/>
    <col min="10243" max="10243" width="11.7109375" style="6" customWidth="1"/>
    <col min="10244" max="10246" width="14.5703125" style="6" customWidth="1"/>
    <col min="10247" max="10247" width="13.42578125" style="6" customWidth="1"/>
    <col min="10248" max="10492" width="9.140625" style="6"/>
    <col min="10493" max="10493" width="18.28515625" style="6" customWidth="1"/>
    <col min="10494" max="10494" width="13.5703125" style="6" customWidth="1"/>
    <col min="10495" max="10495" width="15.140625" style="6" customWidth="1"/>
    <col min="10496" max="10496" width="12.85546875" style="6" customWidth="1"/>
    <col min="10497" max="10497" width="12.28515625" style="6" customWidth="1"/>
    <col min="10498" max="10498" width="12.42578125" style="6" customWidth="1"/>
    <col min="10499" max="10499" width="11.7109375" style="6" customWidth="1"/>
    <col min="10500" max="10502" width="14.5703125" style="6" customWidth="1"/>
    <col min="10503" max="10503" width="13.42578125" style="6" customWidth="1"/>
    <col min="10504" max="10748" width="9.140625" style="6"/>
    <col min="10749" max="10749" width="18.28515625" style="6" customWidth="1"/>
    <col min="10750" max="10750" width="13.5703125" style="6" customWidth="1"/>
    <col min="10751" max="10751" width="15.140625" style="6" customWidth="1"/>
    <col min="10752" max="10752" width="12.85546875" style="6" customWidth="1"/>
    <col min="10753" max="10753" width="12.28515625" style="6" customWidth="1"/>
    <col min="10754" max="10754" width="12.42578125" style="6" customWidth="1"/>
    <col min="10755" max="10755" width="11.7109375" style="6" customWidth="1"/>
    <col min="10756" max="10758" width="14.5703125" style="6" customWidth="1"/>
    <col min="10759" max="10759" width="13.42578125" style="6" customWidth="1"/>
    <col min="10760" max="11004" width="9.140625" style="6"/>
    <col min="11005" max="11005" width="18.28515625" style="6" customWidth="1"/>
    <col min="11006" max="11006" width="13.5703125" style="6" customWidth="1"/>
    <col min="11007" max="11007" width="15.140625" style="6" customWidth="1"/>
    <col min="11008" max="11008" width="12.85546875" style="6" customWidth="1"/>
    <col min="11009" max="11009" width="12.28515625" style="6" customWidth="1"/>
    <col min="11010" max="11010" width="12.42578125" style="6" customWidth="1"/>
    <col min="11011" max="11011" width="11.7109375" style="6" customWidth="1"/>
    <col min="11012" max="11014" width="14.5703125" style="6" customWidth="1"/>
    <col min="11015" max="11015" width="13.42578125" style="6" customWidth="1"/>
    <col min="11016" max="11260" width="9.140625" style="6"/>
    <col min="11261" max="11261" width="18.28515625" style="6" customWidth="1"/>
    <col min="11262" max="11262" width="13.5703125" style="6" customWidth="1"/>
    <col min="11263" max="11263" width="15.140625" style="6" customWidth="1"/>
    <col min="11264" max="11264" width="12.85546875" style="6" customWidth="1"/>
    <col min="11265" max="11265" width="12.28515625" style="6" customWidth="1"/>
    <col min="11266" max="11266" width="12.42578125" style="6" customWidth="1"/>
    <col min="11267" max="11267" width="11.7109375" style="6" customWidth="1"/>
    <col min="11268" max="11270" width="14.5703125" style="6" customWidth="1"/>
    <col min="11271" max="11271" width="13.42578125" style="6" customWidth="1"/>
    <col min="11272" max="11516" width="9.140625" style="6"/>
    <col min="11517" max="11517" width="18.28515625" style="6" customWidth="1"/>
    <col min="11518" max="11518" width="13.5703125" style="6" customWidth="1"/>
    <col min="11519" max="11519" width="15.140625" style="6" customWidth="1"/>
    <col min="11520" max="11520" width="12.85546875" style="6" customWidth="1"/>
    <col min="11521" max="11521" width="12.28515625" style="6" customWidth="1"/>
    <col min="11522" max="11522" width="12.42578125" style="6" customWidth="1"/>
    <col min="11523" max="11523" width="11.7109375" style="6" customWidth="1"/>
    <col min="11524" max="11526" width="14.5703125" style="6" customWidth="1"/>
    <col min="11527" max="11527" width="13.42578125" style="6" customWidth="1"/>
    <col min="11528" max="11772" width="9.140625" style="6"/>
    <col min="11773" max="11773" width="18.28515625" style="6" customWidth="1"/>
    <col min="11774" max="11774" width="13.5703125" style="6" customWidth="1"/>
    <col min="11775" max="11775" width="15.140625" style="6" customWidth="1"/>
    <col min="11776" max="11776" width="12.85546875" style="6" customWidth="1"/>
    <col min="11777" max="11777" width="12.28515625" style="6" customWidth="1"/>
    <col min="11778" max="11778" width="12.42578125" style="6" customWidth="1"/>
    <col min="11779" max="11779" width="11.7109375" style="6" customWidth="1"/>
    <col min="11780" max="11782" width="14.5703125" style="6" customWidth="1"/>
    <col min="11783" max="11783" width="13.42578125" style="6" customWidth="1"/>
    <col min="11784" max="12028" width="9.140625" style="6"/>
    <col min="12029" max="12029" width="18.28515625" style="6" customWidth="1"/>
    <col min="12030" max="12030" width="13.5703125" style="6" customWidth="1"/>
    <col min="12031" max="12031" width="15.140625" style="6" customWidth="1"/>
    <col min="12032" max="12032" width="12.85546875" style="6" customWidth="1"/>
    <col min="12033" max="12033" width="12.28515625" style="6" customWidth="1"/>
    <col min="12034" max="12034" width="12.42578125" style="6" customWidth="1"/>
    <col min="12035" max="12035" width="11.7109375" style="6" customWidth="1"/>
    <col min="12036" max="12038" width="14.5703125" style="6" customWidth="1"/>
    <col min="12039" max="12039" width="13.42578125" style="6" customWidth="1"/>
    <col min="12040" max="12284" width="9.140625" style="6"/>
    <col min="12285" max="12285" width="18.28515625" style="6" customWidth="1"/>
    <col min="12286" max="12286" width="13.5703125" style="6" customWidth="1"/>
    <col min="12287" max="12287" width="15.140625" style="6" customWidth="1"/>
    <col min="12288" max="12288" width="12.85546875" style="6" customWidth="1"/>
    <col min="12289" max="12289" width="12.28515625" style="6" customWidth="1"/>
    <col min="12290" max="12290" width="12.42578125" style="6" customWidth="1"/>
    <col min="12291" max="12291" width="11.7109375" style="6" customWidth="1"/>
    <col min="12292" max="12294" width="14.5703125" style="6" customWidth="1"/>
    <col min="12295" max="12295" width="13.42578125" style="6" customWidth="1"/>
    <col min="12296" max="12540" width="9.140625" style="6"/>
    <col min="12541" max="12541" width="18.28515625" style="6" customWidth="1"/>
    <col min="12542" max="12542" width="13.5703125" style="6" customWidth="1"/>
    <col min="12543" max="12543" width="15.140625" style="6" customWidth="1"/>
    <col min="12544" max="12544" width="12.85546875" style="6" customWidth="1"/>
    <col min="12545" max="12545" width="12.28515625" style="6" customWidth="1"/>
    <col min="12546" max="12546" width="12.42578125" style="6" customWidth="1"/>
    <col min="12547" max="12547" width="11.7109375" style="6" customWidth="1"/>
    <col min="12548" max="12550" width="14.5703125" style="6" customWidth="1"/>
    <col min="12551" max="12551" width="13.42578125" style="6" customWidth="1"/>
    <col min="12552" max="12796" width="9.140625" style="6"/>
    <col min="12797" max="12797" width="18.28515625" style="6" customWidth="1"/>
    <col min="12798" max="12798" width="13.5703125" style="6" customWidth="1"/>
    <col min="12799" max="12799" width="15.140625" style="6" customWidth="1"/>
    <col min="12800" max="12800" width="12.85546875" style="6" customWidth="1"/>
    <col min="12801" max="12801" width="12.28515625" style="6" customWidth="1"/>
    <col min="12802" max="12802" width="12.42578125" style="6" customWidth="1"/>
    <col min="12803" max="12803" width="11.7109375" style="6" customWidth="1"/>
    <col min="12804" max="12806" width="14.5703125" style="6" customWidth="1"/>
    <col min="12807" max="12807" width="13.42578125" style="6" customWidth="1"/>
    <col min="12808" max="13052" width="9.140625" style="6"/>
    <col min="13053" max="13053" width="18.28515625" style="6" customWidth="1"/>
    <col min="13054" max="13054" width="13.5703125" style="6" customWidth="1"/>
    <col min="13055" max="13055" width="15.140625" style="6" customWidth="1"/>
    <col min="13056" max="13056" width="12.85546875" style="6" customWidth="1"/>
    <col min="13057" max="13057" width="12.28515625" style="6" customWidth="1"/>
    <col min="13058" max="13058" width="12.42578125" style="6" customWidth="1"/>
    <col min="13059" max="13059" width="11.7109375" style="6" customWidth="1"/>
    <col min="13060" max="13062" width="14.5703125" style="6" customWidth="1"/>
    <col min="13063" max="13063" width="13.42578125" style="6" customWidth="1"/>
    <col min="13064" max="13308" width="9.140625" style="6"/>
    <col min="13309" max="13309" width="18.28515625" style="6" customWidth="1"/>
    <col min="13310" max="13310" width="13.5703125" style="6" customWidth="1"/>
    <col min="13311" max="13311" width="15.140625" style="6" customWidth="1"/>
    <col min="13312" max="13312" width="12.85546875" style="6" customWidth="1"/>
    <col min="13313" max="13313" width="12.28515625" style="6" customWidth="1"/>
    <col min="13314" max="13314" width="12.42578125" style="6" customWidth="1"/>
    <col min="13315" max="13315" width="11.7109375" style="6" customWidth="1"/>
    <col min="13316" max="13318" width="14.5703125" style="6" customWidth="1"/>
    <col min="13319" max="13319" width="13.42578125" style="6" customWidth="1"/>
    <col min="13320" max="13564" width="9.140625" style="6"/>
    <col min="13565" max="13565" width="18.28515625" style="6" customWidth="1"/>
    <col min="13566" max="13566" width="13.5703125" style="6" customWidth="1"/>
    <col min="13567" max="13567" width="15.140625" style="6" customWidth="1"/>
    <col min="13568" max="13568" width="12.85546875" style="6" customWidth="1"/>
    <col min="13569" max="13569" width="12.28515625" style="6" customWidth="1"/>
    <col min="13570" max="13570" width="12.42578125" style="6" customWidth="1"/>
    <col min="13571" max="13571" width="11.7109375" style="6" customWidth="1"/>
    <col min="13572" max="13574" width="14.5703125" style="6" customWidth="1"/>
    <col min="13575" max="13575" width="13.42578125" style="6" customWidth="1"/>
    <col min="13576" max="13820" width="9.140625" style="6"/>
    <col min="13821" max="13821" width="18.28515625" style="6" customWidth="1"/>
    <col min="13822" max="13822" width="13.5703125" style="6" customWidth="1"/>
    <col min="13823" max="13823" width="15.140625" style="6" customWidth="1"/>
    <col min="13824" max="13824" width="12.85546875" style="6" customWidth="1"/>
    <col min="13825" max="13825" width="12.28515625" style="6" customWidth="1"/>
    <col min="13826" max="13826" width="12.42578125" style="6" customWidth="1"/>
    <col min="13827" max="13827" width="11.7109375" style="6" customWidth="1"/>
    <col min="13828" max="13830" width="14.5703125" style="6" customWidth="1"/>
    <col min="13831" max="13831" width="13.42578125" style="6" customWidth="1"/>
    <col min="13832" max="14076" width="9.140625" style="6"/>
    <col min="14077" max="14077" width="18.28515625" style="6" customWidth="1"/>
    <col min="14078" max="14078" width="13.5703125" style="6" customWidth="1"/>
    <col min="14079" max="14079" width="15.140625" style="6" customWidth="1"/>
    <col min="14080" max="14080" width="12.85546875" style="6" customWidth="1"/>
    <col min="14081" max="14081" width="12.28515625" style="6" customWidth="1"/>
    <col min="14082" max="14082" width="12.42578125" style="6" customWidth="1"/>
    <col min="14083" max="14083" width="11.7109375" style="6" customWidth="1"/>
    <col min="14084" max="14086" width="14.5703125" style="6" customWidth="1"/>
    <col min="14087" max="14087" width="13.42578125" style="6" customWidth="1"/>
    <col min="14088" max="14332" width="9.140625" style="6"/>
    <col min="14333" max="14333" width="18.28515625" style="6" customWidth="1"/>
    <col min="14334" max="14334" width="13.5703125" style="6" customWidth="1"/>
    <col min="14335" max="14335" width="15.140625" style="6" customWidth="1"/>
    <col min="14336" max="14336" width="12.85546875" style="6" customWidth="1"/>
    <col min="14337" max="14337" width="12.28515625" style="6" customWidth="1"/>
    <col min="14338" max="14338" width="12.42578125" style="6" customWidth="1"/>
    <col min="14339" max="14339" width="11.7109375" style="6" customWidth="1"/>
    <col min="14340" max="14342" width="14.5703125" style="6" customWidth="1"/>
    <col min="14343" max="14343" width="13.42578125" style="6" customWidth="1"/>
    <col min="14344" max="14588" width="9.140625" style="6"/>
    <col min="14589" max="14589" width="18.28515625" style="6" customWidth="1"/>
    <col min="14590" max="14590" width="13.5703125" style="6" customWidth="1"/>
    <col min="14591" max="14591" width="15.140625" style="6" customWidth="1"/>
    <col min="14592" max="14592" width="12.85546875" style="6" customWidth="1"/>
    <col min="14593" max="14593" width="12.28515625" style="6" customWidth="1"/>
    <col min="14594" max="14594" width="12.42578125" style="6" customWidth="1"/>
    <col min="14595" max="14595" width="11.7109375" style="6" customWidth="1"/>
    <col min="14596" max="14598" width="14.5703125" style="6" customWidth="1"/>
    <col min="14599" max="14599" width="13.42578125" style="6" customWidth="1"/>
    <col min="14600" max="14844" width="9.140625" style="6"/>
    <col min="14845" max="14845" width="18.28515625" style="6" customWidth="1"/>
    <col min="14846" max="14846" width="13.5703125" style="6" customWidth="1"/>
    <col min="14847" max="14847" width="15.140625" style="6" customWidth="1"/>
    <col min="14848" max="14848" width="12.85546875" style="6" customWidth="1"/>
    <col min="14849" max="14849" width="12.28515625" style="6" customWidth="1"/>
    <col min="14850" max="14850" width="12.42578125" style="6" customWidth="1"/>
    <col min="14851" max="14851" width="11.7109375" style="6" customWidth="1"/>
    <col min="14852" max="14854" width="14.5703125" style="6" customWidth="1"/>
    <col min="14855" max="14855" width="13.42578125" style="6" customWidth="1"/>
    <col min="14856" max="15100" width="9.140625" style="6"/>
    <col min="15101" max="15101" width="18.28515625" style="6" customWidth="1"/>
    <col min="15102" max="15102" width="13.5703125" style="6" customWidth="1"/>
    <col min="15103" max="15103" width="15.140625" style="6" customWidth="1"/>
    <col min="15104" max="15104" width="12.85546875" style="6" customWidth="1"/>
    <col min="15105" max="15105" width="12.28515625" style="6" customWidth="1"/>
    <col min="15106" max="15106" width="12.42578125" style="6" customWidth="1"/>
    <col min="15107" max="15107" width="11.7109375" style="6" customWidth="1"/>
    <col min="15108" max="15110" width="14.5703125" style="6" customWidth="1"/>
    <col min="15111" max="15111" width="13.42578125" style="6" customWidth="1"/>
    <col min="15112" max="15356" width="9.140625" style="6"/>
    <col min="15357" max="15357" width="18.28515625" style="6" customWidth="1"/>
    <col min="15358" max="15358" width="13.5703125" style="6" customWidth="1"/>
    <col min="15359" max="15359" width="15.140625" style="6" customWidth="1"/>
    <col min="15360" max="15360" width="12.85546875" style="6" customWidth="1"/>
    <col min="15361" max="15361" width="12.28515625" style="6" customWidth="1"/>
    <col min="15362" max="15362" width="12.42578125" style="6" customWidth="1"/>
    <col min="15363" max="15363" width="11.7109375" style="6" customWidth="1"/>
    <col min="15364" max="15366" width="14.5703125" style="6" customWidth="1"/>
    <col min="15367" max="15367" width="13.42578125" style="6" customWidth="1"/>
    <col min="15368" max="15612" width="9.140625" style="6"/>
    <col min="15613" max="15613" width="18.28515625" style="6" customWidth="1"/>
    <col min="15614" max="15614" width="13.5703125" style="6" customWidth="1"/>
    <col min="15615" max="15615" width="15.140625" style="6" customWidth="1"/>
    <col min="15616" max="15616" width="12.85546875" style="6" customWidth="1"/>
    <col min="15617" max="15617" width="12.28515625" style="6" customWidth="1"/>
    <col min="15618" max="15618" width="12.42578125" style="6" customWidth="1"/>
    <col min="15619" max="15619" width="11.7109375" style="6" customWidth="1"/>
    <col min="15620" max="15622" width="14.5703125" style="6" customWidth="1"/>
    <col min="15623" max="15623" width="13.42578125" style="6" customWidth="1"/>
    <col min="15624" max="15868" width="9.140625" style="6"/>
    <col min="15869" max="15869" width="18.28515625" style="6" customWidth="1"/>
    <col min="15870" max="15870" width="13.5703125" style="6" customWidth="1"/>
    <col min="15871" max="15871" width="15.140625" style="6" customWidth="1"/>
    <col min="15872" max="15872" width="12.85546875" style="6" customWidth="1"/>
    <col min="15873" max="15873" width="12.28515625" style="6" customWidth="1"/>
    <col min="15874" max="15874" width="12.42578125" style="6" customWidth="1"/>
    <col min="15875" max="15875" width="11.7109375" style="6" customWidth="1"/>
    <col min="15876" max="15878" width="14.5703125" style="6" customWidth="1"/>
    <col min="15879" max="15879" width="13.42578125" style="6" customWidth="1"/>
    <col min="15880" max="16124" width="9.140625" style="6"/>
    <col min="16125" max="16125" width="18.28515625" style="6" customWidth="1"/>
    <col min="16126" max="16126" width="13.5703125" style="6" customWidth="1"/>
    <col min="16127" max="16127" width="15.140625" style="6" customWidth="1"/>
    <col min="16128" max="16128" width="12.85546875" style="6" customWidth="1"/>
    <col min="16129" max="16129" width="12.28515625" style="6" customWidth="1"/>
    <col min="16130" max="16130" width="12.42578125" style="6" customWidth="1"/>
    <col min="16131" max="16131" width="11.7109375" style="6" customWidth="1"/>
    <col min="16132" max="16134" width="14.5703125" style="6" customWidth="1"/>
    <col min="16135" max="16135" width="13.42578125" style="6" customWidth="1"/>
    <col min="16136" max="16384" width="9.140625" style="6"/>
  </cols>
  <sheetData>
    <row r="1" spans="1:10" ht="15.75">
      <c r="A1" s="208" t="str">
        <f xml:space="preserve"> "Psychological Therapies Waiting Times - Number of patients seen during the month by Health Board, "&amp;TEXT(A24,"mmm yyyy")&amp;" - "&amp;TEXT(A10,"mmm yyyy")</f>
        <v>Psychological Therapies Waiting Times - Number of patients seen during the month by Health Board, May 2020 - Jan 1900</v>
      </c>
      <c r="B1" s="209"/>
      <c r="C1" s="209"/>
      <c r="D1" s="209"/>
    </row>
    <row r="2" spans="1:10">
      <c r="A2" s="209"/>
      <c r="B2" s="209"/>
      <c r="C2" s="209"/>
      <c r="D2" s="209"/>
    </row>
    <row r="3" spans="1:10">
      <c r="A3" s="456" t="s">
        <v>454</v>
      </c>
      <c r="B3" s="457"/>
      <c r="C3" s="457"/>
      <c r="D3" s="457"/>
      <c r="E3" s="65"/>
      <c r="F3" s="65"/>
      <c r="G3" s="65"/>
    </row>
    <row r="4" spans="1:10">
      <c r="A4" s="66" t="str">
        <f>"Number of patients seen during the month by Health Board, "&amp;TEXT(A25,"mmm yyyy")&amp;" - "&amp;TEXT(A11,"mmm yyyy")</f>
        <v>Number of patients seen during the month by Health Board, Apr 2020 - Jun 2021</v>
      </c>
      <c r="B4" s="65"/>
      <c r="C4" s="65"/>
      <c r="D4" s="65"/>
      <c r="E4" s="65"/>
      <c r="F4" s="65"/>
      <c r="G4" s="65"/>
    </row>
    <row r="5" spans="1:10">
      <c r="A5" s="199" t="s">
        <v>453</v>
      </c>
      <c r="B5" s="65"/>
      <c r="C5" s="65"/>
      <c r="D5" s="65"/>
      <c r="E5" s="65"/>
      <c r="F5" s="65"/>
      <c r="G5" s="65"/>
    </row>
    <row r="6" spans="1:10" ht="15.75" thickBot="1">
      <c r="A6" s="458"/>
      <c r="B6" s="458"/>
      <c r="C6" s="458"/>
      <c r="D6" s="458"/>
      <c r="E6" s="67"/>
      <c r="F6" s="67"/>
      <c r="G6" s="67"/>
    </row>
    <row r="7" spans="1:10" ht="15.75" thickBot="1">
      <c r="A7" s="6" t="s">
        <v>180</v>
      </c>
      <c r="B7" s="9"/>
      <c r="C7" s="471" t="str">
        <f>'3c'!C7:D7</f>
        <v>Scotland</v>
      </c>
      <c r="D7" s="472"/>
      <c r="E7" s="67"/>
      <c r="F7" s="67"/>
      <c r="G7" s="67"/>
    </row>
    <row r="8" spans="1:10">
      <c r="B8" s="33" t="s">
        <v>183</v>
      </c>
      <c r="C8" s="9"/>
      <c r="D8" s="9"/>
      <c r="E8" s="34"/>
      <c r="F8" s="34"/>
      <c r="G8" s="34"/>
      <c r="H8" s="28"/>
    </row>
    <row r="9" spans="1:10" ht="21.75" customHeight="1">
      <c r="A9" s="442" t="s">
        <v>31</v>
      </c>
      <c r="B9" s="444" t="s">
        <v>329</v>
      </c>
      <c r="C9" s="445" t="s">
        <v>32</v>
      </c>
      <c r="D9" s="446" t="s">
        <v>330</v>
      </c>
      <c r="E9" s="446"/>
      <c r="F9" s="449" t="s">
        <v>187</v>
      </c>
      <c r="G9" s="446"/>
      <c r="H9" s="69" t="s">
        <v>181</v>
      </c>
      <c r="I9" s="70" t="s">
        <v>182</v>
      </c>
      <c r="J9" s="67"/>
    </row>
    <row r="10" spans="1:10" ht="16.5" customHeight="1">
      <c r="A10" s="443"/>
      <c r="B10" s="473"/>
      <c r="C10" s="474"/>
      <c r="D10" s="71" t="s">
        <v>34</v>
      </c>
      <c r="E10" s="129" t="s">
        <v>362</v>
      </c>
      <c r="F10" s="72" t="s">
        <v>34</v>
      </c>
      <c r="G10" s="129" t="s">
        <v>362</v>
      </c>
      <c r="H10" s="73" t="s">
        <v>332</v>
      </c>
      <c r="I10" s="216" t="s">
        <v>332</v>
      </c>
      <c r="J10" s="67"/>
    </row>
    <row r="11" spans="1:10">
      <c r="A11" s="160">
        <f>REPORT_raw_dataseen!R1</f>
        <v>44348</v>
      </c>
      <c r="B11" s="155" t="str">
        <f>IF(VLOOKUP($C$7,'Type of adjust'!$A$1:$P$17,MATCH($A11,'Type of adjust'!$A$1:$P$1,1),FALSE)="", "..", VLOOKUP($C$7,'Type of adjust'!$A$1:$P$17,MATCH($A11,'Type of adjust'!$A$1:$P$1,1),FALSE))</f>
        <v>..</v>
      </c>
      <c r="C11" s="11">
        <f>IF(VLOOKUP($C$7&amp;"Adjusted seen over_65"&amp;$C$9,REPORT_raw_dataseen!$A$1:$R$817,MATCH($A11,REPORT_raw_dataseen!$D$1:$R$1,1)+3, FALSE)=0,"-",IF(VLOOKUP($C$7&amp;"Adjusted seen over_65"&amp;$C$9,REPORT_raw_dataseen!$A$1:$R$817,MATCH($A11,REPORT_raw_dataseen!$D$1:$R$1,1)+3, FALSE)&lt;-6,"*",VLOOKUP($C$7&amp;"Adjusted seen over_65"&amp;$C$9,REPORT_raw_dataseen!$A$1:$R$817,MATCH($A11,REPORT_raw_dataseen!$D$1:$R$1,1)+3, FALSE)))</f>
        <v>461</v>
      </c>
      <c r="D11" s="11">
        <f>IF(C11="*","*",IF(VLOOKUP($C$7&amp;"Adjusted seen over_65"&amp;$D$10,REPORT_raw_dataseen!$A$1:$R$817,MATCH($A11,REPORT_raw_dataseen!$D$1:$R$1,1)+3, FALSE)=0,"-",VLOOKUP($C$7&amp;"Adjusted seen over_65"&amp;$D$10,REPORT_raw_dataseen!$A$1:$R$817,MATCH($A11,REPORT_raw_dataseen!$D$1:$R$1,1)+3, FALSE)))</f>
        <v>392</v>
      </c>
      <c r="E11" s="11">
        <f>IF(C11="*","*",IF(D11="-",C11, IF((C11-D11)=0, "-",C11-D11)))</f>
        <v>69</v>
      </c>
      <c r="F11" s="156">
        <f t="shared" ref="F11:G25" si="0">IF(D11="-","-",IF(D11="..","..",IF(D11=0,"-",IF((D11/$C11%)=0,"-",ROUND(D11/$C11%,2)))))</f>
        <v>85.03</v>
      </c>
      <c r="G11" s="156">
        <f t="shared" si="0"/>
        <v>14.97</v>
      </c>
      <c r="H11" s="36">
        <f>+VLOOKUP($C$7&amp;"Adjusted seen over_65median",REPORT_raw_dataseen!$A$1:$R$817,MATCH($A11,REPORT_raw_dataseen!$D$1:$R$1,1)+3,FALSE)</f>
        <v>4</v>
      </c>
      <c r="I11" s="36">
        <f>+VLOOKUP($C$7&amp;"Adjusted seen over_6590percent",REPORT_raw_dataseen!$A$1:$R$817,MATCH($A11,REPORT_raw_dataseen!$D$1:$R$1,1)+3,FALSE)</f>
        <v>26</v>
      </c>
      <c r="J11" s="75"/>
    </row>
    <row r="12" spans="1:10">
      <c r="A12" s="160">
        <f>DATE(YEAR(A11),MONTH(A11)-1,DAY(A11))</f>
        <v>44317</v>
      </c>
      <c r="B12" s="155" t="str">
        <f>IF(VLOOKUP($C$7,'Type of adjust'!$A$1:$P$17,MATCH($A12,'Type of adjust'!$A$1:$P$1,1),FALSE)="", "..", VLOOKUP($C$7,'Type of adjust'!$A$1:$P$17,MATCH($A12,'Type of adjust'!$A$1:$P$1,1),FALSE))</f>
        <v>..</v>
      </c>
      <c r="C12" s="11">
        <f>IF(VLOOKUP($C$7&amp;"Adjusted seen over_65"&amp;$C$9,REPORT_raw_dataseen!$A$1:$R$817,MATCH($A12,REPORT_raw_dataseen!$D$1:$R$1,1)+3, FALSE)=0,"-",IF(VLOOKUP($C$7&amp;"Adjusted seen over_65"&amp;$C$9,REPORT_raw_dataseen!$A$1:$R$817,MATCH($A12,REPORT_raw_dataseen!$D$1:$R$1,1)+3, FALSE)&lt;-9,"*",VLOOKUP($C$7&amp;"Adjusted seen over_65"&amp;$C$9,REPORT_raw_dataseen!$A$1:$R$817,MATCH($A12,REPORT_raw_dataseen!$D$1:$R$1,1)+3, FALSE)))</f>
        <v>389</v>
      </c>
      <c r="D12" s="11">
        <f>IF(C12="*","*",IF(VLOOKUP($C$7&amp;"Adjusted seen over_65"&amp;$D$10,REPORT_raw_dataseen!$A$1:$R$817,MATCH($A12,REPORT_raw_dataseen!$D$1:$R$1,1)+3, FALSE)=0,"-",VLOOKUP($C$7&amp;"Adjusted seen over_65"&amp;$D$10,REPORT_raw_dataseen!$A$1:$R$817,MATCH($A12,REPORT_raw_dataseen!$D$1:$R$1,1)+3, FALSE)))</f>
        <v>342</v>
      </c>
      <c r="E12" s="11">
        <f>IF(C12="..","..",IF(C12="*","*",IF(D12="-",C12, IF((C12-D12)=0, "-",C12-D12))))</f>
        <v>47</v>
      </c>
      <c r="F12" s="156">
        <f t="shared" si="0"/>
        <v>87.92</v>
      </c>
      <c r="G12" s="156">
        <f t="shared" si="0"/>
        <v>12.08</v>
      </c>
      <c r="H12" s="36">
        <f>+VLOOKUP($C$7&amp;"Adjusted seen over_65median",REPORT_raw_dataseen!$A$1:$R$817,MATCH($A12,REPORT_raw_dataseen!$D$1:$R$1,1)+3,FALSE)</f>
        <v>4</v>
      </c>
      <c r="I12" s="36">
        <f>+VLOOKUP($C$7&amp;"Adjusted seen over_6590percent",REPORT_raw_dataseen!$A$1:$R$817,MATCH($A12,REPORT_raw_dataseen!$D$1:$R$1,1)+3,FALSE)</f>
        <v>20</v>
      </c>
      <c r="J12" s="75"/>
    </row>
    <row r="13" spans="1:10">
      <c r="A13" s="160">
        <f>DATE(YEAR(A12),MONTH(A12)-1,DAY(A12))</f>
        <v>44287</v>
      </c>
      <c r="B13" s="155" t="str">
        <f>IF(VLOOKUP($C$7,'Type of adjust'!$A$1:$P$17,MATCH($A13,'Type of adjust'!$A$1:$P$1,1),FALSE)="", "..", VLOOKUP($C$7,'Type of adjust'!$A$1:$P$17,MATCH($A13,'Type of adjust'!$A$1:$P$1,1),FALSE))</f>
        <v>..</v>
      </c>
      <c r="C13" s="11">
        <f>IF(VLOOKUP($C$7&amp;"Adjusted seen over_65"&amp;$C$9,REPORT_raw_dataseen!$A$1:$R$817,MATCH($A13,REPORT_raw_dataseen!$D$1:$R$1,1)+3, FALSE)=0,"-",IF(VLOOKUP($C$7&amp;"Adjusted seen over_65"&amp;$C$9,REPORT_raw_dataseen!$A$1:$R$817,MATCH($A13,REPORT_raw_dataseen!$D$1:$R$1,1)+3, FALSE)&lt;-6,"*",VLOOKUP($C$7&amp;"Adjusted seen over_65"&amp;$C$9,REPORT_raw_dataseen!$A$1:$R$817,MATCH($A13,REPORT_raw_dataseen!$D$1:$R$1,1)+3, FALSE)))</f>
        <v>326</v>
      </c>
      <c r="D13" s="11">
        <f>IF(C13="*","*",IF(VLOOKUP($C$7&amp;"Adjusted seen over_65"&amp;$D$10,REPORT_raw_dataseen!$A$1:$R$817,MATCH($A13,REPORT_raw_dataseen!$D$1:$R$1,1)+3, FALSE)=0,"-",VLOOKUP($C$7&amp;"Adjusted seen over_65"&amp;$D$10,REPORT_raw_dataseen!$A$1:$R$817,MATCH($A13,REPORT_raw_dataseen!$D$1:$R$1,1)+3, FALSE)))</f>
        <v>281</v>
      </c>
      <c r="E13" s="11">
        <f>IF(C13="*","*",IF(C13="..", "..",IF(D13="-",C13, IF((C13-D13)=0, "-",C13-D13))))</f>
        <v>45</v>
      </c>
      <c r="F13" s="156">
        <f t="shared" si="0"/>
        <v>86.2</v>
      </c>
      <c r="G13" s="156">
        <f t="shared" si="0"/>
        <v>13.8</v>
      </c>
      <c r="H13" s="36">
        <f>+VLOOKUP($C$7&amp;"Adjusted seen over_65median",REPORT_raw_dataseen!$A$1:$R$817,MATCH($A13,REPORT_raw_dataseen!$D$1:$R$1,1)+3,FALSE)</f>
        <v>3</v>
      </c>
      <c r="I13" s="36">
        <f>+VLOOKUP($C$7&amp;"Adjusted seen over_6590percent",REPORT_raw_dataseen!$A$1:$R$817,MATCH($A13,REPORT_raw_dataseen!$D$1:$R$1,1)+3,FALSE)</f>
        <v>21</v>
      </c>
      <c r="J13" s="75"/>
    </row>
    <row r="14" spans="1:10">
      <c r="A14" s="160">
        <f>DATE(YEAR(A13),MONTH(A13)-1,DAY(A13))</f>
        <v>44256</v>
      </c>
      <c r="B14" s="155" t="str">
        <f>IF(VLOOKUP($C$7,'Type of adjust'!$A$1:$P$17,MATCH($A14,'Type of adjust'!$A$1:$P$1,1),FALSE)="", "..", VLOOKUP($C$7,'Type of adjust'!$A$1:$P$17,MATCH($A14,'Type of adjust'!$A$1:$P$1,1),FALSE))</f>
        <v>..</v>
      </c>
      <c r="C14" s="11">
        <f>IF(VLOOKUP($C$7&amp;"Adjusted seen over_65"&amp;$C$9,REPORT_raw_dataseen!$A$1:$R$817,MATCH($A14,REPORT_raw_dataseen!$D$1:$R$1,1)+3, FALSE)=0,"-",IF(VLOOKUP($C$7&amp;"Adjusted seen over_65"&amp;$C$9,REPORT_raw_dataseen!$A$1:$R$817,MATCH($A14,REPORT_raw_dataseen!$D$1:$R$1,1)+3, FALSE)&lt;-7,"*",VLOOKUP($C$7&amp;"Adjusted seen over_65"&amp;$C$9,REPORT_raw_dataseen!$A$1:$R$817,MATCH($A14,REPORT_raw_dataseen!$D$1:$R$1,1)+3, FALSE)))</f>
        <v>323</v>
      </c>
      <c r="D14" s="11">
        <f>IF(C14="*","*",IF(VLOOKUP($C$7&amp;"Adjusted seen over_65"&amp;$D$10,REPORT_raw_dataseen!$A$1:$R$817,MATCH($A14,REPORT_raw_dataseen!$D$1:$R$1,1)+3, FALSE)=0,"-",VLOOKUP($C$7&amp;"Adjusted seen over_65"&amp;$D$10,REPORT_raw_dataseen!$A$1:$R$817,MATCH($A14,REPORT_raw_dataseen!$D$1:$R$1,1)+3, FALSE)))</f>
        <v>282</v>
      </c>
      <c r="E14" s="11">
        <f t="shared" ref="E14:E25" si="1">IF(C14="*","*",IF(D14="-",C14, IF((C14-D14)=0, "-",C14-D14)))</f>
        <v>41</v>
      </c>
      <c r="F14" s="156">
        <f t="shared" si="0"/>
        <v>87.31</v>
      </c>
      <c r="G14" s="156">
        <f t="shared" si="0"/>
        <v>12.69</v>
      </c>
      <c r="H14" s="36">
        <f>+VLOOKUP($C$7&amp;"Adjusted seen over_65median",REPORT_raw_dataseen!$A$1:$R$817,MATCH($A14,REPORT_raw_dataseen!$D$1:$R$1,1)+3,FALSE)</f>
        <v>3</v>
      </c>
      <c r="I14" s="36">
        <f>+VLOOKUP($C$7&amp;"Adjusted seen over_6590percent",REPORT_raw_dataseen!$A$1:$R$817,MATCH($A14,REPORT_raw_dataseen!$D$1:$R$1,1)+3,FALSE)</f>
        <v>21</v>
      </c>
      <c r="J14" s="75"/>
    </row>
    <row r="15" spans="1:10">
      <c r="A15" s="160">
        <f>DATE(YEAR(A14),MONTH(A14)-1,DAY(A14))</f>
        <v>44228</v>
      </c>
      <c r="B15" s="155" t="str">
        <f>IF(VLOOKUP($C$7,'Type of adjust'!$A$1:$P$17,MATCH($A15,'Type of adjust'!$A$1:$P$1,1),FALSE)="", "..", VLOOKUP($C$7,'Type of adjust'!$A$1:$P$17,MATCH($A15,'Type of adjust'!$A$1:$P$1,1),FALSE))</f>
        <v>..</v>
      </c>
      <c r="C15" s="11">
        <f>IF(VLOOKUP($C$7&amp;"Adjusted seen over_65"&amp;$C$9,REPORT_raw_dataseen!$A$1:$R$817,MATCH($A15,REPORT_raw_dataseen!$D$1:$R$1,1)+3, FALSE)=0,"-",IF(VLOOKUP($C$7&amp;"Adjusted seen over_65"&amp;$C$9,REPORT_raw_dataseen!$A$1:$R$817,MATCH($A15,REPORT_raw_dataseen!$D$1:$R$1,1)+3, FALSE)&lt;-6,"*",VLOOKUP($C$7&amp;"Adjusted seen over_65"&amp;$C$9,REPORT_raw_dataseen!$A$1:$R$817,MATCH($A15,REPORT_raw_dataseen!$D$1:$R$1,1)+3, FALSE)))</f>
        <v>274</v>
      </c>
      <c r="D15" s="11">
        <f>IF(C15="*","*",IF(VLOOKUP($C$7&amp;"Adjusted seen over_65"&amp;$D$10,REPORT_raw_dataseen!$A$1:$R$817,MATCH($A15,REPORT_raw_dataseen!$D$1:$R$1,1)+3, FALSE)=0,"-",VLOOKUP($C$7&amp;"Adjusted seen over_65"&amp;$D$10,REPORT_raw_dataseen!$A$1:$R$817,MATCH($A15,REPORT_raw_dataseen!$D$1:$R$1,1)+3, FALSE)))</f>
        <v>234</v>
      </c>
      <c r="E15" s="11">
        <f t="shared" si="1"/>
        <v>40</v>
      </c>
      <c r="F15" s="156">
        <f t="shared" si="0"/>
        <v>85.4</v>
      </c>
      <c r="G15" s="156">
        <f t="shared" si="0"/>
        <v>14.6</v>
      </c>
      <c r="H15" s="36">
        <f>+VLOOKUP($C$7&amp;"Adjusted seen over_65median",REPORT_raw_dataseen!$A$1:$R$817,MATCH($A15,REPORT_raw_dataseen!$D$1:$R$1,1)+3,FALSE)</f>
        <v>3</v>
      </c>
      <c r="I15" s="36">
        <f>+VLOOKUP($C$7&amp;"Adjusted seen over_6590percent",REPORT_raw_dataseen!$A$1:$R$817,MATCH($A15,REPORT_raw_dataseen!$D$1:$R$1,1)+3,FALSE)</f>
        <v>26</v>
      </c>
      <c r="J15" s="75"/>
    </row>
    <row r="16" spans="1:10">
      <c r="A16" s="160">
        <f>DATE(YEAR(A15),MONTH(A15)-1,DAY(A15))</f>
        <v>44197</v>
      </c>
      <c r="B16" s="155" t="str">
        <f>IF(VLOOKUP($C$7,'Type of adjust'!$A$1:$P$17,MATCH($A16,'Type of adjust'!$A$1:$P$1,1),FALSE)="", "..", VLOOKUP($C$7,'Type of adjust'!$A$1:$P$17,MATCH($A16,'Type of adjust'!$A$1:$P$1,1),FALSE))</f>
        <v>..</v>
      </c>
      <c r="C16" s="11">
        <f>IF(VLOOKUP($C$7&amp;"Adjusted seen over_65"&amp;$C$9,REPORT_raw_dataseen!$A$1:$R$817,MATCH($A16,REPORT_raw_dataseen!$D$1:$R$1,1)+3, FALSE)=0,"-",IF(VLOOKUP($C$7&amp;"Adjusted seen over_65"&amp;$C$9,REPORT_raw_dataseen!$A$1:$R$817,MATCH($A16,REPORT_raw_dataseen!$D$1:$R$1,1)+3, FALSE)&lt;-6,"*",VLOOKUP($C$7&amp;"Adjusted seen over_65"&amp;$C$9,REPORT_raw_dataseen!$A$1:$R$817,MATCH($A16,REPORT_raw_dataseen!$D$1:$R$1,1)+3, FALSE)))</f>
        <v>317</v>
      </c>
      <c r="D16" s="11">
        <f>IF(C16="*","*",IF(VLOOKUP($C$7&amp;"Adjusted seen over_65"&amp;$D$10,REPORT_raw_dataseen!$A$1:$R$817,MATCH($A16,REPORT_raw_dataseen!$D$1:$R$1,1)+3, FALSE)=0,"-",VLOOKUP($C$7&amp;"Adjusted seen over_65"&amp;$D$10,REPORT_raw_dataseen!$A$1:$R$817,MATCH($A16,REPORT_raw_dataseen!$D$1:$R$1,1)+3, FALSE)))</f>
        <v>263</v>
      </c>
      <c r="E16" s="11">
        <f>IF(C16="..","..",IF(C16="*","*",IF(D16="-",C16, IF((C16-D16)=0, "-",C16-D16))))</f>
        <v>54</v>
      </c>
      <c r="F16" s="156">
        <f t="shared" si="0"/>
        <v>82.97</v>
      </c>
      <c r="G16" s="156">
        <f t="shared" si="0"/>
        <v>17.03</v>
      </c>
      <c r="H16" s="36">
        <f>+VLOOKUP($C$7&amp;"Adjusted seen over_65median",REPORT_raw_dataseen!$A$1:$R$817,MATCH($A16,REPORT_raw_dataseen!$D$1:$R$1,1)+3,FALSE)</f>
        <v>5</v>
      </c>
      <c r="I16" s="36">
        <f>+VLOOKUP($C$7&amp;"Adjusted seen over_6590percent",REPORT_raw_dataseen!$A$1:$R$817,MATCH($A16,REPORT_raw_dataseen!$D$1:$R$1,1)+3,FALSE)</f>
        <v>40</v>
      </c>
      <c r="J16" s="75"/>
    </row>
    <row r="17" spans="1:10">
      <c r="A17" s="160">
        <f t="shared" ref="A17:A25" si="2">DATE(YEAR(A16),MONTH(A16)-1,DAY(A16))</f>
        <v>44166</v>
      </c>
      <c r="B17" s="155" t="str">
        <f>IF(VLOOKUP($C$7,'Type of adjust'!$A$1:$P$17,MATCH($A17,'Type of adjust'!$A$1:$P$1,1),FALSE)="", "..", VLOOKUP($C$7,'Type of adjust'!$A$1:$P$17,MATCH($A17,'Type of adjust'!$A$1:$P$1,1),FALSE))</f>
        <v>..</v>
      </c>
      <c r="C17" s="11">
        <f>IF(VLOOKUP($C$7&amp;"Adjusted seen over_65"&amp;$C$9,REPORT_raw_dataseen!$A$1:$R$817,MATCH($A17,REPORT_raw_dataseen!$D$1:$R$1,1)+3, FALSE)=0,"-",IF(VLOOKUP($C$7&amp;"Adjusted seen over_65"&amp;$C$9,REPORT_raw_dataseen!$A$1:$R$817,MATCH($A17,REPORT_raw_dataseen!$D$1:$R$1,1)+3, FALSE)&lt;-7,"*",VLOOKUP($C$7&amp;"Adjusted seen over_65"&amp;$C$9,REPORT_raw_dataseen!$A$1:$R$817,MATCH($A17,REPORT_raw_dataseen!$D$1:$R$1,1)+3, FALSE)))</f>
        <v>276</v>
      </c>
      <c r="D17" s="11">
        <f>IF(C17="*","*",IF(VLOOKUP($C$7&amp;"Adjusted seen over_65"&amp;$D$10,REPORT_raw_dataseen!$A$1:$R$817,MATCH($A17,REPORT_raw_dataseen!$D$1:$R$1,1)+3, FALSE)=0,"-",VLOOKUP($C$7&amp;"Adjusted seen over_65"&amp;$D$10,REPORT_raw_dataseen!$A$1:$R$817,MATCH($A17,REPORT_raw_dataseen!$D$1:$R$1,1)+3, FALSE)))</f>
        <v>209</v>
      </c>
      <c r="E17" s="11">
        <f t="shared" si="1"/>
        <v>67</v>
      </c>
      <c r="F17" s="156">
        <f t="shared" si="0"/>
        <v>75.72</v>
      </c>
      <c r="G17" s="156">
        <f t="shared" si="0"/>
        <v>24.28</v>
      </c>
      <c r="H17" s="36">
        <f>+VLOOKUP($C$7&amp;"Adjusted seen over_65median",REPORT_raw_dataseen!$A$1:$R$817,MATCH($A17,REPORT_raw_dataseen!$D$1:$R$1,1)+3,FALSE)</f>
        <v>4</v>
      </c>
      <c r="I17" s="36">
        <f>+VLOOKUP($C$7&amp;"Adjusted seen over_6590percent",REPORT_raw_dataseen!$A$1:$R$817,MATCH($A17,REPORT_raw_dataseen!$D$1:$R$1,1)+3,FALSE)</f>
        <v>45</v>
      </c>
      <c r="J17" s="75"/>
    </row>
    <row r="18" spans="1:10">
      <c r="A18" s="160">
        <f t="shared" si="2"/>
        <v>44136</v>
      </c>
      <c r="B18" s="155" t="str">
        <f>IF(VLOOKUP($C$7,'Type of adjust'!$A$1:$P$17,MATCH($A18,'Type of adjust'!$A$1:$P$1,1),FALSE)="", "..", VLOOKUP($C$7,'Type of adjust'!$A$1:$P$17,MATCH($A18,'Type of adjust'!$A$1:$P$1,1),FALSE))</f>
        <v>..</v>
      </c>
      <c r="C18" s="11">
        <f>IF(VLOOKUP($C$7&amp;"Adjusted seen over_65"&amp;$C$9,REPORT_raw_dataseen!$A$1:$R$817,MATCH($A18,REPORT_raw_dataseen!$D$1:$R$1,1)+3, FALSE)=0,"-",IF(VLOOKUP($C$7&amp;"Adjusted seen over_65"&amp;$C$9,REPORT_raw_dataseen!$A$1:$R$817,MATCH($A18,REPORT_raw_dataseen!$D$1:$R$1,1)+3, FALSE)&lt;-12,"*",VLOOKUP($C$7&amp;"Adjusted seen over_65"&amp;$C$9,REPORT_raw_dataseen!$A$1:$R$817,MATCH($A18,REPORT_raw_dataseen!$D$1:$R$1,1)+3, FALSE)))</f>
        <v>448</v>
      </c>
      <c r="D18" s="11">
        <f>IF(C18="*","*",IF(VLOOKUP($C$7&amp;"Adjusted seen over_65"&amp;$D$10,REPORT_raw_dataseen!$A$1:$R$817,MATCH($A18,REPORT_raw_dataseen!$D$1:$R$1,1)+3, FALSE)=0,"-",VLOOKUP($C$7&amp;"Adjusted seen over_65"&amp;$D$10,REPORT_raw_dataseen!$A$1:$R$817,MATCH($A18,REPORT_raw_dataseen!$D$1:$R$1,1)+3, FALSE)))</f>
        <v>331</v>
      </c>
      <c r="E18" s="11">
        <f t="shared" si="1"/>
        <v>117</v>
      </c>
      <c r="F18" s="156">
        <f t="shared" si="0"/>
        <v>73.88</v>
      </c>
      <c r="G18" s="156">
        <f t="shared" si="0"/>
        <v>26.12</v>
      </c>
      <c r="H18" s="36">
        <f>+VLOOKUP($C$7&amp;"Adjusted seen over_65median",REPORT_raw_dataseen!$A$1:$R$817,MATCH($A18,REPORT_raw_dataseen!$D$1:$R$1,1)+3,FALSE)</f>
        <v>6</v>
      </c>
      <c r="I18" s="36">
        <f>+VLOOKUP($C$7&amp;"Adjusted seen over_6590percent",REPORT_raw_dataseen!$A$1:$R$817,MATCH($A18,REPORT_raw_dataseen!$D$1:$R$1,1)+3,FALSE)</f>
        <v>47</v>
      </c>
      <c r="J18" s="75"/>
    </row>
    <row r="19" spans="1:10">
      <c r="A19" s="160">
        <f t="shared" si="2"/>
        <v>44105</v>
      </c>
      <c r="B19" s="155" t="str">
        <f>IF(VLOOKUP($C$7,'Type of adjust'!$A$1:$P$17,MATCH($A19,'Type of adjust'!$A$1:$P$1,1),FALSE)="", "..", VLOOKUP($C$7,'Type of adjust'!$A$1:$P$17,MATCH($A19,'Type of adjust'!$A$1:$P$1,1),FALSE))</f>
        <v>..</v>
      </c>
      <c r="C19" s="11">
        <f>IF(VLOOKUP($C$7&amp;"Adjusted seen over_65"&amp;$C$9,REPORT_raw_dataseen!$A$1:$R$817,MATCH($A19,REPORT_raw_dataseen!$D$1:$R$1,1)+3, FALSE)=0,"-",IF(VLOOKUP($C$7&amp;"Adjusted seen over_65"&amp;$C$9,REPORT_raw_dataseen!$A$1:$R$817,MATCH($A19,REPORT_raw_dataseen!$D$1:$R$1,1)+3, FALSE)&lt;-6,"*",VLOOKUP($C$7&amp;"Adjusted seen over_65"&amp;$C$9,REPORT_raw_dataseen!$A$1:$R$817,MATCH($A19,REPORT_raw_dataseen!$D$1:$R$1,1)+3, FALSE)))</f>
        <v>241</v>
      </c>
      <c r="D19" s="11">
        <f>IF(C19="*","*",IF(VLOOKUP($C$7&amp;"Adjusted seen over_65"&amp;$D$10,REPORT_raw_dataseen!$A$1:$R$817,MATCH($A19,REPORT_raw_dataseen!$D$1:$R$1,1)+3, FALSE)=0,"-",VLOOKUP($C$7&amp;"Adjusted seen over_65"&amp;$D$10,REPORT_raw_dataseen!$A$1:$R$817,MATCH($A19,REPORT_raw_dataseen!$D$1:$R$1,1)+3, FALSE)))</f>
        <v>207</v>
      </c>
      <c r="E19" s="11">
        <f t="shared" si="1"/>
        <v>34</v>
      </c>
      <c r="F19" s="156">
        <f t="shared" si="0"/>
        <v>85.89</v>
      </c>
      <c r="G19" s="156">
        <f t="shared" si="0"/>
        <v>14.11</v>
      </c>
      <c r="H19" s="36">
        <f>+VLOOKUP($C$7&amp;"Adjusted seen over_65median",REPORT_raw_dataseen!$A$1:$R$817,MATCH($A19,REPORT_raw_dataseen!$D$1:$R$1,1)+3,FALSE)</f>
        <v>2</v>
      </c>
      <c r="I19" s="36">
        <f>+VLOOKUP($C$7&amp;"Adjusted seen over_6590percent",REPORT_raw_dataseen!$A$1:$R$817,MATCH($A19,REPORT_raw_dataseen!$D$1:$R$1,1)+3,FALSE)</f>
        <v>33</v>
      </c>
      <c r="J19" s="75"/>
    </row>
    <row r="20" spans="1:10">
      <c r="A20" s="160">
        <f t="shared" si="2"/>
        <v>44075</v>
      </c>
      <c r="B20" s="155" t="str">
        <f>IF(VLOOKUP($C$7,'Type of adjust'!$A$1:$P$17,MATCH($A20,'Type of adjust'!$A$1:$P$1,1),FALSE)="", "..", VLOOKUP($C$7,'Type of adjust'!$A$1:$P$17,MATCH($A20,'Type of adjust'!$A$1:$P$1,1),FALSE))</f>
        <v>..</v>
      </c>
      <c r="C20" s="11">
        <f>IF(VLOOKUP($C$7&amp;"Adjusted seen over_65"&amp;$C$9,REPORT_raw_dataseen!$A$1:$R$817,MATCH($A20,REPORT_raw_dataseen!$D$1:$R$1,1)+3, FALSE)=0,"-",IF(VLOOKUP($C$7&amp;"Adjusted seen over_65"&amp;$C$9,REPORT_raw_dataseen!$A$1:$R$817,MATCH($A20,REPORT_raw_dataseen!$D$1:$R$1,1)+3, FALSE)&lt;-6,"*",VLOOKUP($C$7&amp;"Adjusted seen over_65"&amp;$C$9,REPORT_raw_dataseen!$A$1:$R$817,MATCH($A20,REPORT_raw_dataseen!$D$1:$R$1,1)+3, FALSE)))</f>
        <v>251</v>
      </c>
      <c r="D20" s="11">
        <f>IF(C20="*","*",IF(VLOOKUP($C$7&amp;"Adjusted seen over_65"&amp;$D$10,REPORT_raw_dataseen!$A$1:$R$817,MATCH($A20,REPORT_raw_dataseen!$D$1:$R$1,1)+3, FALSE)=0,"-",VLOOKUP($C$7&amp;"Adjusted seen over_65"&amp;$D$10,REPORT_raw_dataseen!$A$1:$R$817,MATCH($A20,REPORT_raw_dataseen!$D$1:$R$1,1)+3, FALSE)))</f>
        <v>203</v>
      </c>
      <c r="E20" s="11">
        <f t="shared" si="1"/>
        <v>48</v>
      </c>
      <c r="F20" s="156">
        <f t="shared" si="0"/>
        <v>80.88</v>
      </c>
      <c r="G20" s="156">
        <f t="shared" si="0"/>
        <v>19.12</v>
      </c>
      <c r="H20" s="36">
        <f>+VLOOKUP($C$7&amp;"Adjusted seen over_65median",REPORT_raw_dataseen!$A$1:$R$817,MATCH($A20,REPORT_raw_dataseen!$D$1:$R$1,1)+3,FALSE)</f>
        <v>2</v>
      </c>
      <c r="I20" s="36">
        <f>+VLOOKUP($C$7&amp;"Adjusted seen over_6590percent",REPORT_raw_dataseen!$A$1:$R$817,MATCH($A20,REPORT_raw_dataseen!$D$1:$R$1,1)+3,FALSE)</f>
        <v>31</v>
      </c>
      <c r="J20" s="75"/>
    </row>
    <row r="21" spans="1:10">
      <c r="A21" s="160">
        <f t="shared" si="2"/>
        <v>44044</v>
      </c>
      <c r="B21" s="155" t="str">
        <f>IF(VLOOKUP($C$7,'Type of adjust'!$A$1:$P$17,MATCH($A21,'Type of adjust'!$A$1:$P$1,1),FALSE)="", "..", VLOOKUP($C$7,'Type of adjust'!$A$1:$P$17,MATCH($A21,'Type of adjust'!$A$1:$P$1,1),FALSE))</f>
        <v>..</v>
      </c>
      <c r="C21" s="11">
        <f>IF(VLOOKUP($C$7&amp;"Adjusted seen over_65"&amp;$C$9,REPORT_raw_dataseen!$A$1:$R$817,MATCH($A21,REPORT_raw_dataseen!$D$1:$R$1,1)+3, FALSE)=0,"-",IF(VLOOKUP($C$7&amp;"Adjusted seen over_65"&amp;$C$9,REPORT_raw_dataseen!$A$1:$R$817,MATCH($A21,REPORT_raw_dataseen!$D$1:$R$1,1)+3, FALSE)&lt;-6,"*",VLOOKUP($C$7&amp;"Adjusted seen over_65"&amp;$C$9,REPORT_raw_dataseen!$A$1:$R$817,MATCH($A21,REPORT_raw_dataseen!$D$1:$R$1,1)+3, FALSE)))</f>
        <v>243</v>
      </c>
      <c r="D21" s="11">
        <f>IF(C21="*","*",IF(VLOOKUP($C$7&amp;"Adjusted seen over_65"&amp;$D$10,REPORT_raw_dataseen!$A$1:$R$817,MATCH($A21,REPORT_raw_dataseen!$D$1:$R$1,1)+3, FALSE)=0,"-",VLOOKUP($C$7&amp;"Adjusted seen over_65"&amp;$D$10,REPORT_raw_dataseen!$A$1:$R$817,MATCH($A21,REPORT_raw_dataseen!$D$1:$R$1,1)+3, FALSE)))</f>
        <v>163</v>
      </c>
      <c r="E21" s="11">
        <f t="shared" si="1"/>
        <v>80</v>
      </c>
      <c r="F21" s="156">
        <f t="shared" si="0"/>
        <v>67.08</v>
      </c>
      <c r="G21" s="156">
        <f t="shared" si="0"/>
        <v>32.92</v>
      </c>
      <c r="H21" s="36">
        <f>+VLOOKUP($C$7&amp;"Adjusted seen over_65median",REPORT_raw_dataseen!$A$1:$R$817,MATCH($A21,REPORT_raw_dataseen!$D$1:$R$1,1)+3,FALSE)</f>
        <v>5</v>
      </c>
      <c r="I21" s="36">
        <f>+VLOOKUP($C$7&amp;"Adjusted seen over_6590percent",REPORT_raw_dataseen!$A$1:$R$817,MATCH($A21,REPORT_raw_dataseen!$D$1:$R$1,1)+3,FALSE)</f>
        <v>30</v>
      </c>
      <c r="J21" s="75"/>
    </row>
    <row r="22" spans="1:10">
      <c r="A22" s="160">
        <f t="shared" si="2"/>
        <v>44013</v>
      </c>
      <c r="B22" s="155" t="str">
        <f>IF(VLOOKUP($C$7,'Type of adjust'!$A$1:$P$17,MATCH($A22,'Type of adjust'!$A$1:$P$1,1),FALSE)="", "..", VLOOKUP($C$7,'Type of adjust'!$A$1:$P$17,MATCH($A22,'Type of adjust'!$A$1:$P$1,1),FALSE))</f>
        <v>..</v>
      </c>
      <c r="C22" s="11">
        <f>IF(VLOOKUP($C$7&amp;"Adjusted seen over_65"&amp;$C$9,REPORT_raw_dataseen!$A$1:$R$817,MATCH($A22,REPORT_raw_dataseen!$D$1:$R$1,1)+3, FALSE)=0,"-",IF(VLOOKUP($C$7&amp;"Adjusted seen over_65"&amp;$C$9,REPORT_raw_dataseen!$A$1:$R$817,MATCH($A22,REPORT_raw_dataseen!$D$1:$R$1,1)+3, FALSE)&lt;-6,"*",VLOOKUP($C$7&amp;"Adjusted seen over_65"&amp;$C$9,REPORT_raw_dataseen!$A$1:$R$817,MATCH($A22,REPORT_raw_dataseen!$D$1:$R$1,1)+3, FALSE)))</f>
        <v>329</v>
      </c>
      <c r="D22" s="11">
        <f>IF(C22="*","*",IF(VLOOKUP($C$7&amp;"Adjusted seen over_65"&amp;$D$10,REPORT_raw_dataseen!$A$1:$R$817,MATCH($A22,REPORT_raw_dataseen!$D$1:$R$1,1)+3, FALSE)=0,"-",VLOOKUP($C$7&amp;"Adjusted seen over_65"&amp;$D$10,REPORT_raw_dataseen!$A$1:$R$817,MATCH($A22,REPORT_raw_dataseen!$D$1:$R$1,1)+3, FALSE)))</f>
        <v>251</v>
      </c>
      <c r="E22" s="11">
        <f t="shared" si="1"/>
        <v>78</v>
      </c>
      <c r="F22" s="156">
        <f t="shared" si="0"/>
        <v>76.290000000000006</v>
      </c>
      <c r="G22" s="156">
        <f t="shared" si="0"/>
        <v>23.71</v>
      </c>
      <c r="H22" s="36">
        <f>+VLOOKUP($C$7&amp;"Adjusted seen over_65median",REPORT_raw_dataseen!$A$1:$R$817,MATCH($A22,REPORT_raw_dataseen!$D$1:$R$1,1)+3,FALSE)</f>
        <v>2</v>
      </c>
      <c r="I22" s="36">
        <f>+VLOOKUP($C$7&amp;"Adjusted seen over_6590percent",REPORT_raw_dataseen!$A$1:$R$817,MATCH($A22,REPORT_raw_dataseen!$D$1:$R$1,1)+3,FALSE)</f>
        <v>27</v>
      </c>
      <c r="J22" s="75"/>
    </row>
    <row r="23" spans="1:10">
      <c r="A23" s="160">
        <f t="shared" si="2"/>
        <v>43983</v>
      </c>
      <c r="B23" s="155" t="str">
        <f>IF(VLOOKUP($C$7,'Type of adjust'!$A$1:$P$17,MATCH($A23,'Type of adjust'!$A$1:$P$1,1),FALSE)="", "..", VLOOKUP($C$7,'Type of adjust'!$A$1:$P$17,MATCH($A23,'Type of adjust'!$A$1:$P$1,1),FALSE))</f>
        <v>..</v>
      </c>
      <c r="C23" s="11">
        <f>IF(VLOOKUP($C$7&amp;"Adjusted seen over_65"&amp;$C$9,REPORT_raw_dataseen!$A$1:$R$817,MATCH($A23,REPORT_raw_dataseen!$D$1:$R$1,1)+3, FALSE)=0,"-",IF(VLOOKUP($C$7&amp;"Adjusted seen over_65"&amp;$C$9,REPORT_raw_dataseen!$A$1:$R$817,MATCH($A23,REPORT_raw_dataseen!$D$1:$R$1,1)+3, FALSE)&lt;-6,"*",VLOOKUP($C$7&amp;"Adjusted seen over_65"&amp;$C$9,REPORT_raw_dataseen!$A$1:$R$817,MATCH($A23,REPORT_raw_dataseen!$D$1:$R$1,1)+3, FALSE)))</f>
        <v>257</v>
      </c>
      <c r="D23" s="11">
        <f>IF(C23="*","*",IF(VLOOKUP($C$7&amp;"Adjusted seen over_65"&amp;$D$10,REPORT_raw_dataseen!$A$1:$R$817,MATCH($A23,REPORT_raw_dataseen!$D$1:$R$1,1)+3, FALSE)=0,"-",VLOOKUP($C$7&amp;"Adjusted seen over_65"&amp;$D$10,REPORT_raw_dataseen!$A$1:$R$817,MATCH($A23,REPORT_raw_dataseen!$D$1:$R$1,1)+3, FALSE)))</f>
        <v>209</v>
      </c>
      <c r="E23" s="11">
        <f t="shared" si="1"/>
        <v>48</v>
      </c>
      <c r="F23" s="156">
        <f t="shared" si="0"/>
        <v>81.319999999999993</v>
      </c>
      <c r="G23" s="156">
        <f t="shared" si="0"/>
        <v>18.68</v>
      </c>
      <c r="H23" s="36">
        <f>+VLOOKUP($C$7&amp;"Adjusted seen over_65median",REPORT_raw_dataseen!$A$1:$R$817,MATCH($A23,REPORT_raw_dataseen!$D$1:$R$1,1)+3,FALSE)</f>
        <v>3</v>
      </c>
      <c r="I23" s="36">
        <f>+VLOOKUP($C$7&amp;"Adjusted seen over_6590percent",REPORT_raw_dataseen!$A$1:$R$817,MATCH($A23,REPORT_raw_dataseen!$D$1:$R$1,1)+3,FALSE)</f>
        <v>27</v>
      </c>
      <c r="J23" s="75"/>
    </row>
    <row r="24" spans="1:10">
      <c r="A24" s="160">
        <f t="shared" si="2"/>
        <v>43952</v>
      </c>
      <c r="B24" s="155" t="str">
        <f>IF(VLOOKUP($C$7,'Type of adjust'!$A$1:$P$17,MATCH($A24,'Type of adjust'!$A$1:$P$1,1),FALSE)="", "..", VLOOKUP($C$7,'Type of adjust'!$A$1:$P$17,MATCH($A24,'Type of adjust'!$A$1:$P$1,1),FALSE))</f>
        <v>..</v>
      </c>
      <c r="C24" s="11">
        <f>IF(VLOOKUP($C$7&amp;"Adjusted seen over_65"&amp;$C$9,REPORT_raw_dataseen!$A$1:$R$817,MATCH($A24,REPORT_raw_dataseen!$D$1:$R$1,1)+3, FALSE)=0,"-",IF(VLOOKUP($C$7&amp;"Adjusted seen over_65"&amp;$C$9,REPORT_raw_dataseen!$A$1:$R$817,MATCH($A24,REPORT_raw_dataseen!$D$1:$R$1,1)+3, FALSE)&lt;-7,"*",VLOOKUP($C$7&amp;"Adjusted seen over_65"&amp;$C$9,REPORT_raw_dataseen!$A$1:$R$817,MATCH($A24,REPORT_raw_dataseen!$D$1:$R$1,1)+3, FALSE)))</f>
        <v>131</v>
      </c>
      <c r="D24" s="11">
        <f>IF(C24="*","*",IF(VLOOKUP($C$7&amp;"Adjusted seen over_65"&amp;$D$10,REPORT_raw_dataseen!$A$1:$R$817,MATCH($A24,REPORT_raw_dataseen!$D$1:$R$1,1)+3, FALSE)=0,"-",VLOOKUP($C$7&amp;"Adjusted seen over_65"&amp;$D$10,REPORT_raw_dataseen!$A$1:$R$817,MATCH($A24,REPORT_raw_dataseen!$D$1:$R$1,1)+3, FALSE)))</f>
        <v>111</v>
      </c>
      <c r="E24" s="11">
        <f t="shared" si="1"/>
        <v>20</v>
      </c>
      <c r="F24" s="156">
        <f t="shared" si="0"/>
        <v>84.73</v>
      </c>
      <c r="G24" s="156">
        <f t="shared" si="0"/>
        <v>15.27</v>
      </c>
      <c r="H24" s="36">
        <f>+VLOOKUP($C$7&amp;"Adjusted seen over_65median",REPORT_raw_dataseen!$A$1:$R$817,MATCH($A24,REPORT_raw_dataseen!$D$1:$R$1,1)+3,FALSE)</f>
        <v>7</v>
      </c>
      <c r="I24" s="36">
        <f>+VLOOKUP($C$7&amp;"Adjusted seen over_6590percent",REPORT_raw_dataseen!$A$1:$R$817,MATCH($A24,REPORT_raw_dataseen!$D$1:$R$1,1)+3,FALSE)</f>
        <v>34</v>
      </c>
      <c r="J24" s="75"/>
    </row>
    <row r="25" spans="1:10">
      <c r="A25" s="160">
        <f t="shared" si="2"/>
        <v>43922</v>
      </c>
      <c r="B25" s="155" t="str">
        <f>IF(VLOOKUP($C$7,'Type of adjust'!$A$1:$P$17,MATCH($A25,'Type of adjust'!$A$1:$P$1,1),FALSE)="", "..", VLOOKUP($C$7,'Type of adjust'!$A$1:$P$17,MATCH($A25,'Type of adjust'!$A$1:$P$1,1),FALSE))</f>
        <v>..</v>
      </c>
      <c r="C25" s="11">
        <f>IF(VLOOKUP($C$7&amp;"Adjusted seen over_65"&amp;$C$9,REPORT_raw_dataseen!$A$1:$R$817,MATCH($A25,REPORT_raw_dataseen!$D$1:$R$1,1)+3, FALSE)=0,"-",IF(VLOOKUP($C$7&amp;"Adjusted seen over_65"&amp;$C$9,REPORT_raw_dataseen!$A$1:$R$817,MATCH($A25,REPORT_raw_dataseen!$D$1:$R$1,1)+3, FALSE)&lt;-6,"*",VLOOKUP($C$7&amp;"Adjusted seen over_65"&amp;$C$9,REPORT_raw_dataseen!$A$1:$R$817,MATCH($A25,REPORT_raw_dataseen!$D$1:$R$1,1)+3, FALSE)))</f>
        <v>149</v>
      </c>
      <c r="D25" s="11">
        <f>IF(C25="*","*",IF(VLOOKUP($C$7&amp;"Adjusted seen over_65"&amp;$D$10,REPORT_raw_dataseen!$A$1:$R$817,MATCH($A25,REPORT_raw_dataseen!$D$1:$R$1,1)+3, FALSE)=0,"-",VLOOKUP($C$7&amp;"Adjusted seen over_65"&amp;$D$10,REPORT_raw_dataseen!$A$1:$R$817,MATCH($A25,REPORT_raw_dataseen!$D$1:$R$1,1)+3, FALSE)))</f>
        <v>133</v>
      </c>
      <c r="E25" s="11">
        <f t="shared" si="1"/>
        <v>16</v>
      </c>
      <c r="F25" s="156">
        <f t="shared" si="0"/>
        <v>89.26</v>
      </c>
      <c r="G25" s="156">
        <f t="shared" si="0"/>
        <v>10.74</v>
      </c>
      <c r="H25" s="36">
        <f>+VLOOKUP($C$7&amp;"Adjusted seen over_65median",REPORT_raw_dataseen!$A$1:$R$817,MATCH($A25,REPORT_raw_dataseen!$D$1:$R$1,1)+3,FALSE)</f>
        <v>7</v>
      </c>
      <c r="I25" s="36">
        <f>+VLOOKUP($C$7&amp;"Adjusted seen over_6590percent",REPORT_raw_dataseen!$A$1:$R$817,MATCH($A25,REPORT_raw_dataseen!$D$1:$R$1,1)+3,FALSE)</f>
        <v>19</v>
      </c>
      <c r="J25" s="75"/>
    </row>
    <row r="26" spans="1:10">
      <c r="B26" s="16"/>
      <c r="C26" s="16"/>
      <c r="D26" s="16"/>
      <c r="E26" s="16"/>
      <c r="F26" s="17"/>
      <c r="G26" s="17"/>
    </row>
    <row r="27" spans="1:10">
      <c r="A27" s="159" t="str">
        <f>"quarter ending "&amp;TEXT(A11,"mmm yyyy")</f>
        <v>quarter ending Jun 2021</v>
      </c>
      <c r="B27" s="165" t="str">
        <f>B11</f>
        <v>..</v>
      </c>
      <c r="C27" s="161">
        <f>IF(OR(C11="*", C12="*", C13="*"),"*", IF(COUNTIF(C11:C13,"..")=3,"..",IF(SUM(C11:C13)=0,"-",SUM(C11:C13))))</f>
        <v>1176</v>
      </c>
      <c r="D27" s="161">
        <f>IF(OR(D11="*", D12="*", D13="*"),"*", IF(COUNTIF(D11:D13,"..")=3,"..",IF(SUM(D11:D13)=0,"-",SUM(D11:D13))))</f>
        <v>1015</v>
      </c>
      <c r="E27" s="161">
        <f>IF(OR(E11="*", E12="*", E13="*"),"*", IF(COUNTIF(E11:E13,"..")=3,"..",IF(SUM(E11:E13)=0,"-",SUM(E11:E13))))</f>
        <v>161</v>
      </c>
      <c r="F27" s="158">
        <f t="shared" ref="F27:G31" si="3">IF(D27="-", "-", ROUND(D27/$C27%,2))</f>
        <v>86.31</v>
      </c>
      <c r="G27" s="158">
        <f t="shared" si="3"/>
        <v>13.69</v>
      </c>
      <c r="H27" s="162" t="e">
        <f>+VLOOKUP($C$7&amp;"Adjusted seen over_650_26",REPORT_raw_dataseen!$A$1:$R$817,MATCH($A11,REPORT_raw_dataseen!$D$1:$R$1,1)+3,FALSE)</f>
        <v>#N/A</v>
      </c>
      <c r="I27" s="162" t="e">
        <f>+VLOOKUP($C$7&amp;"Adjusted seen over_65over 26",REPORT_raw_dataseen!$A$1:$R$817,MATCH($A11,REPORT_raw_dataseen!$D$1:$R$1,1)+3,FALSE)</f>
        <v>#N/A</v>
      </c>
    </row>
    <row r="28" spans="1:10">
      <c r="A28" s="159" t="str">
        <f>"quarter ending "&amp;TEXT(A14,"mmm yyyy")</f>
        <v>quarter ending Mar 2021</v>
      </c>
      <c r="B28" s="165" t="str">
        <f>B14</f>
        <v>..</v>
      </c>
      <c r="C28" s="161">
        <f>IF(OR(C14="*", C15="*", C16="*"),"*", IF(COUNTIF(C14:C16,"..")=3,"..",IF(SUM(C14:C16)=0,"-",SUM(C14:C16))))</f>
        <v>914</v>
      </c>
      <c r="D28" s="161">
        <f>IF(OR(D14="*", D15="*", D16="*"),"*", IF(COUNTIF(D14:D16,"..")=3,"..",IF(SUM(D14:D16)=0,"-",SUM(D14:D16))))</f>
        <v>779</v>
      </c>
      <c r="E28" s="161">
        <f>IF(OR(E14="*", E15="*", E16="*"),"*", IF(COUNTIF(E14:E16,"..")=3,"..",IF(SUM(E14:E16)=0,"-",SUM(E14:E16))))</f>
        <v>135</v>
      </c>
      <c r="F28" s="158">
        <f t="shared" si="3"/>
        <v>85.23</v>
      </c>
      <c r="G28" s="158">
        <f t="shared" si="3"/>
        <v>14.77</v>
      </c>
      <c r="H28" s="162" t="e">
        <f>+VLOOKUP($C$7&amp;"Adjusted seen over_650_26",REPORT_raw_dataseen!$A$1:$R$817,MATCH($A14,REPORT_raw_dataseen!$D$1:$R$1,1)+3,FALSE)</f>
        <v>#N/A</v>
      </c>
      <c r="I28" s="162" t="e">
        <f>+VLOOKUP($C$7&amp;"Adjusted seen over_65over 26",REPORT_raw_dataseen!$A$1:$R$817,MATCH($A14,REPORT_raw_dataseen!$D$1:$R$1,1)+3,FALSE)</f>
        <v>#N/A</v>
      </c>
    </row>
    <row r="29" spans="1:10">
      <c r="A29" s="159" t="str">
        <f>"quarter ending "&amp;TEXT(A17,"mmm yyyy")</f>
        <v>quarter ending Dec 2020</v>
      </c>
      <c r="B29" s="165" t="str">
        <f>B17</f>
        <v>..</v>
      </c>
      <c r="C29" s="161">
        <f>IF(OR(C17="*", C18="*", C19="*"),"*", IF(COUNTIF(C17:C19,"..")=3,"..",IF(SUM(C17:C19)=0,"-",SUM(C17:C19))))</f>
        <v>965</v>
      </c>
      <c r="D29" s="161">
        <f>IF(OR(D17="*", D18="*", D19="*"),"*", IF(COUNTIF(D17:D19,"..")=3,"..",IF(SUM(D17:D19)=0,"-",SUM(D17:D19))))</f>
        <v>747</v>
      </c>
      <c r="E29" s="161">
        <f>IF(OR(E17="*", E18="*", E19="*"),"*", IF(COUNTIF(E17:E19,"..")=3,"..",IF(SUM(E17:E19)=0,"-",SUM(E17:E19))))</f>
        <v>218</v>
      </c>
      <c r="F29" s="158">
        <f t="shared" si="3"/>
        <v>77.41</v>
      </c>
      <c r="G29" s="158">
        <f t="shared" si="3"/>
        <v>22.59</v>
      </c>
      <c r="H29" s="162" t="e">
        <f>+VLOOKUP($C$7&amp;"Adjusted seen over_650_26",REPORT_raw_dataseen!$A$1:$R$817,MATCH($A17,REPORT_raw_dataseen!$D$1:$R$1,1)+3,FALSE)</f>
        <v>#N/A</v>
      </c>
      <c r="I29" s="162" t="e">
        <f>+VLOOKUP($C$7&amp;"Adjusted seen over_65over 26",REPORT_raw_dataseen!$A$1:$R$817,MATCH($A17,REPORT_raw_dataseen!$D$1:$R$1,1)+3,FALSE)</f>
        <v>#N/A</v>
      </c>
    </row>
    <row r="30" spans="1:10">
      <c r="A30" s="159" t="str">
        <f>"quarter ending "&amp;TEXT(A20,"mmm yyyy")</f>
        <v>quarter ending Sep 2020</v>
      </c>
      <c r="B30" s="165" t="str">
        <f>B20</f>
        <v>..</v>
      </c>
      <c r="C30" s="161">
        <f>IF(OR(C20="*", C21="*", C22="*"),"*", IF(COUNTIF(C20:C22,"..")=3,"..",IF(SUM(C20:C22)=0,"-",SUM(C20:C22))))</f>
        <v>823</v>
      </c>
      <c r="D30" s="161">
        <f>IF(OR(D20="*", D21="*", D22="*"),"*", IF(COUNTIF(D20:D22,"..")=3,"..",IF(SUM(D20:D22)=0,"-",SUM(D20:D22))))</f>
        <v>617</v>
      </c>
      <c r="E30" s="161">
        <f>IF(OR(E20="*", E21="*", E22="*"),"*", IF(COUNTIF(E20:E22,"..")=3,"..",IF(SUM(E20:E22)=0,"-",SUM(E20:E22))))</f>
        <v>206</v>
      </c>
      <c r="F30" s="158">
        <f t="shared" si="3"/>
        <v>74.97</v>
      </c>
      <c r="G30" s="158">
        <f t="shared" si="3"/>
        <v>25.03</v>
      </c>
      <c r="H30" s="162" t="e">
        <f>+VLOOKUP($C$7&amp;"Adjusted seen over_650_26",REPORT_raw_dataseen!$A$1:$R$817,MATCH($A20,REPORT_raw_dataseen!$D$1:$R$1,1)+3,FALSE)</f>
        <v>#N/A</v>
      </c>
      <c r="I30" s="162" t="e">
        <f>+VLOOKUP($C$7&amp;"Adjusted seen over_65over 26",REPORT_raw_dataseen!$A$1:$R$817,MATCH($A20,REPORT_raw_dataseen!$D$1:$R$1,1)+3,FALSE)</f>
        <v>#N/A</v>
      </c>
    </row>
    <row r="31" spans="1:10">
      <c r="A31" s="159" t="str">
        <f>"quarter ending "&amp;TEXT(A23,"mmm yyyy")</f>
        <v>quarter ending Jun 2020</v>
      </c>
      <c r="B31" s="165" t="str">
        <f>B23</f>
        <v>..</v>
      </c>
      <c r="C31" s="161">
        <f>IF(OR(C23="*", C24="*", C25="*"),"*", IF(COUNTIF(C23:C25,"..")=3,"..",IF(SUM(C23:C25)=0,"-",SUM(C23:C25))))</f>
        <v>537</v>
      </c>
      <c r="D31" s="161">
        <f>IF(OR(D23="*", D24="*", D25="*"),"*", IF(COUNTIF(D23:D25,"..")=3,"..",IF(SUM(D23:D25)=0,"-",SUM(D23:D25))))</f>
        <v>453</v>
      </c>
      <c r="E31" s="161">
        <f>IF(OR(E23="*", E24="*", E25="*"),"*", IF(COUNTIF(E23:E25,"..")=3,"..",IF(SUM(E23:E25)=0,"-",SUM(E23:E25))))</f>
        <v>84</v>
      </c>
      <c r="F31" s="158">
        <f t="shared" si="3"/>
        <v>84.36</v>
      </c>
      <c r="G31" s="158">
        <f t="shared" si="3"/>
        <v>15.64</v>
      </c>
      <c r="H31" s="162" t="e">
        <f>+VLOOKUP($C$7&amp;"Adjusted seen over_650_26",REPORT_raw_dataseen!$A$1:$R$817,MATCH($A23,REPORT_raw_dataseen!$D$1:$R$1,1)+3,FALSE)</f>
        <v>#N/A</v>
      </c>
      <c r="I31" s="162" t="e">
        <f>+VLOOKUP($C$7&amp;"Adjusted seen over_65over 26",REPORT_raw_dataseen!$A$1:$R$817,MATCH($A23,REPORT_raw_dataseen!$D$1:$R$1,1)+3,FALSE)</f>
        <v>#N/A</v>
      </c>
    </row>
    <row r="32" spans="1:10">
      <c r="A32" s="438"/>
      <c r="B32" s="438"/>
      <c r="C32" s="438"/>
      <c r="D32" s="438"/>
      <c r="E32" s="438"/>
      <c r="F32" s="438"/>
      <c r="G32" s="438"/>
      <c r="H32" s="438"/>
    </row>
    <row r="33" spans="1:7">
      <c r="B33" s="16"/>
      <c r="C33" s="16"/>
      <c r="D33" s="16"/>
      <c r="E33" s="16"/>
      <c r="F33" s="17"/>
      <c r="G33" s="17"/>
    </row>
    <row r="34" spans="1:7" ht="20.25">
      <c r="A34" s="76" t="s">
        <v>337</v>
      </c>
      <c r="B34" s="16"/>
      <c r="C34" s="16"/>
      <c r="D34" s="16"/>
      <c r="E34" s="16"/>
      <c r="F34" s="17"/>
      <c r="G34" s="17"/>
    </row>
    <row r="35" spans="1:7">
      <c r="A35" s="77" t="s">
        <v>338</v>
      </c>
      <c r="B35" s="77" t="s">
        <v>339</v>
      </c>
      <c r="C35" s="78"/>
      <c r="D35" s="450" t="s">
        <v>340</v>
      </c>
      <c r="E35" s="450"/>
      <c r="F35" s="450"/>
      <c r="G35" s="450"/>
    </row>
    <row r="36" spans="1:7">
      <c r="A36" s="79" t="s">
        <v>55</v>
      </c>
      <c r="B36" s="80" t="s">
        <v>341</v>
      </c>
      <c r="C36" s="81"/>
      <c r="D36" s="451" t="s">
        <v>342</v>
      </c>
      <c r="E36" s="451"/>
      <c r="F36" s="451"/>
      <c r="G36" s="451"/>
    </row>
    <row r="37" spans="1:7" ht="51">
      <c r="A37" s="82" t="s">
        <v>343</v>
      </c>
      <c r="B37" s="83" t="s">
        <v>344</v>
      </c>
      <c r="C37" s="84"/>
      <c r="D37" s="452" t="s">
        <v>345</v>
      </c>
      <c r="E37" s="452"/>
      <c r="F37" s="452"/>
      <c r="G37" s="452"/>
    </row>
    <row r="38" spans="1:7">
      <c r="A38" s="85" t="s">
        <v>27</v>
      </c>
      <c r="B38" s="86"/>
      <c r="C38" s="87"/>
      <c r="D38" s="439" t="s">
        <v>346</v>
      </c>
      <c r="E38" s="439"/>
      <c r="F38" s="439"/>
      <c r="G38" s="439"/>
    </row>
    <row r="39" spans="1:7">
      <c r="A39" s="88"/>
      <c r="B39" s="89"/>
      <c r="C39" s="89"/>
      <c r="D39" s="19"/>
      <c r="E39" s="89"/>
      <c r="F39" s="90"/>
      <c r="G39" s="15"/>
    </row>
    <row r="40" spans="1:7">
      <c r="A40" s="88"/>
      <c r="B40" s="89"/>
      <c r="C40" s="89"/>
      <c r="D40" s="19"/>
      <c r="E40" s="89"/>
      <c r="F40" s="90"/>
      <c r="G40" s="15"/>
    </row>
    <row r="41" spans="1:7">
      <c r="A41" s="88"/>
      <c r="B41" s="89"/>
      <c r="C41" s="89"/>
      <c r="D41" s="19"/>
      <c r="E41" s="89"/>
      <c r="F41" s="90"/>
      <c r="G41" s="15"/>
    </row>
    <row r="42" spans="1:7">
      <c r="A42" s="91" t="s">
        <v>190</v>
      </c>
      <c r="B42" s="89"/>
      <c r="C42" s="89"/>
      <c r="D42" s="89"/>
      <c r="E42" s="89"/>
      <c r="F42" s="90"/>
      <c r="G42" s="15"/>
    </row>
    <row r="43" spans="1:7">
      <c r="A43" s="91" t="s">
        <v>191</v>
      </c>
      <c r="B43" s="89"/>
      <c r="C43" s="89"/>
      <c r="D43" s="89"/>
      <c r="E43" s="89"/>
      <c r="F43" s="90"/>
      <c r="G43" s="15"/>
    </row>
    <row r="44" spans="1:7">
      <c r="B44" s="16"/>
      <c r="C44" s="16"/>
      <c r="D44" s="16"/>
      <c r="E44" s="16"/>
      <c r="F44" s="18"/>
      <c r="G44" s="18"/>
    </row>
    <row r="45" spans="1:7">
      <c r="A45" s="43" t="s">
        <v>410</v>
      </c>
      <c r="B45" s="12"/>
      <c r="C45" s="12"/>
      <c r="D45" s="12"/>
      <c r="E45" s="12"/>
      <c r="F45" s="13"/>
      <c r="G45" s="13"/>
    </row>
    <row r="46" spans="1:7">
      <c r="B46" s="7"/>
      <c r="C46" s="7"/>
      <c r="D46" s="7"/>
      <c r="E46" s="7"/>
      <c r="F46" s="14"/>
      <c r="G46" s="14"/>
    </row>
    <row r="47" spans="1:7">
      <c r="A47" s="8"/>
      <c r="B47" s="7"/>
      <c r="C47" s="7"/>
      <c r="D47" s="7"/>
      <c r="E47" s="7"/>
      <c r="F47" s="15"/>
      <c r="G47" s="15"/>
    </row>
    <row r="48" spans="1:7">
      <c r="B48" s="16"/>
      <c r="C48" s="16"/>
      <c r="D48" s="16"/>
      <c r="E48" s="16"/>
      <c r="F48" s="18"/>
      <c r="G48" s="18"/>
    </row>
    <row r="49" spans="1:7">
      <c r="B49" s="12"/>
      <c r="C49" s="12"/>
      <c r="D49" s="12"/>
      <c r="E49" s="12"/>
      <c r="F49" s="13"/>
      <c r="G49" s="13"/>
    </row>
    <row r="50" spans="1:7">
      <c r="B50" s="12"/>
      <c r="C50" s="12"/>
      <c r="D50" s="7"/>
      <c r="E50" s="7"/>
      <c r="F50" s="14"/>
      <c r="G50" s="14"/>
    </row>
    <row r="51" spans="1:7">
      <c r="B51" s="12"/>
      <c r="C51" s="12"/>
      <c r="D51" s="7"/>
      <c r="E51" s="7"/>
      <c r="F51" s="15"/>
      <c r="G51" s="15"/>
    </row>
    <row r="52" spans="1:7">
      <c r="B52" s="16"/>
      <c r="C52" s="16"/>
      <c r="D52" s="7"/>
      <c r="E52" s="7"/>
      <c r="F52" s="15"/>
      <c r="G52" s="15"/>
    </row>
    <row r="53" spans="1:7">
      <c r="A53" s="29" t="str">
        <f>"Percentage of patients waiting less than 18 weeks for adjusted waits - "&amp;C7</f>
        <v>Percentage of patients waiting less than 18 weeks for adjusted waits - Scotland</v>
      </c>
      <c r="B53" s="16"/>
      <c r="C53" s="16"/>
      <c r="D53" s="16"/>
      <c r="E53" s="16"/>
      <c r="F53" s="15"/>
      <c r="G53" s="15"/>
    </row>
    <row r="54" spans="1:7">
      <c r="A54" s="28"/>
      <c r="B54" s="16"/>
      <c r="C54" s="16"/>
      <c r="D54" s="16"/>
      <c r="E54" s="16"/>
      <c r="F54" s="18"/>
      <c r="G54" s="18"/>
    </row>
    <row r="55" spans="1:7">
      <c r="B55" s="12"/>
      <c r="C55" s="12"/>
      <c r="D55" s="12"/>
      <c r="E55" s="12"/>
      <c r="F55" s="13"/>
      <c r="G55" s="13"/>
    </row>
    <row r="56" spans="1:7">
      <c r="B56" s="7"/>
      <c r="C56" s="7"/>
      <c r="D56" s="7"/>
      <c r="E56" s="7"/>
      <c r="F56" s="14"/>
      <c r="G56" s="14"/>
    </row>
    <row r="57" spans="1:7">
      <c r="A57" s="29" t="str">
        <f>"Patients seen - adjusted waits - "&amp;C7</f>
        <v>Patients seen - adjusted waits - Scotland</v>
      </c>
      <c r="B57" s="16"/>
      <c r="C57" s="16"/>
      <c r="D57" s="16"/>
      <c r="E57" s="16"/>
      <c r="F57" s="15"/>
      <c r="G57" s="15"/>
    </row>
    <row r="58" spans="1:7">
      <c r="A58" s="29" t="str">
        <f>"Percentage of patients seen 0-18 weeks for adjusted waits - "&amp;C7</f>
        <v>Percentage of patients seen 0-18 weeks for adjusted waits - Scotland</v>
      </c>
      <c r="B58" s="16"/>
      <c r="C58" s="16"/>
      <c r="D58" s="16"/>
      <c r="E58" s="16"/>
      <c r="F58" s="15"/>
      <c r="G58" s="15"/>
    </row>
    <row r="59" spans="1:7">
      <c r="A59" s="29" t="str">
        <f>"Percentage of patients seen - adjusted waits - "&amp;C7</f>
        <v>Percentage of patients seen - adjusted waits - Scotland</v>
      </c>
      <c r="B59" s="16"/>
      <c r="C59" s="16"/>
      <c r="D59" s="16"/>
      <c r="E59" s="16"/>
      <c r="F59" s="17"/>
      <c r="G59" s="17"/>
    </row>
    <row r="60" spans="1:7">
      <c r="B60" s="12"/>
      <c r="C60" s="12"/>
      <c r="D60" s="12"/>
      <c r="E60" s="12"/>
      <c r="F60" s="13"/>
      <c r="G60" s="13"/>
    </row>
    <row r="61" spans="1:7" s="20" customFormat="1">
      <c r="B61" s="21"/>
      <c r="C61" s="21"/>
      <c r="D61" s="21"/>
      <c r="E61" s="21"/>
      <c r="F61" s="22"/>
      <c r="G61" s="22"/>
    </row>
    <row r="62" spans="1:7">
      <c r="B62" s="8"/>
      <c r="C62" s="8"/>
      <c r="D62" s="8"/>
      <c r="E62" s="8"/>
      <c r="F62" s="24"/>
      <c r="G62" s="24"/>
    </row>
    <row r="63" spans="1:7">
      <c r="B63" s="8"/>
      <c r="C63" s="8"/>
      <c r="D63" s="8"/>
      <c r="E63" s="8"/>
      <c r="F63" s="24"/>
      <c r="G63" s="24"/>
    </row>
    <row r="64" spans="1:7">
      <c r="B64" s="8"/>
      <c r="C64" s="8"/>
      <c r="D64" s="8"/>
      <c r="E64" s="8"/>
      <c r="F64" s="24"/>
      <c r="G64" s="24"/>
    </row>
    <row r="65" spans="1:7">
      <c r="A65" s="16"/>
      <c r="B65" s="16"/>
      <c r="C65" s="16"/>
      <c r="D65" s="16"/>
      <c r="E65" s="16"/>
      <c r="F65" s="26"/>
      <c r="G65" s="26"/>
    </row>
    <row r="66" spans="1:7">
      <c r="B66" s="16"/>
      <c r="C66" s="16"/>
      <c r="D66" s="16"/>
      <c r="E66" s="16"/>
      <c r="F66" s="18"/>
      <c r="G66" s="18"/>
    </row>
    <row r="67" spans="1:7">
      <c r="B67" s="12"/>
      <c r="C67" s="12"/>
      <c r="D67" s="12"/>
      <c r="E67" s="12"/>
      <c r="F67" s="13"/>
      <c r="G67" s="13"/>
    </row>
    <row r="68" spans="1:7">
      <c r="B68" s="7"/>
      <c r="C68" s="7"/>
      <c r="D68" s="7"/>
      <c r="E68" s="7"/>
      <c r="F68" s="14"/>
      <c r="G68" s="14"/>
    </row>
    <row r="69" spans="1:7">
      <c r="B69" s="7"/>
      <c r="C69" s="7"/>
      <c r="D69" s="7"/>
      <c r="E69" s="7"/>
      <c r="F69" s="15"/>
      <c r="G69" s="15"/>
    </row>
    <row r="70" spans="1:7">
      <c r="B70" s="7"/>
      <c r="C70" s="7"/>
      <c r="D70" s="7"/>
      <c r="E70" s="7"/>
      <c r="F70" s="15"/>
      <c r="G70" s="15"/>
    </row>
    <row r="71" spans="1:7">
      <c r="B71" s="16"/>
      <c r="C71" s="16"/>
      <c r="D71" s="16"/>
      <c r="E71" s="16"/>
      <c r="F71" s="18"/>
      <c r="G71" s="18"/>
    </row>
    <row r="72" spans="1:7">
      <c r="B72" s="27"/>
      <c r="C72" s="27"/>
      <c r="D72" s="27"/>
      <c r="E72" s="27"/>
      <c r="F72" s="13"/>
      <c r="G72" s="13"/>
    </row>
    <row r="73" spans="1:7">
      <c r="B73" s="28"/>
      <c r="C73" s="28"/>
      <c r="D73" s="28"/>
      <c r="E73" s="28"/>
      <c r="F73" s="14"/>
      <c r="G73" s="14"/>
    </row>
    <row r="74" spans="1:7">
      <c r="F74" s="15"/>
      <c r="G74" s="15"/>
    </row>
    <row r="75" spans="1:7">
      <c r="F75" s="15"/>
      <c r="G75" s="15"/>
    </row>
    <row r="91" spans="1:4">
      <c r="A91" s="28"/>
      <c r="B91" s="28"/>
      <c r="C91" s="28"/>
      <c r="D91" s="28"/>
    </row>
    <row r="92" spans="1:4">
      <c r="A92" s="28"/>
      <c r="B92" s="28"/>
      <c r="C92" s="28"/>
      <c r="D92" s="28"/>
    </row>
    <row r="93" spans="1:4">
      <c r="A93" s="28"/>
      <c r="B93" s="28"/>
      <c r="C93" s="28"/>
      <c r="D93" s="28"/>
    </row>
    <row r="94" spans="1:4">
      <c r="A94" s="28"/>
      <c r="B94" s="28"/>
      <c r="C94" s="28"/>
      <c r="D94" s="28"/>
    </row>
    <row r="95" spans="1:4">
      <c r="A95" s="28"/>
      <c r="B95" s="28"/>
      <c r="C95" s="28"/>
      <c r="D95" s="28"/>
    </row>
    <row r="96" spans="1:4">
      <c r="A96" s="28"/>
      <c r="B96" s="28"/>
      <c r="C96" s="28"/>
      <c r="D96" s="28"/>
    </row>
    <row r="97" spans="1:4">
      <c r="A97" s="29"/>
      <c r="B97" s="29"/>
      <c r="C97" s="29"/>
      <c r="D97" s="29"/>
    </row>
    <row r="98" spans="1:4">
      <c r="A98" s="29"/>
      <c r="B98" s="29"/>
      <c r="C98" s="29"/>
      <c r="D98" s="29"/>
    </row>
    <row r="99" spans="1:4">
      <c r="A99" s="29"/>
      <c r="B99" s="29"/>
      <c r="C99" s="29"/>
      <c r="D99" s="29"/>
    </row>
    <row r="100" spans="1:4">
      <c r="A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row r="119" spans="1:4">
      <c r="A119" s="29"/>
      <c r="B119" s="29"/>
      <c r="C119" s="29"/>
      <c r="D119" s="29"/>
    </row>
    <row r="120" spans="1:4">
      <c r="A120" s="29"/>
      <c r="B120" s="29"/>
      <c r="C120" s="29"/>
      <c r="D120" s="29"/>
    </row>
    <row r="121" spans="1:4">
      <c r="A121" s="29"/>
      <c r="B121" s="29"/>
      <c r="C121" s="29"/>
      <c r="D121" s="29"/>
    </row>
    <row r="122" spans="1:4">
      <c r="A122" s="29"/>
      <c r="B122" s="29"/>
      <c r="C122" s="29"/>
      <c r="D122" s="29"/>
    </row>
    <row r="123" spans="1:4">
      <c r="A123" s="29"/>
      <c r="B123" s="29"/>
      <c r="C123" s="29"/>
      <c r="D123" s="29"/>
    </row>
  </sheetData>
  <mergeCells count="13">
    <mergeCell ref="D38:G38"/>
    <mergeCell ref="A3:D3"/>
    <mergeCell ref="A6:D6"/>
    <mergeCell ref="C7:D7"/>
    <mergeCell ref="A9:A10"/>
    <mergeCell ref="B9:B10"/>
    <mergeCell ref="C9:C10"/>
    <mergeCell ref="D9:E9"/>
    <mergeCell ref="F9:G9"/>
    <mergeCell ref="A32:H32"/>
    <mergeCell ref="D35:G35"/>
    <mergeCell ref="D36:G36"/>
    <mergeCell ref="D37:G37"/>
  </mergeCells>
  <dataValidations count="2">
    <dataValidation type="list" allowBlank="1" showInputMessage="1" showErrorMessage="1" sqref="C7:D7">
      <formula1>ISLANDBOARDS</formula1>
    </dataValidation>
    <dataValidation type="list" allowBlank="1" showInputMessage="1" showErrorMessage="1" sqref="WVG983026:WVH983026 IU65522:IV65522 SQ65522:SR65522 ACM65522:ACN65522 AMI65522:AMJ65522 AWE65522:AWF65522 BGA65522:BGB65522 BPW65522:BPX65522 BZS65522:BZT65522 CJO65522:CJP65522 CTK65522:CTL65522 DDG65522:DDH65522 DNC65522:DND65522 DWY65522:DWZ65522 EGU65522:EGV65522 EQQ65522:EQR65522 FAM65522:FAN65522 FKI65522:FKJ65522 FUE65522:FUF65522 GEA65522:GEB65522 GNW65522:GNX65522 GXS65522:GXT65522 HHO65522:HHP65522 HRK65522:HRL65522 IBG65522:IBH65522 ILC65522:ILD65522 IUY65522:IUZ65522 JEU65522:JEV65522 JOQ65522:JOR65522 JYM65522:JYN65522 KII65522:KIJ65522 KSE65522:KSF65522 LCA65522:LCB65522 LLW65522:LLX65522 LVS65522:LVT65522 MFO65522:MFP65522 MPK65522:MPL65522 MZG65522:MZH65522 NJC65522:NJD65522 NSY65522:NSZ65522 OCU65522:OCV65522 OMQ65522:OMR65522 OWM65522:OWN65522 PGI65522:PGJ65522 PQE65522:PQF65522 QAA65522:QAB65522 QJW65522:QJX65522 QTS65522:QTT65522 RDO65522:RDP65522 RNK65522:RNL65522 RXG65522:RXH65522 SHC65522:SHD65522 SQY65522:SQZ65522 TAU65522:TAV65522 TKQ65522:TKR65522 TUM65522:TUN65522 UEI65522:UEJ65522 UOE65522:UOF65522 UYA65522:UYB65522 VHW65522:VHX65522 VRS65522:VRT65522 WBO65522:WBP65522 WLK65522:WLL65522 WVG65522:WVH65522 IU131058:IV131058 SQ131058:SR131058 ACM131058:ACN131058 AMI131058:AMJ131058 AWE131058:AWF131058 BGA131058:BGB131058 BPW131058:BPX131058 BZS131058:BZT131058 CJO131058:CJP131058 CTK131058:CTL131058 DDG131058:DDH131058 DNC131058:DND131058 DWY131058:DWZ131058 EGU131058:EGV131058 EQQ131058:EQR131058 FAM131058:FAN131058 FKI131058:FKJ131058 FUE131058:FUF131058 GEA131058:GEB131058 GNW131058:GNX131058 GXS131058:GXT131058 HHO131058:HHP131058 HRK131058:HRL131058 IBG131058:IBH131058 ILC131058:ILD131058 IUY131058:IUZ131058 JEU131058:JEV131058 JOQ131058:JOR131058 JYM131058:JYN131058 KII131058:KIJ131058 KSE131058:KSF131058 LCA131058:LCB131058 LLW131058:LLX131058 LVS131058:LVT131058 MFO131058:MFP131058 MPK131058:MPL131058 MZG131058:MZH131058 NJC131058:NJD131058 NSY131058:NSZ131058 OCU131058:OCV131058 OMQ131058:OMR131058 OWM131058:OWN131058 PGI131058:PGJ131058 PQE131058:PQF131058 QAA131058:QAB131058 QJW131058:QJX131058 QTS131058:QTT131058 RDO131058:RDP131058 RNK131058:RNL131058 RXG131058:RXH131058 SHC131058:SHD131058 SQY131058:SQZ131058 TAU131058:TAV131058 TKQ131058:TKR131058 TUM131058:TUN131058 UEI131058:UEJ131058 UOE131058:UOF131058 UYA131058:UYB131058 VHW131058:VHX131058 VRS131058:VRT131058 WBO131058:WBP131058 WLK131058:WLL131058 WVG131058:WVH131058 IU196594:IV196594 SQ196594:SR196594 ACM196594:ACN196594 AMI196594:AMJ196594 AWE196594:AWF196594 BGA196594:BGB196594 BPW196594:BPX196594 BZS196594:BZT196594 CJO196594:CJP196594 CTK196594:CTL196594 DDG196594:DDH196594 DNC196594:DND196594 DWY196594:DWZ196594 EGU196594:EGV196594 EQQ196594:EQR196594 FAM196594:FAN196594 FKI196594:FKJ196594 FUE196594:FUF196594 GEA196594:GEB196594 GNW196594:GNX196594 GXS196594:GXT196594 HHO196594:HHP196594 HRK196594:HRL196594 IBG196594:IBH196594 ILC196594:ILD196594 IUY196594:IUZ196594 JEU196594:JEV196594 JOQ196594:JOR196594 JYM196594:JYN196594 KII196594:KIJ196594 KSE196594:KSF196594 LCA196594:LCB196594 LLW196594:LLX196594 LVS196594:LVT196594 MFO196594:MFP196594 MPK196594:MPL196594 MZG196594:MZH196594 NJC196594:NJD196594 NSY196594:NSZ196594 OCU196594:OCV196594 OMQ196594:OMR196594 OWM196594:OWN196594 PGI196594:PGJ196594 PQE196594:PQF196594 QAA196594:QAB196594 QJW196594:QJX196594 QTS196594:QTT196594 RDO196594:RDP196594 RNK196594:RNL196594 RXG196594:RXH196594 SHC196594:SHD196594 SQY196594:SQZ196594 TAU196594:TAV196594 TKQ196594:TKR196594 TUM196594:TUN196594 UEI196594:UEJ196594 UOE196594:UOF196594 UYA196594:UYB196594 VHW196594:VHX196594 VRS196594:VRT196594 WBO196594:WBP196594 WLK196594:WLL196594 WVG196594:WVH196594 IU262130:IV262130 SQ262130:SR262130 ACM262130:ACN262130 AMI262130:AMJ262130 AWE262130:AWF262130 BGA262130:BGB262130 BPW262130:BPX262130 BZS262130:BZT262130 CJO262130:CJP262130 CTK262130:CTL262130 DDG262130:DDH262130 DNC262130:DND262130 DWY262130:DWZ262130 EGU262130:EGV262130 EQQ262130:EQR262130 FAM262130:FAN262130 FKI262130:FKJ262130 FUE262130:FUF262130 GEA262130:GEB262130 GNW262130:GNX262130 GXS262130:GXT262130 HHO262130:HHP262130 HRK262130:HRL262130 IBG262130:IBH262130 ILC262130:ILD262130 IUY262130:IUZ262130 JEU262130:JEV262130 JOQ262130:JOR262130 JYM262130:JYN262130 KII262130:KIJ262130 KSE262130:KSF262130 LCA262130:LCB262130 LLW262130:LLX262130 LVS262130:LVT262130 MFO262130:MFP262130 MPK262130:MPL262130 MZG262130:MZH262130 NJC262130:NJD262130 NSY262130:NSZ262130 OCU262130:OCV262130 OMQ262130:OMR262130 OWM262130:OWN262130 PGI262130:PGJ262130 PQE262130:PQF262130 QAA262130:QAB262130 QJW262130:QJX262130 QTS262130:QTT262130 RDO262130:RDP262130 RNK262130:RNL262130 RXG262130:RXH262130 SHC262130:SHD262130 SQY262130:SQZ262130 TAU262130:TAV262130 TKQ262130:TKR262130 TUM262130:TUN262130 UEI262130:UEJ262130 UOE262130:UOF262130 UYA262130:UYB262130 VHW262130:VHX262130 VRS262130:VRT262130 WBO262130:WBP262130 WLK262130:WLL262130 WVG262130:WVH262130 IU327666:IV327666 SQ327666:SR327666 ACM327666:ACN327666 AMI327666:AMJ327666 AWE327666:AWF327666 BGA327666:BGB327666 BPW327666:BPX327666 BZS327666:BZT327666 CJO327666:CJP327666 CTK327666:CTL327666 DDG327666:DDH327666 DNC327666:DND327666 DWY327666:DWZ327666 EGU327666:EGV327666 EQQ327666:EQR327666 FAM327666:FAN327666 FKI327666:FKJ327666 FUE327666:FUF327666 GEA327666:GEB327666 GNW327666:GNX327666 GXS327666:GXT327666 HHO327666:HHP327666 HRK327666:HRL327666 IBG327666:IBH327666 ILC327666:ILD327666 IUY327666:IUZ327666 JEU327666:JEV327666 JOQ327666:JOR327666 JYM327666:JYN327666 KII327666:KIJ327666 KSE327666:KSF327666 LCA327666:LCB327666 LLW327666:LLX327666 LVS327666:LVT327666 MFO327666:MFP327666 MPK327666:MPL327666 MZG327666:MZH327666 NJC327666:NJD327666 NSY327666:NSZ327666 OCU327666:OCV327666 OMQ327666:OMR327666 OWM327666:OWN327666 PGI327666:PGJ327666 PQE327666:PQF327666 QAA327666:QAB327666 QJW327666:QJX327666 QTS327666:QTT327666 RDO327666:RDP327666 RNK327666:RNL327666 RXG327666:RXH327666 SHC327666:SHD327666 SQY327666:SQZ327666 TAU327666:TAV327666 TKQ327666:TKR327666 TUM327666:TUN327666 UEI327666:UEJ327666 UOE327666:UOF327666 UYA327666:UYB327666 VHW327666:VHX327666 VRS327666:VRT327666 WBO327666:WBP327666 WLK327666:WLL327666 WVG327666:WVH327666 IU393202:IV393202 SQ393202:SR393202 ACM393202:ACN393202 AMI393202:AMJ393202 AWE393202:AWF393202 BGA393202:BGB393202 BPW393202:BPX393202 BZS393202:BZT393202 CJO393202:CJP393202 CTK393202:CTL393202 DDG393202:DDH393202 DNC393202:DND393202 DWY393202:DWZ393202 EGU393202:EGV393202 EQQ393202:EQR393202 FAM393202:FAN393202 FKI393202:FKJ393202 FUE393202:FUF393202 GEA393202:GEB393202 GNW393202:GNX393202 GXS393202:GXT393202 HHO393202:HHP393202 HRK393202:HRL393202 IBG393202:IBH393202 ILC393202:ILD393202 IUY393202:IUZ393202 JEU393202:JEV393202 JOQ393202:JOR393202 JYM393202:JYN393202 KII393202:KIJ393202 KSE393202:KSF393202 LCA393202:LCB393202 LLW393202:LLX393202 LVS393202:LVT393202 MFO393202:MFP393202 MPK393202:MPL393202 MZG393202:MZH393202 NJC393202:NJD393202 NSY393202:NSZ393202 OCU393202:OCV393202 OMQ393202:OMR393202 OWM393202:OWN393202 PGI393202:PGJ393202 PQE393202:PQF393202 QAA393202:QAB393202 QJW393202:QJX393202 QTS393202:QTT393202 RDO393202:RDP393202 RNK393202:RNL393202 RXG393202:RXH393202 SHC393202:SHD393202 SQY393202:SQZ393202 TAU393202:TAV393202 TKQ393202:TKR393202 TUM393202:TUN393202 UEI393202:UEJ393202 UOE393202:UOF393202 UYA393202:UYB393202 VHW393202:VHX393202 VRS393202:VRT393202 WBO393202:WBP393202 WLK393202:WLL393202 WVG393202:WVH393202 IU458738:IV458738 SQ458738:SR458738 ACM458738:ACN458738 AMI458738:AMJ458738 AWE458738:AWF458738 BGA458738:BGB458738 BPW458738:BPX458738 BZS458738:BZT458738 CJO458738:CJP458738 CTK458738:CTL458738 DDG458738:DDH458738 DNC458738:DND458738 DWY458738:DWZ458738 EGU458738:EGV458738 EQQ458738:EQR458738 FAM458738:FAN458738 FKI458738:FKJ458738 FUE458738:FUF458738 GEA458738:GEB458738 GNW458738:GNX458738 GXS458738:GXT458738 HHO458738:HHP458738 HRK458738:HRL458738 IBG458738:IBH458738 ILC458738:ILD458738 IUY458738:IUZ458738 JEU458738:JEV458738 JOQ458738:JOR458738 JYM458738:JYN458738 KII458738:KIJ458738 KSE458738:KSF458738 LCA458738:LCB458738 LLW458738:LLX458738 LVS458738:LVT458738 MFO458738:MFP458738 MPK458738:MPL458738 MZG458738:MZH458738 NJC458738:NJD458738 NSY458738:NSZ458738 OCU458738:OCV458738 OMQ458738:OMR458738 OWM458738:OWN458738 PGI458738:PGJ458738 PQE458738:PQF458738 QAA458738:QAB458738 QJW458738:QJX458738 QTS458738:QTT458738 RDO458738:RDP458738 RNK458738:RNL458738 RXG458738:RXH458738 SHC458738:SHD458738 SQY458738:SQZ458738 TAU458738:TAV458738 TKQ458738:TKR458738 TUM458738:TUN458738 UEI458738:UEJ458738 UOE458738:UOF458738 UYA458738:UYB458738 VHW458738:VHX458738 VRS458738:VRT458738 WBO458738:WBP458738 WLK458738:WLL458738 WVG458738:WVH458738 IU524274:IV524274 SQ524274:SR524274 ACM524274:ACN524274 AMI524274:AMJ524274 AWE524274:AWF524274 BGA524274:BGB524274 BPW524274:BPX524274 BZS524274:BZT524274 CJO524274:CJP524274 CTK524274:CTL524274 DDG524274:DDH524274 DNC524274:DND524274 DWY524274:DWZ524274 EGU524274:EGV524274 EQQ524274:EQR524274 FAM524274:FAN524274 FKI524274:FKJ524274 FUE524274:FUF524274 GEA524274:GEB524274 GNW524274:GNX524274 GXS524274:GXT524274 HHO524274:HHP524274 HRK524274:HRL524274 IBG524274:IBH524274 ILC524274:ILD524274 IUY524274:IUZ524274 JEU524274:JEV524274 JOQ524274:JOR524274 JYM524274:JYN524274 KII524274:KIJ524274 KSE524274:KSF524274 LCA524274:LCB524274 LLW524274:LLX524274 LVS524274:LVT524274 MFO524274:MFP524274 MPK524274:MPL524274 MZG524274:MZH524274 NJC524274:NJD524274 NSY524274:NSZ524274 OCU524274:OCV524274 OMQ524274:OMR524274 OWM524274:OWN524274 PGI524274:PGJ524274 PQE524274:PQF524274 QAA524274:QAB524274 QJW524274:QJX524274 QTS524274:QTT524274 RDO524274:RDP524274 RNK524274:RNL524274 RXG524274:RXH524274 SHC524274:SHD524274 SQY524274:SQZ524274 TAU524274:TAV524274 TKQ524274:TKR524274 TUM524274:TUN524274 UEI524274:UEJ524274 UOE524274:UOF524274 UYA524274:UYB524274 VHW524274:VHX524274 VRS524274:VRT524274 WBO524274:WBP524274 WLK524274:WLL524274 WVG524274:WVH524274 IU589810:IV589810 SQ589810:SR589810 ACM589810:ACN589810 AMI589810:AMJ589810 AWE589810:AWF589810 BGA589810:BGB589810 BPW589810:BPX589810 BZS589810:BZT589810 CJO589810:CJP589810 CTK589810:CTL589810 DDG589810:DDH589810 DNC589810:DND589810 DWY589810:DWZ589810 EGU589810:EGV589810 EQQ589810:EQR589810 FAM589810:FAN589810 FKI589810:FKJ589810 FUE589810:FUF589810 GEA589810:GEB589810 GNW589810:GNX589810 GXS589810:GXT589810 HHO589810:HHP589810 HRK589810:HRL589810 IBG589810:IBH589810 ILC589810:ILD589810 IUY589810:IUZ589810 JEU589810:JEV589810 JOQ589810:JOR589810 JYM589810:JYN589810 KII589810:KIJ589810 KSE589810:KSF589810 LCA589810:LCB589810 LLW589810:LLX589810 LVS589810:LVT589810 MFO589810:MFP589810 MPK589810:MPL589810 MZG589810:MZH589810 NJC589810:NJD589810 NSY589810:NSZ589810 OCU589810:OCV589810 OMQ589810:OMR589810 OWM589810:OWN589810 PGI589810:PGJ589810 PQE589810:PQF589810 QAA589810:QAB589810 QJW589810:QJX589810 QTS589810:QTT589810 RDO589810:RDP589810 RNK589810:RNL589810 RXG589810:RXH589810 SHC589810:SHD589810 SQY589810:SQZ589810 TAU589810:TAV589810 TKQ589810:TKR589810 TUM589810:TUN589810 UEI589810:UEJ589810 UOE589810:UOF589810 UYA589810:UYB589810 VHW589810:VHX589810 VRS589810:VRT589810 WBO589810:WBP589810 WLK589810:WLL589810 WVG589810:WVH589810 IU655346:IV655346 SQ655346:SR655346 ACM655346:ACN655346 AMI655346:AMJ655346 AWE655346:AWF655346 BGA655346:BGB655346 BPW655346:BPX655346 BZS655346:BZT655346 CJO655346:CJP655346 CTK655346:CTL655346 DDG655346:DDH655346 DNC655346:DND655346 DWY655346:DWZ655346 EGU655346:EGV655346 EQQ655346:EQR655346 FAM655346:FAN655346 FKI655346:FKJ655346 FUE655346:FUF655346 GEA655346:GEB655346 GNW655346:GNX655346 GXS655346:GXT655346 HHO655346:HHP655346 HRK655346:HRL655346 IBG655346:IBH655346 ILC655346:ILD655346 IUY655346:IUZ655346 JEU655346:JEV655346 JOQ655346:JOR655346 JYM655346:JYN655346 KII655346:KIJ655346 KSE655346:KSF655346 LCA655346:LCB655346 LLW655346:LLX655346 LVS655346:LVT655346 MFO655346:MFP655346 MPK655346:MPL655346 MZG655346:MZH655346 NJC655346:NJD655346 NSY655346:NSZ655346 OCU655346:OCV655346 OMQ655346:OMR655346 OWM655346:OWN655346 PGI655346:PGJ655346 PQE655346:PQF655346 QAA655346:QAB655346 QJW655346:QJX655346 QTS655346:QTT655346 RDO655346:RDP655346 RNK655346:RNL655346 RXG655346:RXH655346 SHC655346:SHD655346 SQY655346:SQZ655346 TAU655346:TAV655346 TKQ655346:TKR655346 TUM655346:TUN655346 UEI655346:UEJ655346 UOE655346:UOF655346 UYA655346:UYB655346 VHW655346:VHX655346 VRS655346:VRT655346 WBO655346:WBP655346 WLK655346:WLL655346 WVG655346:WVH655346 IU720882:IV720882 SQ720882:SR720882 ACM720882:ACN720882 AMI720882:AMJ720882 AWE720882:AWF720882 BGA720882:BGB720882 BPW720882:BPX720882 BZS720882:BZT720882 CJO720882:CJP720882 CTK720882:CTL720882 DDG720882:DDH720882 DNC720882:DND720882 DWY720882:DWZ720882 EGU720882:EGV720882 EQQ720882:EQR720882 FAM720882:FAN720882 FKI720882:FKJ720882 FUE720882:FUF720882 GEA720882:GEB720882 GNW720882:GNX720882 GXS720882:GXT720882 HHO720882:HHP720882 HRK720882:HRL720882 IBG720882:IBH720882 ILC720882:ILD720882 IUY720882:IUZ720882 JEU720882:JEV720882 JOQ720882:JOR720882 JYM720882:JYN720882 KII720882:KIJ720882 KSE720882:KSF720882 LCA720882:LCB720882 LLW720882:LLX720882 LVS720882:LVT720882 MFO720882:MFP720882 MPK720882:MPL720882 MZG720882:MZH720882 NJC720882:NJD720882 NSY720882:NSZ720882 OCU720882:OCV720882 OMQ720882:OMR720882 OWM720882:OWN720882 PGI720882:PGJ720882 PQE720882:PQF720882 QAA720882:QAB720882 QJW720882:QJX720882 QTS720882:QTT720882 RDO720882:RDP720882 RNK720882:RNL720882 RXG720882:RXH720882 SHC720882:SHD720882 SQY720882:SQZ720882 TAU720882:TAV720882 TKQ720882:TKR720882 TUM720882:TUN720882 UEI720882:UEJ720882 UOE720882:UOF720882 UYA720882:UYB720882 VHW720882:VHX720882 VRS720882:VRT720882 WBO720882:WBP720882 WLK720882:WLL720882 WVG720882:WVH720882 IU786418:IV786418 SQ786418:SR786418 ACM786418:ACN786418 AMI786418:AMJ786418 AWE786418:AWF786418 BGA786418:BGB786418 BPW786418:BPX786418 BZS786418:BZT786418 CJO786418:CJP786418 CTK786418:CTL786418 DDG786418:DDH786418 DNC786418:DND786418 DWY786418:DWZ786418 EGU786418:EGV786418 EQQ786418:EQR786418 FAM786418:FAN786418 FKI786418:FKJ786418 FUE786418:FUF786418 GEA786418:GEB786418 GNW786418:GNX786418 GXS786418:GXT786418 HHO786418:HHP786418 HRK786418:HRL786418 IBG786418:IBH786418 ILC786418:ILD786418 IUY786418:IUZ786418 JEU786418:JEV786418 JOQ786418:JOR786418 JYM786418:JYN786418 KII786418:KIJ786418 KSE786418:KSF786418 LCA786418:LCB786418 LLW786418:LLX786418 LVS786418:LVT786418 MFO786418:MFP786418 MPK786418:MPL786418 MZG786418:MZH786418 NJC786418:NJD786418 NSY786418:NSZ786418 OCU786418:OCV786418 OMQ786418:OMR786418 OWM786418:OWN786418 PGI786418:PGJ786418 PQE786418:PQF786418 QAA786418:QAB786418 QJW786418:QJX786418 QTS786418:QTT786418 RDO786418:RDP786418 RNK786418:RNL786418 RXG786418:RXH786418 SHC786418:SHD786418 SQY786418:SQZ786418 TAU786418:TAV786418 TKQ786418:TKR786418 TUM786418:TUN786418 UEI786418:UEJ786418 UOE786418:UOF786418 UYA786418:UYB786418 VHW786418:VHX786418 VRS786418:VRT786418 WBO786418:WBP786418 WLK786418:WLL786418 WVG786418:WVH786418 IU851954:IV851954 SQ851954:SR851954 ACM851954:ACN851954 AMI851954:AMJ851954 AWE851954:AWF851954 BGA851954:BGB851954 BPW851954:BPX851954 BZS851954:BZT851954 CJO851954:CJP851954 CTK851954:CTL851954 DDG851954:DDH851954 DNC851954:DND851954 DWY851954:DWZ851954 EGU851954:EGV851954 EQQ851954:EQR851954 FAM851954:FAN851954 FKI851954:FKJ851954 FUE851954:FUF851954 GEA851954:GEB851954 GNW851954:GNX851954 GXS851954:GXT851954 HHO851954:HHP851954 HRK851954:HRL851954 IBG851954:IBH851954 ILC851954:ILD851954 IUY851954:IUZ851954 JEU851954:JEV851954 JOQ851954:JOR851954 JYM851954:JYN851954 KII851954:KIJ851954 KSE851954:KSF851954 LCA851954:LCB851954 LLW851954:LLX851954 LVS851954:LVT851954 MFO851954:MFP851954 MPK851954:MPL851954 MZG851954:MZH851954 NJC851954:NJD851954 NSY851954:NSZ851954 OCU851954:OCV851954 OMQ851954:OMR851954 OWM851954:OWN851954 PGI851954:PGJ851954 PQE851954:PQF851954 QAA851954:QAB851954 QJW851954:QJX851954 QTS851954:QTT851954 RDO851954:RDP851954 RNK851954:RNL851954 RXG851954:RXH851954 SHC851954:SHD851954 SQY851954:SQZ851954 TAU851954:TAV851954 TKQ851954:TKR851954 TUM851954:TUN851954 UEI851954:UEJ851954 UOE851954:UOF851954 UYA851954:UYB851954 VHW851954:VHX851954 VRS851954:VRT851954 WBO851954:WBP851954 WLK851954:WLL851954 WVG851954:WVH851954 IU917490:IV917490 SQ917490:SR917490 ACM917490:ACN917490 AMI917490:AMJ917490 AWE917490:AWF917490 BGA917490:BGB917490 BPW917490:BPX917490 BZS917490:BZT917490 CJO917490:CJP917490 CTK917490:CTL917490 DDG917490:DDH917490 DNC917490:DND917490 DWY917490:DWZ917490 EGU917490:EGV917490 EQQ917490:EQR917490 FAM917490:FAN917490 FKI917490:FKJ917490 FUE917490:FUF917490 GEA917490:GEB917490 GNW917490:GNX917490 GXS917490:GXT917490 HHO917490:HHP917490 HRK917490:HRL917490 IBG917490:IBH917490 ILC917490:ILD917490 IUY917490:IUZ917490 JEU917490:JEV917490 JOQ917490:JOR917490 JYM917490:JYN917490 KII917490:KIJ917490 KSE917490:KSF917490 LCA917490:LCB917490 LLW917490:LLX917490 LVS917490:LVT917490 MFO917490:MFP917490 MPK917490:MPL917490 MZG917490:MZH917490 NJC917490:NJD917490 NSY917490:NSZ917490 OCU917490:OCV917490 OMQ917490:OMR917490 OWM917490:OWN917490 PGI917490:PGJ917490 PQE917490:PQF917490 QAA917490:QAB917490 QJW917490:QJX917490 QTS917490:QTT917490 RDO917490:RDP917490 RNK917490:RNL917490 RXG917490:RXH917490 SHC917490:SHD917490 SQY917490:SQZ917490 TAU917490:TAV917490 TKQ917490:TKR917490 TUM917490:TUN917490 UEI917490:UEJ917490 UOE917490:UOF917490 UYA917490:UYB917490 VHW917490:VHX917490 VRS917490:VRT917490 WBO917490:WBP917490 WLK917490:WLL917490 WVG917490:WVH917490 IU983026:IV983026 SQ983026:SR983026 ACM983026:ACN983026 AMI983026:AMJ983026 AWE983026:AWF983026 BGA983026:BGB983026 BPW983026:BPX983026 BZS983026:BZT983026 CJO983026:CJP983026 CTK983026:CTL983026 DDG983026:DDH983026 DNC983026:DND983026 DWY983026:DWZ983026 EGU983026:EGV983026 EQQ983026:EQR983026 FAM983026:FAN983026 FKI983026:FKJ983026 FUE983026:FUF983026 GEA983026:GEB983026 GNW983026:GNX983026 GXS983026:GXT983026 HHO983026:HHP983026 HRK983026:HRL983026 IBG983026:IBH983026 ILC983026:ILD983026 IUY983026:IUZ983026 JEU983026:JEV983026 JOQ983026:JOR983026 JYM983026:JYN983026 KII983026:KIJ983026 KSE983026:KSF983026 LCA983026:LCB983026 LLW983026:LLX983026 LVS983026:LVT983026 MFO983026:MFP983026 MPK983026:MPL983026 MZG983026:MZH983026 NJC983026:NJD983026 NSY983026:NSZ983026 OCU983026:OCV983026 OMQ983026:OMR983026 OWM983026:OWN983026 PGI983026:PGJ983026 PQE983026:PQF983026 QAA983026:QAB983026 QJW983026:QJX983026 QTS983026:QTT983026 RDO983026:RDP983026 RNK983026:RNL983026 RXG983026:RXH983026 SHC983026:SHD983026 SQY983026:SQZ983026 TAU983026:TAV983026 TKQ983026:TKR983026 TUM983026:TUN983026 UEI983026:UEJ983026 UOE983026:UOF983026 UYA983026:UYB983026 VHW983026:VHX983026 VRS983026:VRT983026 WBO983026:WBP983026 WLK983026:WLL983026 C65522:D65522 C131058:D131058 C196594:D196594 C262130:D262130 C327666:D327666 C393202:D393202 C458738:D458738 C524274:D524274 C589810:D589810 C655346:D655346 C720882:D720882 C786418:D786418 C851954:D851954 C917490:D917490 C983026:D983026 IU7:IV7 SQ7:SR7 ACM7:ACN7 AMI7:AMJ7 AWE7:AWF7 BGA7:BGB7 BPW7:BPX7 BZS7:BZT7 CJO7:CJP7 CTK7:CTL7 DDG7:DDH7 DNC7:DND7 DWY7:DWZ7 EGU7:EGV7 EQQ7:EQR7 FAM7:FAN7 FKI7:FKJ7 FUE7:FUF7 GEA7:GEB7 GNW7:GNX7 GXS7:GXT7 HHO7:HHP7 HRK7:HRL7 IBG7:IBH7 ILC7:ILD7 IUY7:IUZ7 JEU7:JEV7 JOQ7:JOR7 JYM7:JYN7 KII7:KIJ7 KSE7:KSF7 LCA7:LCB7 LLW7:LLX7 LVS7:LVT7 MFO7:MFP7 MPK7:MPL7 MZG7:MZH7 NJC7:NJD7 NSY7:NSZ7 OCU7:OCV7 OMQ7:OMR7 OWM7:OWN7 PGI7:PGJ7 PQE7:PQF7 QAA7:QAB7 QJW7:QJX7 QTS7:QTT7 RDO7:RDP7 RNK7:RNL7 RXG7:RXH7 SHC7:SHD7 SQY7:SQZ7 TAU7:TAV7 TKQ7:TKR7 TUM7:TUN7 UEI7:UEJ7 UOE7:UOF7 UYA7:UYB7 VHW7:VHX7 VRS7:VRT7 WBO7:WBP7 WLK7:WLL7 WVG7:WVH7">
      <formula1>NHSBOARDS11</formula1>
    </dataValidation>
  </dataValidations>
  <hyperlinks>
    <hyperlink ref="A5" r:id="rId1"/>
  </hyperlinks>
  <pageMargins left="0.7" right="0.7" top="0.75" bottom="0.75" header="0.3" footer="0.3"/>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118"/>
  <sheetViews>
    <sheetView topLeftCell="A7" workbookViewId="0">
      <selection activeCell="E17" sqref="E17"/>
    </sheetView>
  </sheetViews>
  <sheetFormatPr defaultRowHeight="15"/>
  <cols>
    <col min="1" max="1" width="18.28515625" style="6" customWidth="1"/>
    <col min="2" max="2" width="13.5703125" style="6" customWidth="1"/>
    <col min="3" max="3" width="15.140625" style="6" customWidth="1"/>
    <col min="4" max="5" width="12.85546875" style="6" customWidth="1"/>
    <col min="6" max="7" width="14.5703125" style="6" customWidth="1"/>
    <col min="8" max="252" width="9.140625" style="6"/>
    <col min="253" max="253" width="18.28515625" style="6" customWidth="1"/>
    <col min="254" max="254" width="13.5703125" style="6" customWidth="1"/>
    <col min="255" max="255" width="15.140625" style="6" customWidth="1"/>
    <col min="256" max="257" width="12.85546875" style="6" customWidth="1"/>
    <col min="258" max="258" width="12.5703125" style="6" customWidth="1"/>
    <col min="259" max="259" width="10.85546875" style="6" customWidth="1"/>
    <col min="260" max="262" width="14.5703125" style="6" customWidth="1"/>
    <col min="263" max="263" width="12.85546875" style="6" customWidth="1"/>
    <col min="264" max="508" width="9.140625" style="6"/>
    <col min="509" max="509" width="18.28515625" style="6" customWidth="1"/>
    <col min="510" max="510" width="13.5703125" style="6" customWidth="1"/>
    <col min="511" max="511" width="15.140625" style="6" customWidth="1"/>
    <col min="512" max="513" width="12.85546875" style="6" customWidth="1"/>
    <col min="514" max="514" width="12.5703125" style="6" customWidth="1"/>
    <col min="515" max="515" width="10.85546875" style="6" customWidth="1"/>
    <col min="516" max="518" width="14.5703125" style="6" customWidth="1"/>
    <col min="519" max="519" width="12.85546875" style="6" customWidth="1"/>
    <col min="520" max="764" width="9.140625" style="6"/>
    <col min="765" max="765" width="18.28515625" style="6" customWidth="1"/>
    <col min="766" max="766" width="13.5703125" style="6" customWidth="1"/>
    <col min="767" max="767" width="15.140625" style="6" customWidth="1"/>
    <col min="768" max="769" width="12.85546875" style="6" customWidth="1"/>
    <col min="770" max="770" width="12.5703125" style="6" customWidth="1"/>
    <col min="771" max="771" width="10.85546875" style="6" customWidth="1"/>
    <col min="772" max="774" width="14.5703125" style="6" customWidth="1"/>
    <col min="775" max="775" width="12.85546875" style="6" customWidth="1"/>
    <col min="776" max="1020" width="9.140625" style="6"/>
    <col min="1021" max="1021" width="18.28515625" style="6" customWidth="1"/>
    <col min="1022" max="1022" width="13.5703125" style="6" customWidth="1"/>
    <col min="1023" max="1023" width="15.140625" style="6" customWidth="1"/>
    <col min="1024" max="1025" width="12.85546875" style="6" customWidth="1"/>
    <col min="1026" max="1026" width="12.5703125" style="6" customWidth="1"/>
    <col min="1027" max="1027" width="10.85546875" style="6" customWidth="1"/>
    <col min="1028" max="1030" width="14.5703125" style="6" customWidth="1"/>
    <col min="1031" max="1031" width="12.85546875" style="6" customWidth="1"/>
    <col min="1032" max="1276" width="9.140625" style="6"/>
    <col min="1277" max="1277" width="18.28515625" style="6" customWidth="1"/>
    <col min="1278" max="1278" width="13.5703125" style="6" customWidth="1"/>
    <col min="1279" max="1279" width="15.140625" style="6" customWidth="1"/>
    <col min="1280" max="1281" width="12.85546875" style="6" customWidth="1"/>
    <col min="1282" max="1282" width="12.5703125" style="6" customWidth="1"/>
    <col min="1283" max="1283" width="10.85546875" style="6" customWidth="1"/>
    <col min="1284" max="1286" width="14.5703125" style="6" customWidth="1"/>
    <col min="1287" max="1287" width="12.85546875" style="6" customWidth="1"/>
    <col min="1288" max="1532" width="9.140625" style="6"/>
    <col min="1533" max="1533" width="18.28515625" style="6" customWidth="1"/>
    <col min="1534" max="1534" width="13.5703125" style="6" customWidth="1"/>
    <col min="1535" max="1535" width="15.140625" style="6" customWidth="1"/>
    <col min="1536" max="1537" width="12.85546875" style="6" customWidth="1"/>
    <col min="1538" max="1538" width="12.5703125" style="6" customWidth="1"/>
    <col min="1539" max="1539" width="10.85546875" style="6" customWidth="1"/>
    <col min="1540" max="1542" width="14.5703125" style="6" customWidth="1"/>
    <col min="1543" max="1543" width="12.85546875" style="6" customWidth="1"/>
    <col min="1544" max="1788" width="9.140625" style="6"/>
    <col min="1789" max="1789" width="18.28515625" style="6" customWidth="1"/>
    <col min="1790" max="1790" width="13.5703125" style="6" customWidth="1"/>
    <col min="1791" max="1791" width="15.140625" style="6" customWidth="1"/>
    <col min="1792" max="1793" width="12.85546875" style="6" customWidth="1"/>
    <col min="1794" max="1794" width="12.5703125" style="6" customWidth="1"/>
    <col min="1795" max="1795" width="10.85546875" style="6" customWidth="1"/>
    <col min="1796" max="1798" width="14.5703125" style="6" customWidth="1"/>
    <col min="1799" max="1799" width="12.85546875" style="6" customWidth="1"/>
    <col min="1800" max="2044" width="9.140625" style="6"/>
    <col min="2045" max="2045" width="18.28515625" style="6" customWidth="1"/>
    <col min="2046" max="2046" width="13.5703125" style="6" customWidth="1"/>
    <col min="2047" max="2047" width="15.140625" style="6" customWidth="1"/>
    <col min="2048" max="2049" width="12.85546875" style="6" customWidth="1"/>
    <col min="2050" max="2050" width="12.5703125" style="6" customWidth="1"/>
    <col min="2051" max="2051" width="10.85546875" style="6" customWidth="1"/>
    <col min="2052" max="2054" width="14.5703125" style="6" customWidth="1"/>
    <col min="2055" max="2055" width="12.85546875" style="6" customWidth="1"/>
    <col min="2056" max="2300" width="9.140625" style="6"/>
    <col min="2301" max="2301" width="18.28515625" style="6" customWidth="1"/>
    <col min="2302" max="2302" width="13.5703125" style="6" customWidth="1"/>
    <col min="2303" max="2303" width="15.140625" style="6" customWidth="1"/>
    <col min="2304" max="2305" width="12.85546875" style="6" customWidth="1"/>
    <col min="2306" max="2306" width="12.5703125" style="6" customWidth="1"/>
    <col min="2307" max="2307" width="10.85546875" style="6" customWidth="1"/>
    <col min="2308" max="2310" width="14.5703125" style="6" customWidth="1"/>
    <col min="2311" max="2311" width="12.85546875" style="6" customWidth="1"/>
    <col min="2312" max="2556" width="9.140625" style="6"/>
    <col min="2557" max="2557" width="18.28515625" style="6" customWidth="1"/>
    <col min="2558" max="2558" width="13.5703125" style="6" customWidth="1"/>
    <col min="2559" max="2559" width="15.140625" style="6" customWidth="1"/>
    <col min="2560" max="2561" width="12.85546875" style="6" customWidth="1"/>
    <col min="2562" max="2562" width="12.5703125" style="6" customWidth="1"/>
    <col min="2563" max="2563" width="10.85546875" style="6" customWidth="1"/>
    <col min="2564" max="2566" width="14.5703125" style="6" customWidth="1"/>
    <col min="2567" max="2567" width="12.85546875" style="6" customWidth="1"/>
    <col min="2568" max="2812" width="9.140625" style="6"/>
    <col min="2813" max="2813" width="18.28515625" style="6" customWidth="1"/>
    <col min="2814" max="2814" width="13.5703125" style="6" customWidth="1"/>
    <col min="2815" max="2815" width="15.140625" style="6" customWidth="1"/>
    <col min="2816" max="2817" width="12.85546875" style="6" customWidth="1"/>
    <col min="2818" max="2818" width="12.5703125" style="6" customWidth="1"/>
    <col min="2819" max="2819" width="10.85546875" style="6" customWidth="1"/>
    <col min="2820" max="2822" width="14.5703125" style="6" customWidth="1"/>
    <col min="2823" max="2823" width="12.85546875" style="6" customWidth="1"/>
    <col min="2824" max="3068" width="9.140625" style="6"/>
    <col min="3069" max="3069" width="18.28515625" style="6" customWidth="1"/>
    <col min="3070" max="3070" width="13.5703125" style="6" customWidth="1"/>
    <col min="3071" max="3071" width="15.140625" style="6" customWidth="1"/>
    <col min="3072" max="3073" width="12.85546875" style="6" customWidth="1"/>
    <col min="3074" max="3074" width="12.5703125" style="6" customWidth="1"/>
    <col min="3075" max="3075" width="10.85546875" style="6" customWidth="1"/>
    <col min="3076" max="3078" width="14.5703125" style="6" customWidth="1"/>
    <col min="3079" max="3079" width="12.85546875" style="6" customWidth="1"/>
    <col min="3080" max="3324" width="9.140625" style="6"/>
    <col min="3325" max="3325" width="18.28515625" style="6" customWidth="1"/>
    <col min="3326" max="3326" width="13.5703125" style="6" customWidth="1"/>
    <col min="3327" max="3327" width="15.140625" style="6" customWidth="1"/>
    <col min="3328" max="3329" width="12.85546875" style="6" customWidth="1"/>
    <col min="3330" max="3330" width="12.5703125" style="6" customWidth="1"/>
    <col min="3331" max="3331" width="10.85546875" style="6" customWidth="1"/>
    <col min="3332" max="3334" width="14.5703125" style="6" customWidth="1"/>
    <col min="3335" max="3335" width="12.85546875" style="6" customWidth="1"/>
    <col min="3336" max="3580" width="9.140625" style="6"/>
    <col min="3581" max="3581" width="18.28515625" style="6" customWidth="1"/>
    <col min="3582" max="3582" width="13.5703125" style="6" customWidth="1"/>
    <col min="3583" max="3583" width="15.140625" style="6" customWidth="1"/>
    <col min="3584" max="3585" width="12.85546875" style="6" customWidth="1"/>
    <col min="3586" max="3586" width="12.5703125" style="6" customWidth="1"/>
    <col min="3587" max="3587" width="10.85546875" style="6" customWidth="1"/>
    <col min="3588" max="3590" width="14.5703125" style="6" customWidth="1"/>
    <col min="3591" max="3591" width="12.85546875" style="6" customWidth="1"/>
    <col min="3592" max="3836" width="9.140625" style="6"/>
    <col min="3837" max="3837" width="18.28515625" style="6" customWidth="1"/>
    <col min="3838" max="3838" width="13.5703125" style="6" customWidth="1"/>
    <col min="3839" max="3839" width="15.140625" style="6" customWidth="1"/>
    <col min="3840" max="3841" width="12.85546875" style="6" customWidth="1"/>
    <col min="3842" max="3842" width="12.5703125" style="6" customWidth="1"/>
    <col min="3843" max="3843" width="10.85546875" style="6" customWidth="1"/>
    <col min="3844" max="3846" width="14.5703125" style="6" customWidth="1"/>
    <col min="3847" max="3847" width="12.85546875" style="6" customWidth="1"/>
    <col min="3848" max="4092" width="9.140625" style="6"/>
    <col min="4093" max="4093" width="18.28515625" style="6" customWidth="1"/>
    <col min="4094" max="4094" width="13.5703125" style="6" customWidth="1"/>
    <col min="4095" max="4095" width="15.140625" style="6" customWidth="1"/>
    <col min="4096" max="4097" width="12.85546875" style="6" customWidth="1"/>
    <col min="4098" max="4098" width="12.5703125" style="6" customWidth="1"/>
    <col min="4099" max="4099" width="10.85546875" style="6" customWidth="1"/>
    <col min="4100" max="4102" width="14.5703125" style="6" customWidth="1"/>
    <col min="4103" max="4103" width="12.85546875" style="6" customWidth="1"/>
    <col min="4104" max="4348" width="9.140625" style="6"/>
    <col min="4349" max="4349" width="18.28515625" style="6" customWidth="1"/>
    <col min="4350" max="4350" width="13.5703125" style="6" customWidth="1"/>
    <col min="4351" max="4351" width="15.140625" style="6" customWidth="1"/>
    <col min="4352" max="4353" width="12.85546875" style="6" customWidth="1"/>
    <col min="4354" max="4354" width="12.5703125" style="6" customWidth="1"/>
    <col min="4355" max="4355" width="10.85546875" style="6" customWidth="1"/>
    <col min="4356" max="4358" width="14.5703125" style="6" customWidth="1"/>
    <col min="4359" max="4359" width="12.85546875" style="6" customWidth="1"/>
    <col min="4360" max="4604" width="9.140625" style="6"/>
    <col min="4605" max="4605" width="18.28515625" style="6" customWidth="1"/>
    <col min="4606" max="4606" width="13.5703125" style="6" customWidth="1"/>
    <col min="4607" max="4607" width="15.140625" style="6" customWidth="1"/>
    <col min="4608" max="4609" width="12.85546875" style="6" customWidth="1"/>
    <col min="4610" max="4610" width="12.5703125" style="6" customWidth="1"/>
    <col min="4611" max="4611" width="10.85546875" style="6" customWidth="1"/>
    <col min="4612" max="4614" width="14.5703125" style="6" customWidth="1"/>
    <col min="4615" max="4615" width="12.85546875" style="6" customWidth="1"/>
    <col min="4616" max="4860" width="9.140625" style="6"/>
    <col min="4861" max="4861" width="18.28515625" style="6" customWidth="1"/>
    <col min="4862" max="4862" width="13.5703125" style="6" customWidth="1"/>
    <col min="4863" max="4863" width="15.140625" style="6" customWidth="1"/>
    <col min="4864" max="4865" width="12.85546875" style="6" customWidth="1"/>
    <col min="4866" max="4866" width="12.5703125" style="6" customWidth="1"/>
    <col min="4867" max="4867" width="10.85546875" style="6" customWidth="1"/>
    <col min="4868" max="4870" width="14.5703125" style="6" customWidth="1"/>
    <col min="4871" max="4871" width="12.85546875" style="6" customWidth="1"/>
    <col min="4872" max="5116" width="9.140625" style="6"/>
    <col min="5117" max="5117" width="18.28515625" style="6" customWidth="1"/>
    <col min="5118" max="5118" width="13.5703125" style="6" customWidth="1"/>
    <col min="5119" max="5119" width="15.140625" style="6" customWidth="1"/>
    <col min="5120" max="5121" width="12.85546875" style="6" customWidth="1"/>
    <col min="5122" max="5122" width="12.5703125" style="6" customWidth="1"/>
    <col min="5123" max="5123" width="10.85546875" style="6" customWidth="1"/>
    <col min="5124" max="5126" width="14.5703125" style="6" customWidth="1"/>
    <col min="5127" max="5127" width="12.85546875" style="6" customWidth="1"/>
    <col min="5128" max="5372" width="9.140625" style="6"/>
    <col min="5373" max="5373" width="18.28515625" style="6" customWidth="1"/>
    <col min="5374" max="5374" width="13.5703125" style="6" customWidth="1"/>
    <col min="5375" max="5375" width="15.140625" style="6" customWidth="1"/>
    <col min="5376" max="5377" width="12.85546875" style="6" customWidth="1"/>
    <col min="5378" max="5378" width="12.5703125" style="6" customWidth="1"/>
    <col min="5379" max="5379" width="10.85546875" style="6" customWidth="1"/>
    <col min="5380" max="5382" width="14.5703125" style="6" customWidth="1"/>
    <col min="5383" max="5383" width="12.85546875" style="6" customWidth="1"/>
    <col min="5384" max="5628" width="9.140625" style="6"/>
    <col min="5629" max="5629" width="18.28515625" style="6" customWidth="1"/>
    <col min="5630" max="5630" width="13.5703125" style="6" customWidth="1"/>
    <col min="5631" max="5631" width="15.140625" style="6" customWidth="1"/>
    <col min="5632" max="5633" width="12.85546875" style="6" customWidth="1"/>
    <col min="5634" max="5634" width="12.5703125" style="6" customWidth="1"/>
    <col min="5635" max="5635" width="10.85546875" style="6" customWidth="1"/>
    <col min="5636" max="5638" width="14.5703125" style="6" customWidth="1"/>
    <col min="5639" max="5639" width="12.85546875" style="6" customWidth="1"/>
    <col min="5640" max="5884" width="9.140625" style="6"/>
    <col min="5885" max="5885" width="18.28515625" style="6" customWidth="1"/>
    <col min="5886" max="5886" width="13.5703125" style="6" customWidth="1"/>
    <col min="5887" max="5887" width="15.140625" style="6" customWidth="1"/>
    <col min="5888" max="5889" width="12.85546875" style="6" customWidth="1"/>
    <col min="5890" max="5890" width="12.5703125" style="6" customWidth="1"/>
    <col min="5891" max="5891" width="10.85546875" style="6" customWidth="1"/>
    <col min="5892" max="5894" width="14.5703125" style="6" customWidth="1"/>
    <col min="5895" max="5895" width="12.85546875" style="6" customWidth="1"/>
    <col min="5896" max="6140" width="9.140625" style="6"/>
    <col min="6141" max="6141" width="18.28515625" style="6" customWidth="1"/>
    <col min="6142" max="6142" width="13.5703125" style="6" customWidth="1"/>
    <col min="6143" max="6143" width="15.140625" style="6" customWidth="1"/>
    <col min="6144" max="6145" width="12.85546875" style="6" customWidth="1"/>
    <col min="6146" max="6146" width="12.5703125" style="6" customWidth="1"/>
    <col min="6147" max="6147" width="10.85546875" style="6" customWidth="1"/>
    <col min="6148" max="6150" width="14.5703125" style="6" customWidth="1"/>
    <col min="6151" max="6151" width="12.85546875" style="6" customWidth="1"/>
    <col min="6152" max="6396" width="9.140625" style="6"/>
    <col min="6397" max="6397" width="18.28515625" style="6" customWidth="1"/>
    <col min="6398" max="6398" width="13.5703125" style="6" customWidth="1"/>
    <col min="6399" max="6399" width="15.140625" style="6" customWidth="1"/>
    <col min="6400" max="6401" width="12.85546875" style="6" customWidth="1"/>
    <col min="6402" max="6402" width="12.5703125" style="6" customWidth="1"/>
    <col min="6403" max="6403" width="10.85546875" style="6" customWidth="1"/>
    <col min="6404" max="6406" width="14.5703125" style="6" customWidth="1"/>
    <col min="6407" max="6407" width="12.85546875" style="6" customWidth="1"/>
    <col min="6408" max="6652" width="9.140625" style="6"/>
    <col min="6653" max="6653" width="18.28515625" style="6" customWidth="1"/>
    <col min="6654" max="6654" width="13.5703125" style="6" customWidth="1"/>
    <col min="6655" max="6655" width="15.140625" style="6" customWidth="1"/>
    <col min="6656" max="6657" width="12.85546875" style="6" customWidth="1"/>
    <col min="6658" max="6658" width="12.5703125" style="6" customWidth="1"/>
    <col min="6659" max="6659" width="10.85546875" style="6" customWidth="1"/>
    <col min="6660" max="6662" width="14.5703125" style="6" customWidth="1"/>
    <col min="6663" max="6663" width="12.85546875" style="6" customWidth="1"/>
    <col min="6664" max="6908" width="9.140625" style="6"/>
    <col min="6909" max="6909" width="18.28515625" style="6" customWidth="1"/>
    <col min="6910" max="6910" width="13.5703125" style="6" customWidth="1"/>
    <col min="6911" max="6911" width="15.140625" style="6" customWidth="1"/>
    <col min="6912" max="6913" width="12.85546875" style="6" customWidth="1"/>
    <col min="6914" max="6914" width="12.5703125" style="6" customWidth="1"/>
    <col min="6915" max="6915" width="10.85546875" style="6" customWidth="1"/>
    <col min="6916" max="6918" width="14.5703125" style="6" customWidth="1"/>
    <col min="6919" max="6919" width="12.85546875" style="6" customWidth="1"/>
    <col min="6920" max="7164" width="9.140625" style="6"/>
    <col min="7165" max="7165" width="18.28515625" style="6" customWidth="1"/>
    <col min="7166" max="7166" width="13.5703125" style="6" customWidth="1"/>
    <col min="7167" max="7167" width="15.140625" style="6" customWidth="1"/>
    <col min="7168" max="7169" width="12.85546875" style="6" customWidth="1"/>
    <col min="7170" max="7170" width="12.5703125" style="6" customWidth="1"/>
    <col min="7171" max="7171" width="10.85546875" style="6" customWidth="1"/>
    <col min="7172" max="7174" width="14.5703125" style="6" customWidth="1"/>
    <col min="7175" max="7175" width="12.85546875" style="6" customWidth="1"/>
    <col min="7176" max="7420" width="9.140625" style="6"/>
    <col min="7421" max="7421" width="18.28515625" style="6" customWidth="1"/>
    <col min="7422" max="7422" width="13.5703125" style="6" customWidth="1"/>
    <col min="7423" max="7423" width="15.140625" style="6" customWidth="1"/>
    <col min="7424" max="7425" width="12.85546875" style="6" customWidth="1"/>
    <col min="7426" max="7426" width="12.5703125" style="6" customWidth="1"/>
    <col min="7427" max="7427" width="10.85546875" style="6" customWidth="1"/>
    <col min="7428" max="7430" width="14.5703125" style="6" customWidth="1"/>
    <col min="7431" max="7431" width="12.85546875" style="6" customWidth="1"/>
    <col min="7432" max="7676" width="9.140625" style="6"/>
    <col min="7677" max="7677" width="18.28515625" style="6" customWidth="1"/>
    <col min="7678" max="7678" width="13.5703125" style="6" customWidth="1"/>
    <col min="7679" max="7679" width="15.140625" style="6" customWidth="1"/>
    <col min="7680" max="7681" width="12.85546875" style="6" customWidth="1"/>
    <col min="7682" max="7682" width="12.5703125" style="6" customWidth="1"/>
    <col min="7683" max="7683" width="10.85546875" style="6" customWidth="1"/>
    <col min="7684" max="7686" width="14.5703125" style="6" customWidth="1"/>
    <col min="7687" max="7687" width="12.85546875" style="6" customWidth="1"/>
    <col min="7688" max="7932" width="9.140625" style="6"/>
    <col min="7933" max="7933" width="18.28515625" style="6" customWidth="1"/>
    <col min="7934" max="7934" width="13.5703125" style="6" customWidth="1"/>
    <col min="7935" max="7935" width="15.140625" style="6" customWidth="1"/>
    <col min="7936" max="7937" width="12.85546875" style="6" customWidth="1"/>
    <col min="7938" max="7938" width="12.5703125" style="6" customWidth="1"/>
    <col min="7939" max="7939" width="10.85546875" style="6" customWidth="1"/>
    <col min="7940" max="7942" width="14.5703125" style="6" customWidth="1"/>
    <col min="7943" max="7943" width="12.85546875" style="6" customWidth="1"/>
    <col min="7944" max="8188" width="9.140625" style="6"/>
    <col min="8189" max="8189" width="18.28515625" style="6" customWidth="1"/>
    <col min="8190" max="8190" width="13.5703125" style="6" customWidth="1"/>
    <col min="8191" max="8191" width="15.140625" style="6" customWidth="1"/>
    <col min="8192" max="8193" width="12.85546875" style="6" customWidth="1"/>
    <col min="8194" max="8194" width="12.5703125" style="6" customWidth="1"/>
    <col min="8195" max="8195" width="10.85546875" style="6" customWidth="1"/>
    <col min="8196" max="8198" width="14.5703125" style="6" customWidth="1"/>
    <col min="8199" max="8199" width="12.85546875" style="6" customWidth="1"/>
    <col min="8200" max="8444" width="9.140625" style="6"/>
    <col min="8445" max="8445" width="18.28515625" style="6" customWidth="1"/>
    <col min="8446" max="8446" width="13.5703125" style="6" customWidth="1"/>
    <col min="8447" max="8447" width="15.140625" style="6" customWidth="1"/>
    <col min="8448" max="8449" width="12.85546875" style="6" customWidth="1"/>
    <col min="8450" max="8450" width="12.5703125" style="6" customWidth="1"/>
    <col min="8451" max="8451" width="10.85546875" style="6" customWidth="1"/>
    <col min="8452" max="8454" width="14.5703125" style="6" customWidth="1"/>
    <col min="8455" max="8455" width="12.85546875" style="6" customWidth="1"/>
    <col min="8456" max="8700" width="9.140625" style="6"/>
    <col min="8701" max="8701" width="18.28515625" style="6" customWidth="1"/>
    <col min="8702" max="8702" width="13.5703125" style="6" customWidth="1"/>
    <col min="8703" max="8703" width="15.140625" style="6" customWidth="1"/>
    <col min="8704" max="8705" width="12.85546875" style="6" customWidth="1"/>
    <col min="8706" max="8706" width="12.5703125" style="6" customWidth="1"/>
    <col min="8707" max="8707" width="10.85546875" style="6" customWidth="1"/>
    <col min="8708" max="8710" width="14.5703125" style="6" customWidth="1"/>
    <col min="8711" max="8711" width="12.85546875" style="6" customWidth="1"/>
    <col min="8712" max="8956" width="9.140625" style="6"/>
    <col min="8957" max="8957" width="18.28515625" style="6" customWidth="1"/>
    <col min="8958" max="8958" width="13.5703125" style="6" customWidth="1"/>
    <col min="8959" max="8959" width="15.140625" style="6" customWidth="1"/>
    <col min="8960" max="8961" width="12.85546875" style="6" customWidth="1"/>
    <col min="8962" max="8962" width="12.5703125" style="6" customWidth="1"/>
    <col min="8963" max="8963" width="10.85546875" style="6" customWidth="1"/>
    <col min="8964" max="8966" width="14.5703125" style="6" customWidth="1"/>
    <col min="8967" max="8967" width="12.85546875" style="6" customWidth="1"/>
    <col min="8968" max="9212" width="9.140625" style="6"/>
    <col min="9213" max="9213" width="18.28515625" style="6" customWidth="1"/>
    <col min="9214" max="9214" width="13.5703125" style="6" customWidth="1"/>
    <col min="9215" max="9215" width="15.140625" style="6" customWidth="1"/>
    <col min="9216" max="9217" width="12.85546875" style="6" customWidth="1"/>
    <col min="9218" max="9218" width="12.5703125" style="6" customWidth="1"/>
    <col min="9219" max="9219" width="10.85546875" style="6" customWidth="1"/>
    <col min="9220" max="9222" width="14.5703125" style="6" customWidth="1"/>
    <col min="9223" max="9223" width="12.85546875" style="6" customWidth="1"/>
    <col min="9224" max="9468" width="9.140625" style="6"/>
    <col min="9469" max="9469" width="18.28515625" style="6" customWidth="1"/>
    <col min="9470" max="9470" width="13.5703125" style="6" customWidth="1"/>
    <col min="9471" max="9471" width="15.140625" style="6" customWidth="1"/>
    <col min="9472" max="9473" width="12.85546875" style="6" customWidth="1"/>
    <col min="9474" max="9474" width="12.5703125" style="6" customWidth="1"/>
    <col min="9475" max="9475" width="10.85546875" style="6" customWidth="1"/>
    <col min="9476" max="9478" width="14.5703125" style="6" customWidth="1"/>
    <col min="9479" max="9479" width="12.85546875" style="6" customWidth="1"/>
    <col min="9480" max="9724" width="9.140625" style="6"/>
    <col min="9725" max="9725" width="18.28515625" style="6" customWidth="1"/>
    <col min="9726" max="9726" width="13.5703125" style="6" customWidth="1"/>
    <col min="9727" max="9727" width="15.140625" style="6" customWidth="1"/>
    <col min="9728" max="9729" width="12.85546875" style="6" customWidth="1"/>
    <col min="9730" max="9730" width="12.5703125" style="6" customWidth="1"/>
    <col min="9731" max="9731" width="10.85546875" style="6" customWidth="1"/>
    <col min="9732" max="9734" width="14.5703125" style="6" customWidth="1"/>
    <col min="9735" max="9735" width="12.85546875" style="6" customWidth="1"/>
    <col min="9736" max="9980" width="9.140625" style="6"/>
    <col min="9981" max="9981" width="18.28515625" style="6" customWidth="1"/>
    <col min="9982" max="9982" width="13.5703125" style="6" customWidth="1"/>
    <col min="9983" max="9983" width="15.140625" style="6" customWidth="1"/>
    <col min="9984" max="9985" width="12.85546875" style="6" customWidth="1"/>
    <col min="9986" max="9986" width="12.5703125" style="6" customWidth="1"/>
    <col min="9987" max="9987" width="10.85546875" style="6" customWidth="1"/>
    <col min="9988" max="9990" width="14.5703125" style="6" customWidth="1"/>
    <col min="9991" max="9991" width="12.85546875" style="6" customWidth="1"/>
    <col min="9992" max="10236" width="9.140625" style="6"/>
    <col min="10237" max="10237" width="18.28515625" style="6" customWidth="1"/>
    <col min="10238" max="10238" width="13.5703125" style="6" customWidth="1"/>
    <col min="10239" max="10239" width="15.140625" style="6" customWidth="1"/>
    <col min="10240" max="10241" width="12.85546875" style="6" customWidth="1"/>
    <col min="10242" max="10242" width="12.5703125" style="6" customWidth="1"/>
    <col min="10243" max="10243" width="10.85546875" style="6" customWidth="1"/>
    <col min="10244" max="10246" width="14.5703125" style="6" customWidth="1"/>
    <col min="10247" max="10247" width="12.85546875" style="6" customWidth="1"/>
    <col min="10248" max="10492" width="9.140625" style="6"/>
    <col min="10493" max="10493" width="18.28515625" style="6" customWidth="1"/>
    <col min="10494" max="10494" width="13.5703125" style="6" customWidth="1"/>
    <col min="10495" max="10495" width="15.140625" style="6" customWidth="1"/>
    <col min="10496" max="10497" width="12.85546875" style="6" customWidth="1"/>
    <col min="10498" max="10498" width="12.5703125" style="6" customWidth="1"/>
    <col min="10499" max="10499" width="10.85546875" style="6" customWidth="1"/>
    <col min="10500" max="10502" width="14.5703125" style="6" customWidth="1"/>
    <col min="10503" max="10503" width="12.85546875" style="6" customWidth="1"/>
    <col min="10504" max="10748" width="9.140625" style="6"/>
    <col min="10749" max="10749" width="18.28515625" style="6" customWidth="1"/>
    <col min="10750" max="10750" width="13.5703125" style="6" customWidth="1"/>
    <col min="10751" max="10751" width="15.140625" style="6" customWidth="1"/>
    <col min="10752" max="10753" width="12.85546875" style="6" customWidth="1"/>
    <col min="10754" max="10754" width="12.5703125" style="6" customWidth="1"/>
    <col min="10755" max="10755" width="10.85546875" style="6" customWidth="1"/>
    <col min="10756" max="10758" width="14.5703125" style="6" customWidth="1"/>
    <col min="10759" max="10759" width="12.85546875" style="6" customWidth="1"/>
    <col min="10760" max="11004" width="9.140625" style="6"/>
    <col min="11005" max="11005" width="18.28515625" style="6" customWidth="1"/>
    <col min="11006" max="11006" width="13.5703125" style="6" customWidth="1"/>
    <col min="11007" max="11007" width="15.140625" style="6" customWidth="1"/>
    <col min="11008" max="11009" width="12.85546875" style="6" customWidth="1"/>
    <col min="11010" max="11010" width="12.5703125" style="6" customWidth="1"/>
    <col min="11011" max="11011" width="10.85546875" style="6" customWidth="1"/>
    <col min="11012" max="11014" width="14.5703125" style="6" customWidth="1"/>
    <col min="11015" max="11015" width="12.85546875" style="6" customWidth="1"/>
    <col min="11016" max="11260" width="9.140625" style="6"/>
    <col min="11261" max="11261" width="18.28515625" style="6" customWidth="1"/>
    <col min="11262" max="11262" width="13.5703125" style="6" customWidth="1"/>
    <col min="11263" max="11263" width="15.140625" style="6" customWidth="1"/>
    <col min="11264" max="11265" width="12.85546875" style="6" customWidth="1"/>
    <col min="11266" max="11266" width="12.5703125" style="6" customWidth="1"/>
    <col min="11267" max="11267" width="10.85546875" style="6" customWidth="1"/>
    <col min="11268" max="11270" width="14.5703125" style="6" customWidth="1"/>
    <col min="11271" max="11271" width="12.85546875" style="6" customWidth="1"/>
    <col min="11272" max="11516" width="9.140625" style="6"/>
    <col min="11517" max="11517" width="18.28515625" style="6" customWidth="1"/>
    <col min="11518" max="11518" width="13.5703125" style="6" customWidth="1"/>
    <col min="11519" max="11519" width="15.140625" style="6" customWidth="1"/>
    <col min="11520" max="11521" width="12.85546875" style="6" customWidth="1"/>
    <col min="11522" max="11522" width="12.5703125" style="6" customWidth="1"/>
    <col min="11523" max="11523" width="10.85546875" style="6" customWidth="1"/>
    <col min="11524" max="11526" width="14.5703125" style="6" customWidth="1"/>
    <col min="11527" max="11527" width="12.85546875" style="6" customWidth="1"/>
    <col min="11528" max="11772" width="9.140625" style="6"/>
    <col min="11773" max="11773" width="18.28515625" style="6" customWidth="1"/>
    <col min="11774" max="11774" width="13.5703125" style="6" customWidth="1"/>
    <col min="11775" max="11775" width="15.140625" style="6" customWidth="1"/>
    <col min="11776" max="11777" width="12.85546875" style="6" customWidth="1"/>
    <col min="11778" max="11778" width="12.5703125" style="6" customWidth="1"/>
    <col min="11779" max="11779" width="10.85546875" style="6" customWidth="1"/>
    <col min="11780" max="11782" width="14.5703125" style="6" customWidth="1"/>
    <col min="11783" max="11783" width="12.85546875" style="6" customWidth="1"/>
    <col min="11784" max="12028" width="9.140625" style="6"/>
    <col min="12029" max="12029" width="18.28515625" style="6" customWidth="1"/>
    <col min="12030" max="12030" width="13.5703125" style="6" customWidth="1"/>
    <col min="12031" max="12031" width="15.140625" style="6" customWidth="1"/>
    <col min="12032" max="12033" width="12.85546875" style="6" customWidth="1"/>
    <col min="12034" max="12034" width="12.5703125" style="6" customWidth="1"/>
    <col min="12035" max="12035" width="10.85546875" style="6" customWidth="1"/>
    <col min="12036" max="12038" width="14.5703125" style="6" customWidth="1"/>
    <col min="12039" max="12039" width="12.85546875" style="6" customWidth="1"/>
    <col min="12040" max="12284" width="9.140625" style="6"/>
    <col min="12285" max="12285" width="18.28515625" style="6" customWidth="1"/>
    <col min="12286" max="12286" width="13.5703125" style="6" customWidth="1"/>
    <col min="12287" max="12287" width="15.140625" style="6" customWidth="1"/>
    <col min="12288" max="12289" width="12.85546875" style="6" customWidth="1"/>
    <col min="12290" max="12290" width="12.5703125" style="6" customWidth="1"/>
    <col min="12291" max="12291" width="10.85546875" style="6" customWidth="1"/>
    <col min="12292" max="12294" width="14.5703125" style="6" customWidth="1"/>
    <col min="12295" max="12295" width="12.85546875" style="6" customWidth="1"/>
    <col min="12296" max="12540" width="9.140625" style="6"/>
    <col min="12541" max="12541" width="18.28515625" style="6" customWidth="1"/>
    <col min="12542" max="12542" width="13.5703125" style="6" customWidth="1"/>
    <col min="12543" max="12543" width="15.140625" style="6" customWidth="1"/>
    <col min="12544" max="12545" width="12.85546875" style="6" customWidth="1"/>
    <col min="12546" max="12546" width="12.5703125" style="6" customWidth="1"/>
    <col min="12547" max="12547" width="10.85546875" style="6" customWidth="1"/>
    <col min="12548" max="12550" width="14.5703125" style="6" customWidth="1"/>
    <col min="12551" max="12551" width="12.85546875" style="6" customWidth="1"/>
    <col min="12552" max="12796" width="9.140625" style="6"/>
    <col min="12797" max="12797" width="18.28515625" style="6" customWidth="1"/>
    <col min="12798" max="12798" width="13.5703125" style="6" customWidth="1"/>
    <col min="12799" max="12799" width="15.140625" style="6" customWidth="1"/>
    <col min="12800" max="12801" width="12.85546875" style="6" customWidth="1"/>
    <col min="12802" max="12802" width="12.5703125" style="6" customWidth="1"/>
    <col min="12803" max="12803" width="10.85546875" style="6" customWidth="1"/>
    <col min="12804" max="12806" width="14.5703125" style="6" customWidth="1"/>
    <col min="12807" max="12807" width="12.85546875" style="6" customWidth="1"/>
    <col min="12808" max="13052" width="9.140625" style="6"/>
    <col min="13053" max="13053" width="18.28515625" style="6" customWidth="1"/>
    <col min="13054" max="13054" width="13.5703125" style="6" customWidth="1"/>
    <col min="13055" max="13055" width="15.140625" style="6" customWidth="1"/>
    <col min="13056" max="13057" width="12.85546875" style="6" customWidth="1"/>
    <col min="13058" max="13058" width="12.5703125" style="6" customWidth="1"/>
    <col min="13059" max="13059" width="10.85546875" style="6" customWidth="1"/>
    <col min="13060" max="13062" width="14.5703125" style="6" customWidth="1"/>
    <col min="13063" max="13063" width="12.85546875" style="6" customWidth="1"/>
    <col min="13064" max="13308" width="9.140625" style="6"/>
    <col min="13309" max="13309" width="18.28515625" style="6" customWidth="1"/>
    <col min="13310" max="13310" width="13.5703125" style="6" customWidth="1"/>
    <col min="13311" max="13311" width="15.140625" style="6" customWidth="1"/>
    <col min="13312" max="13313" width="12.85546875" style="6" customWidth="1"/>
    <col min="13314" max="13314" width="12.5703125" style="6" customWidth="1"/>
    <col min="13315" max="13315" width="10.85546875" style="6" customWidth="1"/>
    <col min="13316" max="13318" width="14.5703125" style="6" customWidth="1"/>
    <col min="13319" max="13319" width="12.85546875" style="6" customWidth="1"/>
    <col min="13320" max="13564" width="9.140625" style="6"/>
    <col min="13565" max="13565" width="18.28515625" style="6" customWidth="1"/>
    <col min="13566" max="13566" width="13.5703125" style="6" customWidth="1"/>
    <col min="13567" max="13567" width="15.140625" style="6" customWidth="1"/>
    <col min="13568" max="13569" width="12.85546875" style="6" customWidth="1"/>
    <col min="13570" max="13570" width="12.5703125" style="6" customWidth="1"/>
    <col min="13571" max="13571" width="10.85546875" style="6" customWidth="1"/>
    <col min="13572" max="13574" width="14.5703125" style="6" customWidth="1"/>
    <col min="13575" max="13575" width="12.85546875" style="6" customWidth="1"/>
    <col min="13576" max="13820" width="9.140625" style="6"/>
    <col min="13821" max="13821" width="18.28515625" style="6" customWidth="1"/>
    <col min="13822" max="13822" width="13.5703125" style="6" customWidth="1"/>
    <col min="13823" max="13823" width="15.140625" style="6" customWidth="1"/>
    <col min="13824" max="13825" width="12.85546875" style="6" customWidth="1"/>
    <col min="13826" max="13826" width="12.5703125" style="6" customWidth="1"/>
    <col min="13827" max="13827" width="10.85546875" style="6" customWidth="1"/>
    <col min="13828" max="13830" width="14.5703125" style="6" customWidth="1"/>
    <col min="13831" max="13831" width="12.85546875" style="6" customWidth="1"/>
    <col min="13832" max="14076" width="9.140625" style="6"/>
    <col min="14077" max="14077" width="18.28515625" style="6" customWidth="1"/>
    <col min="14078" max="14078" width="13.5703125" style="6" customWidth="1"/>
    <col min="14079" max="14079" width="15.140625" style="6" customWidth="1"/>
    <col min="14080" max="14081" width="12.85546875" style="6" customWidth="1"/>
    <col min="14082" max="14082" width="12.5703125" style="6" customWidth="1"/>
    <col min="14083" max="14083" width="10.85546875" style="6" customWidth="1"/>
    <col min="14084" max="14086" width="14.5703125" style="6" customWidth="1"/>
    <col min="14087" max="14087" width="12.85546875" style="6" customWidth="1"/>
    <col min="14088" max="14332" width="9.140625" style="6"/>
    <col min="14333" max="14333" width="18.28515625" style="6" customWidth="1"/>
    <col min="14334" max="14334" width="13.5703125" style="6" customWidth="1"/>
    <col min="14335" max="14335" width="15.140625" style="6" customWidth="1"/>
    <col min="14336" max="14337" width="12.85546875" style="6" customWidth="1"/>
    <col min="14338" max="14338" width="12.5703125" style="6" customWidth="1"/>
    <col min="14339" max="14339" width="10.85546875" style="6" customWidth="1"/>
    <col min="14340" max="14342" width="14.5703125" style="6" customWidth="1"/>
    <col min="14343" max="14343" width="12.85546875" style="6" customWidth="1"/>
    <col min="14344" max="14588" width="9.140625" style="6"/>
    <col min="14589" max="14589" width="18.28515625" style="6" customWidth="1"/>
    <col min="14590" max="14590" width="13.5703125" style="6" customWidth="1"/>
    <col min="14591" max="14591" width="15.140625" style="6" customWidth="1"/>
    <col min="14592" max="14593" width="12.85546875" style="6" customWidth="1"/>
    <col min="14594" max="14594" width="12.5703125" style="6" customWidth="1"/>
    <col min="14595" max="14595" width="10.85546875" style="6" customWidth="1"/>
    <col min="14596" max="14598" width="14.5703125" style="6" customWidth="1"/>
    <col min="14599" max="14599" width="12.85546875" style="6" customWidth="1"/>
    <col min="14600" max="14844" width="9.140625" style="6"/>
    <col min="14845" max="14845" width="18.28515625" style="6" customWidth="1"/>
    <col min="14846" max="14846" width="13.5703125" style="6" customWidth="1"/>
    <col min="14847" max="14847" width="15.140625" style="6" customWidth="1"/>
    <col min="14848" max="14849" width="12.85546875" style="6" customWidth="1"/>
    <col min="14850" max="14850" width="12.5703125" style="6" customWidth="1"/>
    <col min="14851" max="14851" width="10.85546875" style="6" customWidth="1"/>
    <col min="14852" max="14854" width="14.5703125" style="6" customWidth="1"/>
    <col min="14855" max="14855" width="12.85546875" style="6" customWidth="1"/>
    <col min="14856" max="15100" width="9.140625" style="6"/>
    <col min="15101" max="15101" width="18.28515625" style="6" customWidth="1"/>
    <col min="15102" max="15102" width="13.5703125" style="6" customWidth="1"/>
    <col min="15103" max="15103" width="15.140625" style="6" customWidth="1"/>
    <col min="15104" max="15105" width="12.85546875" style="6" customWidth="1"/>
    <col min="15106" max="15106" width="12.5703125" style="6" customWidth="1"/>
    <col min="15107" max="15107" width="10.85546875" style="6" customWidth="1"/>
    <col min="15108" max="15110" width="14.5703125" style="6" customWidth="1"/>
    <col min="15111" max="15111" width="12.85546875" style="6" customWidth="1"/>
    <col min="15112" max="15356" width="9.140625" style="6"/>
    <col min="15357" max="15357" width="18.28515625" style="6" customWidth="1"/>
    <col min="15358" max="15358" width="13.5703125" style="6" customWidth="1"/>
    <col min="15359" max="15359" width="15.140625" style="6" customWidth="1"/>
    <col min="15360" max="15361" width="12.85546875" style="6" customWidth="1"/>
    <col min="15362" max="15362" width="12.5703125" style="6" customWidth="1"/>
    <col min="15363" max="15363" width="10.85546875" style="6" customWidth="1"/>
    <col min="15364" max="15366" width="14.5703125" style="6" customWidth="1"/>
    <col min="15367" max="15367" width="12.85546875" style="6" customWidth="1"/>
    <col min="15368" max="15612" width="9.140625" style="6"/>
    <col min="15613" max="15613" width="18.28515625" style="6" customWidth="1"/>
    <col min="15614" max="15614" width="13.5703125" style="6" customWidth="1"/>
    <col min="15615" max="15615" width="15.140625" style="6" customWidth="1"/>
    <col min="15616" max="15617" width="12.85546875" style="6" customWidth="1"/>
    <col min="15618" max="15618" width="12.5703125" style="6" customWidth="1"/>
    <col min="15619" max="15619" width="10.85546875" style="6" customWidth="1"/>
    <col min="15620" max="15622" width="14.5703125" style="6" customWidth="1"/>
    <col min="15623" max="15623" width="12.85546875" style="6" customWidth="1"/>
    <col min="15624" max="15868" width="9.140625" style="6"/>
    <col min="15869" max="15869" width="18.28515625" style="6" customWidth="1"/>
    <col min="15870" max="15870" width="13.5703125" style="6" customWidth="1"/>
    <col min="15871" max="15871" width="15.140625" style="6" customWidth="1"/>
    <col min="15872" max="15873" width="12.85546875" style="6" customWidth="1"/>
    <col min="15874" max="15874" width="12.5703125" style="6" customWidth="1"/>
    <col min="15875" max="15875" width="10.85546875" style="6" customWidth="1"/>
    <col min="15876" max="15878" width="14.5703125" style="6" customWidth="1"/>
    <col min="15879" max="15879" width="12.85546875" style="6" customWidth="1"/>
    <col min="15880" max="16124" width="9.140625" style="6"/>
    <col min="16125" max="16125" width="18.28515625" style="6" customWidth="1"/>
    <col min="16126" max="16126" width="13.5703125" style="6" customWidth="1"/>
    <col min="16127" max="16127" width="15.140625" style="6" customWidth="1"/>
    <col min="16128" max="16129" width="12.85546875" style="6" customWidth="1"/>
    <col min="16130" max="16130" width="12.5703125" style="6" customWidth="1"/>
    <col min="16131" max="16131" width="10.85546875" style="6" customWidth="1"/>
    <col min="16132" max="16134" width="14.5703125" style="6" customWidth="1"/>
    <col min="16135" max="16135" width="12.85546875" style="6" customWidth="1"/>
    <col min="16136" max="16384" width="9.140625" style="6"/>
  </cols>
  <sheetData>
    <row r="1" spans="1:10" ht="15.75">
      <c r="A1" s="208" t="str">
        <f xml:space="preserve"> "Psychological Therapies Waiting Times - Number of patients waiting at the end of the month by Health Board, "&amp;TEXT(A25,"mmm yyyy")&amp;" - "&amp;TEXT(A11,"mmm yyyy")</f>
        <v>Psychological Therapies Waiting Times - Number of patients waiting at the end of the month by Health Board, Apr 2020 - Jun 2021</v>
      </c>
      <c r="B1" s="210"/>
      <c r="C1" s="210"/>
      <c r="D1" s="210"/>
    </row>
    <row r="2" spans="1:10" ht="15.75">
      <c r="A2" s="209"/>
      <c r="B2" s="205"/>
      <c r="C2" s="205"/>
      <c r="D2" s="205"/>
    </row>
    <row r="3" spans="1:10">
      <c r="A3" s="456" t="s">
        <v>458</v>
      </c>
      <c r="B3" s="457"/>
      <c r="C3" s="457"/>
      <c r="D3" s="457"/>
      <c r="E3" s="65"/>
      <c r="F3" s="65"/>
      <c r="G3" s="65"/>
    </row>
    <row r="4" spans="1:10">
      <c r="A4" s="66" t="str">
        <f>"Number of patients waiting at the end of the month by Health Board, "&amp;TEXT(A25,"mmm yyyy")&amp;" - "&amp;TEXT(A11,"mmm yyyy")</f>
        <v>Number of patients waiting at the end of the month by Health Board, Apr 2020 - Jun 2021</v>
      </c>
      <c r="B4" s="65"/>
      <c r="C4" s="65"/>
      <c r="D4" s="65"/>
      <c r="E4" s="65"/>
      <c r="F4" s="65"/>
      <c r="G4" s="65"/>
    </row>
    <row r="5" spans="1:10">
      <c r="A5" s="199" t="s">
        <v>453</v>
      </c>
      <c r="B5" s="65"/>
      <c r="C5" s="65"/>
      <c r="D5" s="65"/>
      <c r="E5" s="65"/>
      <c r="F5" s="65"/>
      <c r="G5" s="65"/>
    </row>
    <row r="6" spans="1:10" ht="15.75" thickBot="1">
      <c r="A6" s="458"/>
      <c r="B6" s="458"/>
      <c r="C6" s="458"/>
      <c r="D6" s="458"/>
      <c r="E6" s="67"/>
      <c r="F6" s="67"/>
      <c r="G6" s="67"/>
    </row>
    <row r="7" spans="1:10" ht="15.75" thickBot="1">
      <c r="A7" s="6" t="s">
        <v>180</v>
      </c>
      <c r="B7" s="9"/>
      <c r="C7" s="471" t="str">
        <f>'3d'!C7:D7</f>
        <v>Scotland</v>
      </c>
      <c r="D7" s="472"/>
      <c r="E7" s="67"/>
      <c r="F7" s="67"/>
      <c r="G7" s="67"/>
    </row>
    <row r="8" spans="1:10">
      <c r="B8" s="33" t="s">
        <v>183</v>
      </c>
      <c r="C8" s="9"/>
      <c r="D8" s="9"/>
      <c r="E8" s="34"/>
      <c r="F8" s="34"/>
      <c r="G8" s="34"/>
      <c r="H8" s="28"/>
    </row>
    <row r="9" spans="1:10" ht="21.75" customHeight="1">
      <c r="A9" s="442" t="s">
        <v>31</v>
      </c>
      <c r="B9" s="444" t="s">
        <v>347</v>
      </c>
      <c r="C9" s="445" t="s">
        <v>193</v>
      </c>
      <c r="D9" s="446" t="s">
        <v>33</v>
      </c>
      <c r="E9" s="446"/>
      <c r="F9" s="449" t="s">
        <v>187</v>
      </c>
      <c r="G9" s="446"/>
      <c r="H9" s="20"/>
    </row>
    <row r="10" spans="1:10" ht="16.5" customHeight="1">
      <c r="A10" s="443"/>
      <c r="B10" s="473"/>
      <c r="C10" s="474"/>
      <c r="D10" s="71" t="s">
        <v>34</v>
      </c>
      <c r="E10" s="129" t="s">
        <v>362</v>
      </c>
      <c r="F10" s="72" t="s">
        <v>34</v>
      </c>
      <c r="G10" s="129" t="s">
        <v>362</v>
      </c>
      <c r="H10" s="93"/>
      <c r="I10" s="40"/>
    </row>
    <row r="11" spans="1:10">
      <c r="A11" s="160">
        <f>REPORT_raw_dataseen!R1</f>
        <v>44348</v>
      </c>
      <c r="B11" s="155" t="str">
        <f>IF(VLOOKUP($C$7,'Type of adjust'!$A$1:$P$17,MATCH($A11,'Type of adjust'!$A$1:$P$1,1),FALSE)="", "..", VLOOKUP($C$7,'Type of adjust'!$A$1:$P$17,MATCH($A11,'Type of adjust'!$A$1:$P$1,1),FALSE))</f>
        <v>..</v>
      </c>
      <c r="C11" s="11">
        <f>IF(VLOOKUP($C$7&amp;"Adjusted waiting over_65"&amp;$C$9,REPORT_raw_datawaiting!$A$1:$R$817,MATCH($A11,REPORT_raw_datawaiting!$D$1:$R$1,1)+3, FALSE)=0,"-",IF(VLOOKUP($C$7&amp;"Adjusted waiting over_65"&amp;$C$9,REPORT_raw_datawaiting!$A$1:$R$817,MATCH($A11,REPORT_raw_datawaiting!$D$1:$R$1,1)+3, FALSE)&lt;-13,"*",VLOOKUP($C$7&amp;"Adjusted waiting over_65"&amp;$C$9,REPORT_raw_datawaiting!$A$1:$R$817,MATCH($A11,REPORT_raw_datawaiting!$D$1:$R$1,1)+3, FALSE)))</f>
        <v>1136</v>
      </c>
      <c r="D11" s="11">
        <f>IF(C11="*","*",IF(VLOOKUP($C$7&amp;"Adjusted waiting over_65"&amp;$D$10,REPORT_raw_datawaiting!$A$1:$R$817,MATCH($A11,REPORT_raw_datawaiting!$D$1:$R$1,1)+3, FALSE)=0,"-",VLOOKUP($C$7&amp;"Adjusted waiting over_65"&amp;$D$10,REPORT_raw_datawaiting!$A$1:$R$817,MATCH($A11,REPORT_raw_datawaiting!$D$1:$R$1,1)+3, FALSE)))</f>
        <v>879</v>
      </c>
      <c r="E11" s="11">
        <f>IF(C11="*","*",IF(D11="-",C11, IF((C11-D11)=0, "-",C11-D11)))</f>
        <v>257</v>
      </c>
      <c r="F11" s="156">
        <f t="shared" ref="F11:G25" si="0">IF(D11="-","-",IF(D11="..","..",IF(D11=0,"-",IF((D11/$C11%)=0,"-",ROUND(D11/$C11%,2)))))</f>
        <v>77.38</v>
      </c>
      <c r="G11" s="156">
        <f t="shared" si="0"/>
        <v>22.62</v>
      </c>
      <c r="H11" s="94"/>
      <c r="I11" s="94"/>
      <c r="J11" s="94"/>
    </row>
    <row r="12" spans="1:10">
      <c r="A12" s="160">
        <f>DATE(YEAR(A11),MONTH(A11)-1,DAY(A11))</f>
        <v>44317</v>
      </c>
      <c r="B12" s="155" t="str">
        <f>IF(VLOOKUP($C$7,'Type of adjust'!$A$1:$P$17,MATCH($A12,'Type of adjust'!$A$1:$P$1,1),FALSE)="", "..", VLOOKUP($C$7,'Type of adjust'!$A$1:$P$17,MATCH($A12,'Type of adjust'!$A$1:$P$1,1),FALSE))</f>
        <v>..</v>
      </c>
      <c r="C12" s="11">
        <f>IF(VLOOKUP($C$7&amp;"Adjusted waiting over_65"&amp;$C$9,REPORT_raw_datawaiting!$A$1:$R$817,MATCH($A12,REPORT_raw_datawaiting!$D$1:$R$1,1)+3, FALSE)=0,"-",IF(VLOOKUP($C$7&amp;"Adjusted waiting over_65"&amp;$C$9,REPORT_raw_datawaiting!$A$1:$R$817,MATCH($A12,REPORT_raw_datawaiting!$D$1:$R$1,1)+3, FALSE)&lt;-6,"*",VLOOKUP($C$7&amp;"Adjusted waiting over_65"&amp;$C$9,REPORT_raw_datawaiting!$A$1:$R$817,MATCH($A12,REPORT_raw_datawaiting!$D$1:$R$1,1)+3, FALSE)))</f>
        <v>1023</v>
      </c>
      <c r="D12" s="11">
        <f>IF(C12="*","*",IF(VLOOKUP($C$7&amp;"Adjusted waiting over_65"&amp;$D$10,REPORT_raw_datawaiting!$A$1:$R$817,MATCH($A12,REPORT_raw_datawaiting!$D$1:$R$1,1)+3, FALSE)=0,"-",VLOOKUP($C$7&amp;"Adjusted waiting over_65"&amp;$D$10,REPORT_raw_datawaiting!$A$1:$R$817,MATCH($A12,REPORT_raw_datawaiting!$D$1:$R$1,1)+3, FALSE)))</f>
        <v>745</v>
      </c>
      <c r="E12" s="11">
        <f>IF(C12="..","..",IF(C12="*","*",IF(D12="-",C12, IF((C12-D12)=0, "-",C12-D12))))</f>
        <v>278</v>
      </c>
      <c r="F12" s="156">
        <f t="shared" si="0"/>
        <v>72.83</v>
      </c>
      <c r="G12" s="156">
        <f t="shared" si="0"/>
        <v>27.17</v>
      </c>
      <c r="H12" s="94"/>
      <c r="I12" s="94"/>
      <c r="J12" s="94"/>
    </row>
    <row r="13" spans="1:10">
      <c r="A13" s="160">
        <f>DATE(YEAR(A12),MONTH(A12)-1,DAY(A12))</f>
        <v>44287</v>
      </c>
      <c r="B13" s="155" t="str">
        <f>IF(VLOOKUP($C$7,'Type of adjust'!$A$1:$P$17,MATCH($A13,'Type of adjust'!$A$1:$P$1,1),FALSE)="", "..", VLOOKUP($C$7,'Type of adjust'!$A$1:$P$17,MATCH($A13,'Type of adjust'!$A$1:$P$1,1),FALSE))</f>
        <v>..</v>
      </c>
      <c r="C13" s="11">
        <f>IF(VLOOKUP($C$7&amp;"Adjusted waiting over_65"&amp;$C$9,REPORT_raw_datawaiting!$A$1:$R$817,MATCH($A13,REPORT_raw_datawaiting!$D$1:$R$1,1)+3, FALSE)=0,"-",IF(VLOOKUP($C$7&amp;"Adjusted waiting over_65"&amp;$C$9,REPORT_raw_datawaiting!$A$1:$R$817,MATCH($A13,REPORT_raw_datawaiting!$D$1:$R$1,1)+3, FALSE)&lt;-6,"*",VLOOKUP($C$7&amp;"Adjusted waiting over_65"&amp;$C$9,REPORT_raw_datawaiting!$A$1:$R$817,MATCH($A13,REPORT_raw_datawaiting!$D$1:$R$1,1)+3, FALSE)))</f>
        <v>966</v>
      </c>
      <c r="D13" s="11">
        <f>IF(C13="*","*",IF(VLOOKUP($C$7&amp;"Adjusted waiting over_65"&amp;$D$10,REPORT_raw_datawaiting!$A$1:$R$817,MATCH($A13,REPORT_raw_datawaiting!$D$1:$R$1,1)+3, FALSE)=0,"-",VLOOKUP($C$7&amp;"Adjusted waiting over_65"&amp;$D$10,REPORT_raw_datawaiting!$A$1:$R$817,MATCH($A13,REPORT_raw_datawaiting!$D$1:$R$1,1)+3, FALSE)))</f>
        <v>672</v>
      </c>
      <c r="E13" s="11">
        <f>IF(C13="*","*",IF(C13="..", "..",IF(D13="-",C13, IF((C13-D13)=0, "-",C13-D13))))</f>
        <v>294</v>
      </c>
      <c r="F13" s="156">
        <f t="shared" si="0"/>
        <v>69.569999999999993</v>
      </c>
      <c r="G13" s="156">
        <f t="shared" si="0"/>
        <v>30.43</v>
      </c>
      <c r="H13" s="94"/>
      <c r="I13" s="94"/>
      <c r="J13" s="94"/>
    </row>
    <row r="14" spans="1:10">
      <c r="A14" s="160">
        <f>DATE(YEAR(A13),MONTH(A13)-1,DAY(A13))</f>
        <v>44256</v>
      </c>
      <c r="B14" s="155" t="str">
        <f>IF(VLOOKUP($C$7,'Type of adjust'!$A$1:$P$17,MATCH($A14,'Type of adjust'!$A$1:$P$1,1),FALSE)="", "..", VLOOKUP($C$7,'Type of adjust'!$A$1:$P$17,MATCH($A14,'Type of adjust'!$A$1:$P$1,1),FALSE))</f>
        <v>..</v>
      </c>
      <c r="C14" s="11">
        <f>IF(VLOOKUP($C$7&amp;"Adjusted waiting over_65"&amp;$C$9,REPORT_raw_datawaiting!$A$1:$R$817,MATCH($A14,REPORT_raw_datawaiting!$D$1:$R$1,1)+3, FALSE)=0,"-",IF(VLOOKUP($C$7&amp;"Adjusted waiting over_65"&amp;$C$9,REPORT_raw_datawaiting!$A$1:$R$817,MATCH($A14,REPORT_raw_datawaiting!$D$1:$R$1,1)+3, FALSE)&lt;-6,"*",VLOOKUP($C$7&amp;"Adjusted waiting over_65"&amp;$C$9,REPORT_raw_datawaiting!$A$1:$R$817,MATCH($A14,REPORT_raw_datawaiting!$D$1:$R$1,1)+3, FALSE)))</f>
        <v>918</v>
      </c>
      <c r="D14" s="11">
        <f>IF(C14="*","*",IF(VLOOKUP($C$7&amp;"Adjusted waiting over_65"&amp;$D$10,REPORT_raw_datawaiting!$A$1:$R$817,MATCH($A14,REPORT_raw_datawaiting!$D$1:$R$1,1)+3, FALSE)=0,"-",VLOOKUP($C$7&amp;"Adjusted waiting over_65"&amp;$D$10,REPORT_raw_datawaiting!$A$1:$R$817,MATCH($A14,REPORT_raw_datawaiting!$D$1:$R$1,1)+3, FALSE)))</f>
        <v>649</v>
      </c>
      <c r="E14" s="11">
        <f t="shared" ref="E14:E25" si="1">IF(C14="*","*",IF(D14="-",C14, IF((C14-D14)=0, "-",C14-D14)))</f>
        <v>269</v>
      </c>
      <c r="F14" s="156">
        <f t="shared" si="0"/>
        <v>70.7</v>
      </c>
      <c r="G14" s="156">
        <f t="shared" si="0"/>
        <v>29.3</v>
      </c>
      <c r="H14" s="94"/>
      <c r="I14" s="94"/>
      <c r="J14" s="94"/>
    </row>
    <row r="15" spans="1:10">
      <c r="A15" s="160">
        <f>DATE(YEAR(A14),MONTH(A14)-1,DAY(A14))</f>
        <v>44228</v>
      </c>
      <c r="B15" s="155" t="str">
        <f>IF(VLOOKUP($C$7,'Type of adjust'!$A$1:$P$17,MATCH($A15,'Type of adjust'!$A$1:$P$1,1),FALSE)="", "..", VLOOKUP($C$7,'Type of adjust'!$A$1:$P$17,MATCH($A15,'Type of adjust'!$A$1:$P$1,1),FALSE))</f>
        <v>..</v>
      </c>
      <c r="C15" s="11">
        <f>IF(VLOOKUP($C$7&amp;"Adjusted waiting over_65"&amp;$C$9,REPORT_raw_datawaiting!$A$1:$R$817,MATCH($A15,REPORT_raw_datawaiting!$D$1:$R$1,1)+3, FALSE)=0,"-",IF(VLOOKUP($C$7&amp;"Adjusted waiting over_65"&amp;$C$9,REPORT_raw_datawaiting!$A$1:$R$817,MATCH($A15,REPORT_raw_datawaiting!$D$1:$R$1,1)+3, FALSE)&lt;-6,"*",VLOOKUP($C$7&amp;"Adjusted waiting over_65"&amp;$C$9,REPORT_raw_datawaiting!$A$1:$R$817,MATCH($A15,REPORT_raw_datawaiting!$D$1:$R$1,1)+3, FALSE)))</f>
        <v>850</v>
      </c>
      <c r="D15" s="11">
        <f>IF(C15="*","*",IF(VLOOKUP($C$7&amp;"Adjusted waiting over_65"&amp;$D$10,REPORT_raw_datawaiting!$A$1:$R$817,MATCH($A15,REPORT_raw_datawaiting!$D$1:$R$1,1)+3, FALSE)=0,"-",VLOOKUP($C$7&amp;"Adjusted waiting over_65"&amp;$D$10,REPORT_raw_datawaiting!$A$1:$R$817,MATCH($A15,REPORT_raw_datawaiting!$D$1:$R$1,1)+3, FALSE)))</f>
        <v>582</v>
      </c>
      <c r="E15" s="11">
        <f t="shared" si="1"/>
        <v>268</v>
      </c>
      <c r="F15" s="156">
        <f t="shared" si="0"/>
        <v>68.47</v>
      </c>
      <c r="G15" s="156">
        <f t="shared" si="0"/>
        <v>31.53</v>
      </c>
      <c r="H15" s="94"/>
      <c r="I15" s="94"/>
      <c r="J15" s="94"/>
    </row>
    <row r="16" spans="1:10">
      <c r="A16" s="160">
        <f>DATE(YEAR(A15),MONTH(A15)-1,DAY(A15))</f>
        <v>44197</v>
      </c>
      <c r="B16" s="155" t="str">
        <f>IF(VLOOKUP($C$7,'Type of adjust'!$A$1:$P$17,MATCH($A16,'Type of adjust'!$A$1:$P$1,1),FALSE)="", "..", VLOOKUP($C$7,'Type of adjust'!$A$1:$P$17,MATCH($A16,'Type of adjust'!$A$1:$P$1,1),FALSE))</f>
        <v>..</v>
      </c>
      <c r="C16" s="11">
        <f>IF(VLOOKUP($C$7&amp;"Adjusted waiting over_65"&amp;$C$9,REPORT_raw_datawaiting!$A$1:$R$817,MATCH($A16,REPORT_raw_datawaiting!$D$1:$R$1,1)+3, FALSE)=0,"-",IF(VLOOKUP($C$7&amp;"Adjusted waiting over_65"&amp;$C$9,REPORT_raw_datawaiting!$A$1:$R$817,MATCH($A16,REPORT_raw_datawaiting!$D$1:$R$1,1)+3, FALSE)&lt;-23,"*",VLOOKUP($C$7&amp;"Adjusted waiting over_65"&amp;$C$9,REPORT_raw_datawaiting!$A$1:$R$817,MATCH($A16,REPORT_raw_datawaiting!$D$1:$R$1,1)+3, FALSE)))</f>
        <v>826</v>
      </c>
      <c r="D16" s="11">
        <f>IF(C16="*","*",IF(VLOOKUP($C$7&amp;"Adjusted waiting over_65"&amp;$D$10,REPORT_raw_datawaiting!$A$1:$R$817,MATCH($A16,REPORT_raw_datawaiting!$D$1:$R$1,1)+3, FALSE)=0,"-",VLOOKUP($C$7&amp;"Adjusted waiting over_65"&amp;$D$10,REPORT_raw_datawaiting!$A$1:$R$817,MATCH($A16,REPORT_raw_datawaiting!$D$1:$R$1,1)+3, FALSE)))</f>
        <v>543</v>
      </c>
      <c r="E16" s="11">
        <f>IF(C16="..","..",IF(C16="*","*",IF(D16="-",C16, IF((C16-D16)=0, "-",C16-D16))))</f>
        <v>283</v>
      </c>
      <c r="F16" s="156">
        <f t="shared" si="0"/>
        <v>65.739999999999995</v>
      </c>
      <c r="G16" s="156">
        <f t="shared" si="0"/>
        <v>34.26</v>
      </c>
      <c r="H16" s="94"/>
      <c r="I16" s="94"/>
      <c r="J16" s="94"/>
    </row>
    <row r="17" spans="1:10">
      <c r="A17" s="160">
        <f t="shared" ref="A17:A25" si="2">DATE(YEAR(A16),MONTH(A16)-1,DAY(A16))</f>
        <v>44166</v>
      </c>
      <c r="B17" s="155" t="str">
        <f>IF(VLOOKUP($C$7,'Type of adjust'!$A$1:$P$17,MATCH($A17,'Type of adjust'!$A$1:$P$1,1),FALSE)="", "..", VLOOKUP($C$7,'Type of adjust'!$A$1:$P$17,MATCH($A17,'Type of adjust'!$A$1:$P$1,1),FALSE))</f>
        <v>..</v>
      </c>
      <c r="C17" s="11">
        <f>IF(VLOOKUP($C$7&amp;"Adjusted waiting over_65"&amp;$C$9,REPORT_raw_datawaiting!$A$1:$R$817,MATCH($A17,REPORT_raw_datawaiting!$D$1:$R$1,1)+3, FALSE)=0,"-",IF(VLOOKUP($C$7&amp;"Adjusted waiting over_65"&amp;$C$9,REPORT_raw_datawaiting!$A$1:$R$817,MATCH($A17,REPORT_raw_datawaiting!$D$1:$R$1,1)+3, FALSE)&lt;-6,"*",VLOOKUP($C$7&amp;"Adjusted waiting over_65"&amp;$C$9,REPORT_raw_datawaiting!$A$1:$R$817,MATCH($A17,REPORT_raw_datawaiting!$D$1:$R$1,1)+3, FALSE)))</f>
        <v>903</v>
      </c>
      <c r="D17" s="11">
        <f>IF(C17="*","*",IF(VLOOKUP($C$7&amp;"Adjusted waiting over_65"&amp;$D$10,REPORT_raw_datawaiting!$A$1:$R$817,MATCH($A17,REPORT_raw_datawaiting!$D$1:$R$1,1)+3, FALSE)=0,"-",VLOOKUP($C$7&amp;"Adjusted waiting over_65"&amp;$D$10,REPORT_raw_datawaiting!$A$1:$R$817,MATCH($A17,REPORT_raw_datawaiting!$D$1:$R$1,1)+3, FALSE)))</f>
        <v>578</v>
      </c>
      <c r="E17" s="11">
        <f t="shared" si="1"/>
        <v>325</v>
      </c>
      <c r="F17" s="156">
        <f t="shared" si="0"/>
        <v>64.010000000000005</v>
      </c>
      <c r="G17" s="156">
        <f t="shared" si="0"/>
        <v>35.99</v>
      </c>
      <c r="H17" s="94"/>
      <c r="I17" s="94"/>
      <c r="J17" s="94"/>
    </row>
    <row r="18" spans="1:10">
      <c r="A18" s="160">
        <f t="shared" si="2"/>
        <v>44136</v>
      </c>
      <c r="B18" s="155" t="str">
        <f>IF(VLOOKUP($C$7,'Type of adjust'!$A$1:$P$17,MATCH($A18,'Type of adjust'!$A$1:$P$1,1),FALSE)="", "..", VLOOKUP($C$7,'Type of adjust'!$A$1:$P$17,MATCH($A18,'Type of adjust'!$A$1:$P$1,1),FALSE))</f>
        <v>..</v>
      </c>
      <c r="C18" s="11">
        <f>IF(VLOOKUP($C$7&amp;"Adjusted waiting over_65"&amp;$C$9,REPORT_raw_datawaiting!$A$1:$R$817,MATCH($A18,REPORT_raw_datawaiting!$D$1:$R$1,1)+3, FALSE)=0,"-",IF(VLOOKUP($C$7&amp;"Adjusted waiting over_65"&amp;$C$9,REPORT_raw_datawaiting!$A$1:$R$817,MATCH($A18,REPORT_raw_datawaiting!$D$1:$R$1,1)+3, FALSE)&lt;-21,"*",VLOOKUP($C$7&amp;"Adjusted waiting over_65"&amp;$C$9,REPORT_raw_datawaiting!$A$1:$R$817,MATCH($A18,REPORT_raw_datawaiting!$D$1:$R$1,1)+3, FALSE)))</f>
        <v>963</v>
      </c>
      <c r="D18" s="11">
        <f>IF(C18="*","*",IF(VLOOKUP($C$7&amp;"Adjusted waiting over_65"&amp;$D$10,REPORT_raw_datawaiting!$A$1:$R$817,MATCH($A18,REPORT_raw_datawaiting!$D$1:$R$1,1)+3, FALSE)=0,"-",VLOOKUP($C$7&amp;"Adjusted waiting over_65"&amp;$D$10,REPORT_raw_datawaiting!$A$1:$R$817,MATCH($A18,REPORT_raw_datawaiting!$D$1:$R$1,1)+3, FALSE)))</f>
        <v>587</v>
      </c>
      <c r="E18" s="11">
        <f t="shared" si="1"/>
        <v>376</v>
      </c>
      <c r="F18" s="156">
        <f t="shared" si="0"/>
        <v>60.96</v>
      </c>
      <c r="G18" s="156">
        <f t="shared" si="0"/>
        <v>39.04</v>
      </c>
      <c r="H18" s="94"/>
      <c r="I18" s="94"/>
      <c r="J18" s="94"/>
    </row>
    <row r="19" spans="1:10">
      <c r="A19" s="160">
        <f t="shared" si="2"/>
        <v>44105</v>
      </c>
      <c r="B19" s="155" t="str">
        <f>IF(VLOOKUP($C$7,'Type of adjust'!$A$1:$P$17,MATCH($A19,'Type of adjust'!$A$1:$P$1,1),FALSE)="", "..", VLOOKUP($C$7,'Type of adjust'!$A$1:$P$17,MATCH($A19,'Type of adjust'!$A$1:$P$1,1),FALSE))</f>
        <v>..</v>
      </c>
      <c r="C19" s="11">
        <f>IF(VLOOKUP($C$7&amp;"Adjusted waiting over_65"&amp;$C$9,REPORT_raw_datawaiting!$A$1:$R$817,MATCH($A19,REPORT_raw_datawaiting!$D$1:$R$1,1)+3, FALSE)=0,"-",IF(VLOOKUP($C$7&amp;"Adjusted waiting over_65"&amp;$C$9,REPORT_raw_datawaiting!$A$1:$R$817,MATCH($A19,REPORT_raw_datawaiting!$D$1:$R$1,1)+3, FALSE)&lt;-6,"*",VLOOKUP($C$7&amp;"Adjusted waiting over_65"&amp;$C$9,REPORT_raw_datawaiting!$A$1:$R$817,MATCH($A19,REPORT_raw_datawaiting!$D$1:$R$1,1)+3, FALSE)))</f>
        <v>1075</v>
      </c>
      <c r="D19" s="11">
        <f>IF(C19="*","*",IF(VLOOKUP($C$7&amp;"Adjusted waiting over_65"&amp;$D$10,REPORT_raw_datawaiting!$A$1:$R$817,MATCH($A19,REPORT_raw_datawaiting!$D$1:$R$1,1)+3, FALSE)=0,"-",VLOOKUP($C$7&amp;"Adjusted waiting over_65"&amp;$D$10,REPORT_raw_datawaiting!$A$1:$R$817,MATCH($A19,REPORT_raw_datawaiting!$D$1:$R$1,1)+3, FALSE)))</f>
        <v>601</v>
      </c>
      <c r="E19" s="11">
        <f t="shared" si="1"/>
        <v>474</v>
      </c>
      <c r="F19" s="156">
        <f t="shared" si="0"/>
        <v>55.91</v>
      </c>
      <c r="G19" s="156">
        <f t="shared" si="0"/>
        <v>44.09</v>
      </c>
      <c r="H19" s="94"/>
      <c r="I19" s="94"/>
      <c r="J19" s="94"/>
    </row>
    <row r="20" spans="1:10">
      <c r="A20" s="160">
        <f t="shared" si="2"/>
        <v>44075</v>
      </c>
      <c r="B20" s="155" t="str">
        <f>IF(VLOOKUP($C$7,'Type of adjust'!$A$1:$P$17,MATCH($A20,'Type of adjust'!$A$1:$P$1,1),FALSE)="", "..", VLOOKUP($C$7,'Type of adjust'!$A$1:$P$17,MATCH($A20,'Type of adjust'!$A$1:$P$1,1),FALSE))</f>
        <v>..</v>
      </c>
      <c r="C20" s="11">
        <f>IF(VLOOKUP($C$7&amp;"Adjusted waiting over_65"&amp;$C$9,REPORT_raw_datawaiting!$A$1:$R$817,MATCH($A20,REPORT_raw_datawaiting!$D$1:$R$1,1)+3, FALSE)=0,"-",IF(VLOOKUP($C$7&amp;"Adjusted waiting over_65"&amp;$C$9,REPORT_raw_datawaiting!$A$1:$R$817,MATCH($A20,REPORT_raw_datawaiting!$D$1:$R$1,1)+3, FALSE)&lt;-6,"*",VLOOKUP($C$7&amp;"Adjusted waiting over_65"&amp;$C$9,REPORT_raw_datawaiting!$A$1:$R$817,MATCH($A20,REPORT_raw_datawaiting!$D$1:$R$1,1)+3, FALSE)))</f>
        <v>1054</v>
      </c>
      <c r="D20" s="11">
        <f>IF(C20="*","*",IF(VLOOKUP($C$7&amp;"Adjusted waiting over_65"&amp;$D$10,REPORT_raw_datawaiting!$A$1:$R$817,MATCH($A20,REPORT_raw_datawaiting!$D$1:$R$1,1)+3, FALSE)=0,"-",VLOOKUP($C$7&amp;"Adjusted waiting over_65"&amp;$D$10,REPORT_raw_datawaiting!$A$1:$R$817,MATCH($A20,REPORT_raw_datawaiting!$D$1:$R$1,1)+3, FALSE)))</f>
        <v>541</v>
      </c>
      <c r="E20" s="11">
        <f t="shared" si="1"/>
        <v>513</v>
      </c>
      <c r="F20" s="156">
        <f t="shared" si="0"/>
        <v>51.33</v>
      </c>
      <c r="G20" s="156">
        <f t="shared" si="0"/>
        <v>48.67</v>
      </c>
      <c r="H20" s="94"/>
      <c r="I20" s="94"/>
      <c r="J20" s="94"/>
    </row>
    <row r="21" spans="1:10">
      <c r="A21" s="160">
        <f t="shared" si="2"/>
        <v>44044</v>
      </c>
      <c r="B21" s="155" t="str">
        <f>IF(VLOOKUP($C$7,'Type of adjust'!$A$1:$P$17,MATCH($A21,'Type of adjust'!$A$1:$P$1,1),FALSE)="", "..", VLOOKUP($C$7,'Type of adjust'!$A$1:$P$17,MATCH($A21,'Type of adjust'!$A$1:$P$1,1),FALSE))</f>
        <v>..</v>
      </c>
      <c r="C21" s="11">
        <f>IF(VLOOKUP($C$7&amp;"Adjusted waiting over_65"&amp;$C$9,REPORT_raw_datawaiting!$A$1:$R$817,MATCH($A21,REPORT_raw_datawaiting!$D$1:$R$1,1)+3, FALSE)=0,"-",IF(VLOOKUP($C$7&amp;"Adjusted waiting over_65"&amp;$C$9,REPORT_raw_datawaiting!$A$1:$R$817,MATCH($A21,REPORT_raw_datawaiting!$D$1:$R$1,1)+3, FALSE)&lt;-6,"*",VLOOKUP($C$7&amp;"Adjusted waiting over_65"&amp;$C$9,REPORT_raw_datawaiting!$A$1:$R$817,MATCH($A21,REPORT_raw_datawaiting!$D$1:$R$1,1)+3, FALSE)))</f>
        <v>1012</v>
      </c>
      <c r="D21" s="11">
        <f>IF(C21="*","*",IF(VLOOKUP($C$7&amp;"Adjusted waiting over_65"&amp;$D$10,REPORT_raw_datawaiting!$A$1:$R$817,MATCH($A21,REPORT_raw_datawaiting!$D$1:$R$1,1)+3, FALSE)=0,"-",VLOOKUP($C$7&amp;"Adjusted waiting over_65"&amp;$D$10,REPORT_raw_datawaiting!$A$1:$R$817,MATCH($A21,REPORT_raw_datawaiting!$D$1:$R$1,1)+3, FALSE)))</f>
        <v>457</v>
      </c>
      <c r="E21" s="11">
        <f t="shared" si="1"/>
        <v>555</v>
      </c>
      <c r="F21" s="156">
        <f t="shared" si="0"/>
        <v>45.16</v>
      </c>
      <c r="G21" s="156">
        <f t="shared" si="0"/>
        <v>54.84</v>
      </c>
      <c r="H21" s="94"/>
      <c r="I21" s="94"/>
      <c r="J21" s="94"/>
    </row>
    <row r="22" spans="1:10">
      <c r="A22" s="160">
        <f t="shared" si="2"/>
        <v>44013</v>
      </c>
      <c r="B22" s="155" t="str">
        <f>IF(VLOOKUP($C$7,'Type of adjust'!$A$1:$P$17,MATCH($A22,'Type of adjust'!$A$1:$P$1,1),FALSE)="", "..", VLOOKUP($C$7,'Type of adjust'!$A$1:$P$17,MATCH($A22,'Type of adjust'!$A$1:$P$1,1),FALSE))</f>
        <v>..</v>
      </c>
      <c r="C22" s="11">
        <f>IF(VLOOKUP($C$7&amp;"Adjusted waiting over_65"&amp;$C$9,REPORT_raw_datawaiting!$A$1:$R$817,MATCH($A22,REPORT_raw_datawaiting!$D$1:$R$1,1)+3, FALSE)=0,"-",IF(VLOOKUP($C$7&amp;"Adjusted waiting over_65"&amp;$C$9,REPORT_raw_datawaiting!$A$1:$R$817,MATCH($A22,REPORT_raw_datawaiting!$D$1:$R$1,1)+3, FALSE)&lt;-6,"*",VLOOKUP($C$7&amp;"Adjusted waiting over_65"&amp;$C$9,REPORT_raw_datawaiting!$A$1:$R$817,MATCH($A22,REPORT_raw_datawaiting!$D$1:$R$1,1)+3, FALSE)))</f>
        <v>1051</v>
      </c>
      <c r="D22" s="11">
        <f>IF(C22="*","*",IF(VLOOKUP($C$7&amp;"Adjusted waiting over_65"&amp;$D$10,REPORT_raw_datawaiting!$A$1:$R$817,MATCH($A22,REPORT_raw_datawaiting!$D$1:$R$1,1)+3, FALSE)=0,"-",VLOOKUP($C$7&amp;"Adjusted waiting over_65"&amp;$D$10,REPORT_raw_datawaiting!$A$1:$R$817,MATCH($A22,REPORT_raw_datawaiting!$D$1:$R$1,1)+3, FALSE)))</f>
        <v>425</v>
      </c>
      <c r="E22" s="11">
        <f t="shared" si="1"/>
        <v>626</v>
      </c>
      <c r="F22" s="156">
        <f t="shared" si="0"/>
        <v>40.44</v>
      </c>
      <c r="G22" s="156">
        <f t="shared" si="0"/>
        <v>59.56</v>
      </c>
      <c r="H22" s="94"/>
      <c r="I22" s="94"/>
      <c r="J22" s="94"/>
    </row>
    <row r="23" spans="1:10">
      <c r="A23" s="160">
        <f t="shared" si="2"/>
        <v>43983</v>
      </c>
      <c r="B23" s="155" t="str">
        <f>IF(VLOOKUP($C$7,'Type of adjust'!$A$1:$P$17,MATCH($A23,'Type of adjust'!$A$1:$P$1,1),FALSE)="", "..", VLOOKUP($C$7,'Type of adjust'!$A$1:$P$17,MATCH($A23,'Type of adjust'!$A$1:$P$1,1),FALSE))</f>
        <v>..</v>
      </c>
      <c r="C23" s="11">
        <f>IF(VLOOKUP($C$7&amp;"Adjusted waiting over_65"&amp;$C$9,REPORT_raw_datawaiting!$A$1:$R$817,MATCH($A23,REPORT_raw_datawaiting!$D$1:$R$1,1)+3, FALSE)=0,"-",IF(VLOOKUP($C$7&amp;"Adjusted waiting over_65"&amp;$C$9,REPORT_raw_datawaiting!$A$1:$R$817,MATCH($A23,REPORT_raw_datawaiting!$D$1:$R$1,1)+3, FALSE)&lt;-9,"*",VLOOKUP($C$7&amp;"Adjusted waiting over_65"&amp;$C$9,REPORT_raw_datawaiting!$A$1:$R$817,MATCH($A23,REPORT_raw_datawaiting!$D$1:$R$1,1)+3, FALSE)))</f>
        <v>1072</v>
      </c>
      <c r="D23" s="11">
        <f>IF(C23="*","*",IF(VLOOKUP($C$7&amp;"Adjusted waiting over_65"&amp;$D$10,REPORT_raw_datawaiting!$A$1:$R$817,MATCH($A23,REPORT_raw_datawaiting!$D$1:$R$1,1)+3, FALSE)=0,"-",VLOOKUP($C$7&amp;"Adjusted waiting over_65"&amp;$D$10,REPORT_raw_datawaiting!$A$1:$R$817,MATCH($A23,REPORT_raw_datawaiting!$D$1:$R$1,1)+3, FALSE)))</f>
        <v>486</v>
      </c>
      <c r="E23" s="11">
        <f t="shared" si="1"/>
        <v>586</v>
      </c>
      <c r="F23" s="156">
        <f t="shared" si="0"/>
        <v>45.34</v>
      </c>
      <c r="G23" s="156">
        <f t="shared" si="0"/>
        <v>54.66</v>
      </c>
      <c r="H23" s="94"/>
      <c r="I23" s="94"/>
      <c r="J23" s="94"/>
    </row>
    <row r="24" spans="1:10">
      <c r="A24" s="160">
        <f t="shared" si="2"/>
        <v>43952</v>
      </c>
      <c r="B24" s="155" t="str">
        <f>IF(VLOOKUP($C$7,'Type of adjust'!$A$1:$P$17,MATCH($A24,'Type of adjust'!$A$1:$P$1,1),FALSE)="", "..", VLOOKUP($C$7,'Type of adjust'!$A$1:$P$17,MATCH($A24,'Type of adjust'!$A$1:$P$1,1),FALSE))</f>
        <v>..</v>
      </c>
      <c r="C24" s="11">
        <f>IF(VLOOKUP($C$7&amp;"Adjusted waiting over_65"&amp;$C$9,REPORT_raw_datawaiting!$A$1:$R$817,MATCH($A24,REPORT_raw_datawaiting!$D$1:$R$1,1)+3, FALSE)=0,"-",IF(VLOOKUP($C$7&amp;"Adjusted waiting over_65"&amp;$C$9,REPORT_raw_datawaiting!$A$1:$R$817,MATCH($A24,REPORT_raw_datawaiting!$D$1:$R$1,1)+3, FALSE)&lt;-12,"*",VLOOKUP($C$7&amp;"Adjusted waiting over_65"&amp;$C$9,REPORT_raw_datawaiting!$A$1:$R$817,MATCH($A24,REPORT_raw_datawaiting!$D$1:$R$1,1)+3, FALSE)))</f>
        <v>1084</v>
      </c>
      <c r="D24" s="11">
        <f>IF(C24="*","*",IF(VLOOKUP($C$7&amp;"Adjusted waiting over_65"&amp;$D$10,REPORT_raw_datawaiting!$A$1:$R$817,MATCH($A24,REPORT_raw_datawaiting!$D$1:$R$1,1)+3, FALSE)=0,"-",VLOOKUP($C$7&amp;"Adjusted waiting over_65"&amp;$D$10,REPORT_raw_datawaiting!$A$1:$R$817,MATCH($A24,REPORT_raw_datawaiting!$D$1:$R$1,1)+3, FALSE)))</f>
        <v>622</v>
      </c>
      <c r="E24" s="11">
        <f t="shared" si="1"/>
        <v>462</v>
      </c>
      <c r="F24" s="156">
        <f t="shared" si="0"/>
        <v>57.38</v>
      </c>
      <c r="G24" s="156">
        <f t="shared" si="0"/>
        <v>42.62</v>
      </c>
      <c r="H24" s="94"/>
      <c r="I24" s="94"/>
      <c r="J24" s="94"/>
    </row>
    <row r="25" spans="1:10">
      <c r="A25" s="160">
        <f t="shared" si="2"/>
        <v>43922</v>
      </c>
      <c r="B25" s="155" t="str">
        <f>IF(VLOOKUP($C$7,'Type of adjust'!$A$1:$P$17,MATCH($A25,'Type of adjust'!$A$1:$P$1,1),FALSE)="", "..", VLOOKUP($C$7,'Type of adjust'!$A$1:$P$17,MATCH($A25,'Type of adjust'!$A$1:$P$1,1),FALSE))</f>
        <v>..</v>
      </c>
      <c r="C25" s="11">
        <f>IF(VLOOKUP($C$7&amp;"Adjusted waiting over_65"&amp;$C$9,REPORT_raw_datawaiting!$A$1:$R$817,MATCH($A25,REPORT_raw_datawaiting!$D$1:$R$1,1)+3, FALSE)=0,"-",IF(VLOOKUP($C$7&amp;"Adjusted waiting over_65"&amp;$C$9,REPORT_raw_datawaiting!$A$1:$R$817,MATCH($A25,REPORT_raw_datawaiting!$D$1:$R$1,1)+3, FALSE)&lt;-11,"*",VLOOKUP($C$7&amp;"Adjusted waiting over_65"&amp;$C$9,REPORT_raw_datawaiting!$A$1:$R$817,MATCH($A25,REPORT_raw_datawaiting!$D$1:$R$1,1)+3, FALSE)))</f>
        <v>1140</v>
      </c>
      <c r="D25" s="11">
        <f>IF(C25="*","*",IF(VLOOKUP($C$7&amp;"Adjusted waiting over_65"&amp;$D$10,REPORT_raw_datawaiting!$A$1:$R$817,MATCH($A25,REPORT_raw_datawaiting!$D$1:$R$1,1)+3, FALSE)=0,"-",VLOOKUP($C$7&amp;"Adjusted waiting over_65"&amp;$D$10,REPORT_raw_datawaiting!$A$1:$R$817,MATCH($A25,REPORT_raw_datawaiting!$D$1:$R$1,1)+3, FALSE)))</f>
        <v>769</v>
      </c>
      <c r="E25" s="11">
        <f t="shared" si="1"/>
        <v>371</v>
      </c>
      <c r="F25" s="156">
        <f t="shared" si="0"/>
        <v>67.459999999999994</v>
      </c>
      <c r="G25" s="156">
        <f t="shared" si="0"/>
        <v>32.54</v>
      </c>
      <c r="H25" s="94"/>
      <c r="I25" s="94"/>
      <c r="J25" s="94"/>
    </row>
    <row r="26" spans="1:10">
      <c r="B26" s="16"/>
      <c r="C26" s="16"/>
      <c r="D26" s="16"/>
      <c r="E26" s="16"/>
      <c r="F26" s="17"/>
      <c r="G26" s="17"/>
    </row>
    <row r="27" spans="1:10">
      <c r="A27" s="6" t="s">
        <v>2135</v>
      </c>
      <c r="B27" s="16"/>
      <c r="C27" s="16"/>
      <c r="D27" s="16"/>
      <c r="E27" s="16"/>
      <c r="F27" s="17"/>
      <c r="G27" s="17"/>
    </row>
    <row r="28" spans="1:10">
      <c r="A28" s="8"/>
      <c r="B28" s="16"/>
      <c r="C28" s="16"/>
      <c r="D28" s="16"/>
      <c r="E28" s="16"/>
      <c r="F28" s="17"/>
      <c r="G28" s="17"/>
    </row>
    <row r="29" spans="1:10" ht="20.25">
      <c r="A29" s="76" t="s">
        <v>337</v>
      </c>
      <c r="B29" s="16"/>
      <c r="C29" s="16"/>
      <c r="D29" s="16"/>
      <c r="E29" s="16"/>
      <c r="F29" s="17"/>
      <c r="G29" s="17"/>
    </row>
    <row r="30" spans="1:10">
      <c r="A30" s="77" t="s">
        <v>338</v>
      </c>
      <c r="B30" s="77" t="s">
        <v>339</v>
      </c>
      <c r="C30" s="78"/>
      <c r="D30" s="450" t="s">
        <v>340</v>
      </c>
      <c r="E30" s="450"/>
      <c r="F30" s="450"/>
      <c r="G30" s="450"/>
    </row>
    <row r="31" spans="1:10">
      <c r="A31" s="79" t="s">
        <v>55</v>
      </c>
      <c r="B31" s="80" t="s">
        <v>341</v>
      </c>
      <c r="C31" s="81"/>
      <c r="D31" s="451" t="s">
        <v>342</v>
      </c>
      <c r="E31" s="451"/>
      <c r="F31" s="451"/>
      <c r="G31" s="451"/>
    </row>
    <row r="32" spans="1:10" ht="51">
      <c r="A32" s="82" t="s">
        <v>343</v>
      </c>
      <c r="B32" s="83" t="s">
        <v>344</v>
      </c>
      <c r="C32" s="84"/>
      <c r="D32" s="452" t="s">
        <v>345</v>
      </c>
      <c r="E32" s="452"/>
      <c r="F32" s="452"/>
      <c r="G32" s="452"/>
    </row>
    <row r="33" spans="1:7">
      <c r="A33" s="85" t="s">
        <v>27</v>
      </c>
      <c r="B33" s="86"/>
      <c r="C33" s="87"/>
      <c r="D33" s="439" t="s">
        <v>346</v>
      </c>
      <c r="E33" s="439"/>
      <c r="F33" s="439"/>
      <c r="G33" s="439"/>
    </row>
    <row r="34" spans="1:7">
      <c r="A34" s="88"/>
      <c r="B34" s="89"/>
      <c r="C34" s="89"/>
      <c r="D34" s="19"/>
      <c r="E34" s="89"/>
      <c r="F34" s="90"/>
      <c r="G34" s="15"/>
    </row>
    <row r="35" spans="1:7">
      <c r="A35" s="88"/>
      <c r="B35" s="89"/>
      <c r="C35" s="89"/>
      <c r="D35" s="19"/>
      <c r="E35" s="89"/>
      <c r="F35" s="90"/>
      <c r="G35" s="15"/>
    </row>
    <row r="36" spans="1:7">
      <c r="A36" s="88"/>
      <c r="B36" s="89"/>
      <c r="C36" s="89"/>
      <c r="D36" s="19"/>
      <c r="E36" s="89"/>
      <c r="F36" s="90"/>
      <c r="G36" s="15"/>
    </row>
    <row r="37" spans="1:7">
      <c r="A37" s="91" t="s">
        <v>190</v>
      </c>
      <c r="B37" s="89"/>
      <c r="C37" s="89"/>
      <c r="D37" s="89"/>
      <c r="E37" s="89"/>
      <c r="F37" s="90"/>
      <c r="G37" s="15"/>
    </row>
    <row r="38" spans="1:7">
      <c r="A38" s="91" t="s">
        <v>191</v>
      </c>
      <c r="B38" s="89"/>
      <c r="C38" s="89"/>
      <c r="D38" s="89"/>
      <c r="E38" s="89"/>
      <c r="F38" s="90"/>
      <c r="G38" s="15"/>
    </row>
    <row r="39" spans="1:7">
      <c r="B39" s="16"/>
      <c r="C39" s="16"/>
      <c r="D39" s="16"/>
      <c r="E39" s="16"/>
      <c r="F39" s="18"/>
      <c r="G39" s="18"/>
    </row>
    <row r="40" spans="1:7">
      <c r="A40" s="43" t="s">
        <v>410</v>
      </c>
      <c r="B40" s="12"/>
      <c r="C40" s="12"/>
      <c r="D40" s="12"/>
      <c r="E40" s="12"/>
      <c r="F40" s="13"/>
      <c r="G40" s="13"/>
    </row>
    <row r="41" spans="1:7">
      <c r="B41" s="7"/>
      <c r="C41" s="7"/>
      <c r="D41" s="7"/>
      <c r="E41" s="7"/>
      <c r="F41" s="14"/>
      <c r="G41" s="14"/>
    </row>
    <row r="42" spans="1:7">
      <c r="A42" s="8"/>
      <c r="B42" s="7"/>
      <c r="C42" s="7"/>
      <c r="D42" s="7"/>
      <c r="E42" s="7"/>
      <c r="F42" s="15"/>
      <c r="G42" s="15"/>
    </row>
    <row r="43" spans="1:7">
      <c r="B43" s="16"/>
      <c r="C43" s="16"/>
      <c r="D43" s="16"/>
      <c r="E43" s="16"/>
      <c r="F43" s="18"/>
      <c r="G43" s="18"/>
    </row>
    <row r="44" spans="1:7">
      <c r="B44" s="12"/>
      <c r="C44" s="12"/>
      <c r="D44" s="12"/>
      <c r="E44" s="12"/>
      <c r="F44" s="13"/>
      <c r="G44" s="13"/>
    </row>
    <row r="45" spans="1:7">
      <c r="B45" s="12"/>
      <c r="C45" s="12"/>
      <c r="D45" s="7"/>
      <c r="E45" s="7"/>
      <c r="F45" s="14"/>
      <c r="G45" s="14"/>
    </row>
    <row r="46" spans="1:7">
      <c r="B46" s="12"/>
      <c r="C46" s="12"/>
      <c r="D46" s="7"/>
      <c r="E46" s="7"/>
      <c r="F46" s="15"/>
      <c r="G46" s="15"/>
    </row>
    <row r="47" spans="1:7">
      <c r="B47" s="16"/>
      <c r="C47" s="16"/>
      <c r="D47" s="7"/>
      <c r="E47" s="7"/>
      <c r="F47" s="15"/>
      <c r="G47" s="15"/>
    </row>
    <row r="48" spans="1:7">
      <c r="A48" s="29" t="str">
        <f>"Percentage of patients waiting less than 18 weeks for adjusted waits - "&amp;C7</f>
        <v>Percentage of patients waiting less than 18 weeks for adjusted waits - Scotland</v>
      </c>
      <c r="B48" s="16"/>
      <c r="C48" s="16"/>
      <c r="D48" s="16"/>
      <c r="E48" s="16"/>
      <c r="F48" s="15"/>
      <c r="G48" s="15"/>
    </row>
    <row r="49" spans="1:7">
      <c r="A49" s="28"/>
      <c r="B49" s="16"/>
      <c r="C49" s="16"/>
      <c r="D49" s="16"/>
      <c r="E49" s="16"/>
      <c r="F49" s="18"/>
      <c r="G49" s="18"/>
    </row>
    <row r="50" spans="1:7">
      <c r="B50" s="12"/>
      <c r="C50" s="12"/>
      <c r="D50" s="12"/>
      <c r="E50" s="12"/>
      <c r="F50" s="13"/>
      <c r="G50" s="13"/>
    </row>
    <row r="51" spans="1:7">
      <c r="B51" s="7"/>
      <c r="C51" s="7"/>
      <c r="D51" s="7"/>
      <c r="E51" s="7"/>
      <c r="F51" s="14"/>
      <c r="G51" s="14"/>
    </row>
    <row r="52" spans="1:7">
      <c r="A52" s="29" t="str">
        <f>"Patients waiting - adjusted waits - "&amp;C7</f>
        <v>Patients waiting - adjusted waits - Scotland</v>
      </c>
      <c r="B52" s="16"/>
      <c r="C52" s="16"/>
      <c r="D52" s="16"/>
      <c r="E52" s="16"/>
      <c r="F52" s="15"/>
      <c r="G52" s="15"/>
    </row>
    <row r="53" spans="1:7">
      <c r="A53" s="29" t="str">
        <f>"Percentage of patients waiting 0-18 weeks - adjusted waits - "&amp;C7</f>
        <v>Percentage of patients waiting 0-18 weeks - adjusted waits - Scotland</v>
      </c>
      <c r="B53" s="16"/>
      <c r="C53" s="16"/>
      <c r="D53" s="16"/>
      <c r="E53" s="16"/>
      <c r="F53" s="15"/>
      <c r="G53" s="15"/>
    </row>
    <row r="54" spans="1:7">
      <c r="A54" s="29" t="str">
        <f>"Percentage of patients waiting - adjusted waits - "&amp;C7</f>
        <v>Percentage of patients waiting - adjusted waits - Scotland</v>
      </c>
      <c r="B54" s="16"/>
      <c r="C54" s="16"/>
      <c r="D54" s="16"/>
      <c r="E54" s="16"/>
      <c r="F54" s="17"/>
      <c r="G54" s="17"/>
    </row>
    <row r="55" spans="1:7">
      <c r="B55" s="12"/>
      <c r="C55" s="12"/>
      <c r="D55" s="12"/>
      <c r="E55" s="12"/>
      <c r="F55" s="13"/>
      <c r="G55" s="13"/>
    </row>
    <row r="56" spans="1:7" s="20" customFormat="1">
      <c r="B56" s="21"/>
      <c r="C56" s="21"/>
      <c r="D56" s="21"/>
      <c r="E56" s="21"/>
      <c r="F56" s="22"/>
      <c r="G56" s="22"/>
    </row>
    <row r="57" spans="1:7">
      <c r="B57" s="8"/>
      <c r="C57" s="8"/>
      <c r="D57" s="8"/>
      <c r="E57" s="8"/>
      <c r="F57" s="24"/>
      <c r="G57" s="24"/>
    </row>
    <row r="58" spans="1:7">
      <c r="B58" s="8"/>
      <c r="C58" s="8"/>
      <c r="D58" s="8"/>
      <c r="E58" s="8"/>
      <c r="F58" s="24"/>
      <c r="G58" s="24"/>
    </row>
    <row r="59" spans="1:7">
      <c r="B59" s="8"/>
      <c r="C59" s="8"/>
      <c r="D59" s="8"/>
      <c r="E59" s="8"/>
      <c r="F59" s="24"/>
      <c r="G59" s="24"/>
    </row>
    <row r="60" spans="1:7">
      <c r="A60" s="16"/>
      <c r="B60" s="16"/>
      <c r="C60" s="16"/>
      <c r="D60" s="16"/>
      <c r="E60" s="16"/>
      <c r="F60" s="26"/>
      <c r="G60" s="26"/>
    </row>
    <row r="61" spans="1:7">
      <c r="B61" s="16"/>
      <c r="C61" s="16"/>
      <c r="D61" s="16"/>
      <c r="E61" s="16"/>
      <c r="F61" s="18"/>
      <c r="G61" s="18"/>
    </row>
    <row r="62" spans="1:7">
      <c r="B62" s="12"/>
      <c r="C62" s="12"/>
      <c r="D62" s="12"/>
      <c r="E62" s="12"/>
      <c r="F62" s="13"/>
      <c r="G62" s="13"/>
    </row>
    <row r="63" spans="1:7">
      <c r="B63" s="7"/>
      <c r="C63" s="7"/>
      <c r="D63" s="7"/>
      <c r="E63" s="7"/>
      <c r="F63" s="14"/>
      <c r="G63" s="14"/>
    </row>
    <row r="64" spans="1:7">
      <c r="B64" s="7"/>
      <c r="C64" s="7"/>
      <c r="D64" s="7"/>
      <c r="E64" s="7"/>
      <c r="F64" s="15"/>
      <c r="G64" s="15"/>
    </row>
    <row r="65" spans="2:7">
      <c r="B65" s="7"/>
      <c r="C65" s="7"/>
      <c r="D65" s="7"/>
      <c r="E65" s="7"/>
      <c r="F65" s="15"/>
      <c r="G65" s="15"/>
    </row>
    <row r="66" spans="2:7">
      <c r="B66" s="16"/>
      <c r="C66" s="16"/>
      <c r="D66" s="16"/>
      <c r="E66" s="16"/>
      <c r="F66" s="18"/>
      <c r="G66" s="18"/>
    </row>
    <row r="67" spans="2:7">
      <c r="B67" s="27"/>
      <c r="C67" s="27"/>
      <c r="D67" s="27"/>
      <c r="E67" s="27"/>
      <c r="F67" s="13"/>
      <c r="G67" s="13"/>
    </row>
    <row r="68" spans="2:7">
      <c r="B68" s="28"/>
      <c r="C68" s="28"/>
      <c r="D68" s="28"/>
      <c r="E68" s="28"/>
      <c r="F68" s="14"/>
      <c r="G68" s="14"/>
    </row>
    <row r="69" spans="2:7">
      <c r="F69" s="15"/>
      <c r="G69" s="15"/>
    </row>
    <row r="70" spans="2:7">
      <c r="F70" s="15"/>
      <c r="G70" s="15"/>
    </row>
    <row r="86" spans="1:4">
      <c r="A86" s="28"/>
      <c r="B86" s="28"/>
      <c r="C86" s="28"/>
      <c r="D86" s="28"/>
    </row>
    <row r="87" spans="1:4">
      <c r="A87" s="28"/>
      <c r="B87" s="28"/>
      <c r="C87" s="28"/>
      <c r="D87" s="28"/>
    </row>
    <row r="88" spans="1:4">
      <c r="A88" s="28"/>
      <c r="B88" s="28"/>
      <c r="C88" s="28"/>
      <c r="D88" s="28"/>
    </row>
    <row r="89" spans="1:4">
      <c r="A89" s="28"/>
      <c r="B89" s="28"/>
      <c r="C89" s="28"/>
      <c r="D89" s="28"/>
    </row>
    <row r="90" spans="1:4">
      <c r="A90" s="28"/>
      <c r="B90" s="28"/>
      <c r="C90" s="28"/>
      <c r="D90" s="28"/>
    </row>
    <row r="91" spans="1:4">
      <c r="A91" s="28"/>
      <c r="B91" s="28"/>
      <c r="C91" s="28"/>
      <c r="D91" s="28"/>
    </row>
    <row r="92" spans="1:4">
      <c r="A92" s="29"/>
      <c r="B92" s="29"/>
      <c r="C92" s="29"/>
      <c r="D92" s="29"/>
    </row>
    <row r="93" spans="1:4">
      <c r="A93" s="29"/>
      <c r="B93" s="29"/>
      <c r="C93" s="29"/>
      <c r="D93" s="29"/>
    </row>
    <row r="94" spans="1:4">
      <c r="A94" s="29"/>
      <c r="B94" s="29"/>
      <c r="C94" s="29"/>
      <c r="D94" s="29"/>
    </row>
    <row r="95" spans="1:4">
      <c r="A95" s="29"/>
      <c r="C95" s="29"/>
      <c r="D95" s="29"/>
    </row>
    <row r="96" spans="1:4">
      <c r="A96" s="29"/>
      <c r="B96" s="29"/>
      <c r="C96" s="29"/>
      <c r="D96" s="29"/>
    </row>
    <row r="97" spans="1:4">
      <c r="A97" s="29"/>
      <c r="B97" s="29"/>
      <c r="C97" s="29"/>
      <c r="D97" s="29"/>
    </row>
    <row r="98" spans="1:4">
      <c r="A98" s="29"/>
      <c r="B98" s="29"/>
      <c r="C98" s="29"/>
      <c r="D98" s="29"/>
    </row>
    <row r="99" spans="1:4">
      <c r="A99" s="29"/>
      <c r="B99" s="29"/>
      <c r="C99" s="29"/>
      <c r="D99" s="29"/>
    </row>
    <row r="100" spans="1:4">
      <c r="A100" s="29"/>
      <c r="B100" s="29"/>
      <c r="C100" s="29"/>
      <c r="D100" s="29"/>
    </row>
    <row r="101" spans="1:4">
      <c r="A101" s="29"/>
      <c r="B101" s="29"/>
      <c r="C101" s="29"/>
      <c r="D101" s="29"/>
    </row>
    <row r="102" spans="1:4">
      <c r="A102" s="29"/>
      <c r="B102" s="29"/>
      <c r="C102" s="29"/>
      <c r="D102" s="29"/>
    </row>
    <row r="103" spans="1:4">
      <c r="A103" s="29"/>
      <c r="B103" s="29"/>
      <c r="C103" s="29"/>
      <c r="D103" s="29"/>
    </row>
    <row r="104" spans="1:4">
      <c r="A104" s="29"/>
      <c r="B104" s="29"/>
      <c r="C104" s="29"/>
      <c r="D104" s="29"/>
    </row>
    <row r="105" spans="1:4">
      <c r="A105" s="29"/>
      <c r="B105" s="29"/>
      <c r="C105" s="29"/>
      <c r="D105" s="29"/>
    </row>
    <row r="106" spans="1:4">
      <c r="A106" s="29"/>
      <c r="B106" s="29"/>
      <c r="C106" s="29"/>
      <c r="D106" s="29"/>
    </row>
    <row r="107" spans="1:4">
      <c r="A107" s="29"/>
      <c r="B107" s="29"/>
      <c r="C107" s="29"/>
      <c r="D107" s="29"/>
    </row>
    <row r="108" spans="1:4">
      <c r="A108" s="29"/>
      <c r="B108" s="29"/>
      <c r="C108" s="29"/>
      <c r="D108" s="29"/>
    </row>
    <row r="109" spans="1:4">
      <c r="A109" s="29"/>
      <c r="B109" s="29"/>
      <c r="C109" s="29"/>
      <c r="D109" s="29"/>
    </row>
    <row r="110" spans="1:4">
      <c r="A110" s="29"/>
      <c r="B110" s="29"/>
      <c r="C110" s="29"/>
      <c r="D110" s="29"/>
    </row>
    <row r="111" spans="1:4">
      <c r="A111" s="29"/>
      <c r="B111" s="29"/>
      <c r="C111" s="29"/>
      <c r="D111" s="29"/>
    </row>
    <row r="112" spans="1:4">
      <c r="A112" s="29"/>
      <c r="B112" s="29"/>
      <c r="C112" s="29"/>
      <c r="D112" s="29"/>
    </row>
    <row r="113" spans="1:4">
      <c r="A113" s="29"/>
      <c r="B113" s="29"/>
      <c r="C113" s="29"/>
      <c r="D113" s="29"/>
    </row>
    <row r="114" spans="1:4">
      <c r="A114" s="29"/>
      <c r="B114" s="29"/>
      <c r="C114" s="29"/>
      <c r="D114" s="29"/>
    </row>
    <row r="115" spans="1:4">
      <c r="A115" s="29"/>
      <c r="B115" s="29"/>
      <c r="C115" s="29"/>
      <c r="D115" s="29"/>
    </row>
    <row r="116" spans="1:4">
      <c r="A116" s="29"/>
      <c r="B116" s="29"/>
      <c r="C116" s="29"/>
      <c r="D116" s="29"/>
    </row>
    <row r="117" spans="1:4">
      <c r="A117" s="29"/>
      <c r="B117" s="29"/>
      <c r="C117" s="29"/>
      <c r="D117" s="29"/>
    </row>
    <row r="118" spans="1:4">
      <c r="A118" s="29"/>
      <c r="B118" s="29"/>
      <c r="C118" s="29"/>
      <c r="D118" s="29"/>
    </row>
  </sheetData>
  <mergeCells count="12">
    <mergeCell ref="A3:D3"/>
    <mergeCell ref="A6:D6"/>
    <mergeCell ref="C7:D7"/>
    <mergeCell ref="A9:A10"/>
    <mergeCell ref="B9:B10"/>
    <mergeCell ref="C9:C10"/>
    <mergeCell ref="D9:E9"/>
    <mergeCell ref="F9:G9"/>
    <mergeCell ref="D30:G30"/>
    <mergeCell ref="D31:G31"/>
    <mergeCell ref="D32:G32"/>
    <mergeCell ref="D33:G33"/>
  </mergeCells>
  <dataValidations count="2">
    <dataValidation type="list" allowBlank="1" showInputMessage="1" showErrorMessage="1" sqref="C7:D7">
      <formula1>ISLANDBOARDS</formula1>
    </dataValidation>
    <dataValidation type="list" allowBlank="1" showInputMessage="1" showErrorMessage="1" sqref="WVG983023:WVH983023 IU65519:IV65519 SQ65519:SR65519 ACM65519:ACN65519 AMI65519:AMJ65519 AWE65519:AWF65519 BGA65519:BGB65519 BPW65519:BPX65519 BZS65519:BZT65519 CJO65519:CJP65519 CTK65519:CTL65519 DDG65519:DDH65519 DNC65519:DND65519 DWY65519:DWZ65519 EGU65519:EGV65519 EQQ65519:EQR65519 FAM65519:FAN65519 FKI65519:FKJ65519 FUE65519:FUF65519 GEA65519:GEB65519 GNW65519:GNX65519 GXS65519:GXT65519 HHO65519:HHP65519 HRK65519:HRL65519 IBG65519:IBH65519 ILC65519:ILD65519 IUY65519:IUZ65519 JEU65519:JEV65519 JOQ65519:JOR65519 JYM65519:JYN65519 KII65519:KIJ65519 KSE65519:KSF65519 LCA65519:LCB65519 LLW65519:LLX65519 LVS65519:LVT65519 MFO65519:MFP65519 MPK65519:MPL65519 MZG65519:MZH65519 NJC65519:NJD65519 NSY65519:NSZ65519 OCU65519:OCV65519 OMQ65519:OMR65519 OWM65519:OWN65519 PGI65519:PGJ65519 PQE65519:PQF65519 QAA65519:QAB65519 QJW65519:QJX65519 QTS65519:QTT65519 RDO65519:RDP65519 RNK65519:RNL65519 RXG65519:RXH65519 SHC65519:SHD65519 SQY65519:SQZ65519 TAU65519:TAV65519 TKQ65519:TKR65519 TUM65519:TUN65519 UEI65519:UEJ65519 UOE65519:UOF65519 UYA65519:UYB65519 VHW65519:VHX65519 VRS65519:VRT65519 WBO65519:WBP65519 WLK65519:WLL65519 WVG65519:WVH65519 IU131055:IV131055 SQ131055:SR131055 ACM131055:ACN131055 AMI131055:AMJ131055 AWE131055:AWF131055 BGA131055:BGB131055 BPW131055:BPX131055 BZS131055:BZT131055 CJO131055:CJP131055 CTK131055:CTL131055 DDG131055:DDH131055 DNC131055:DND131055 DWY131055:DWZ131055 EGU131055:EGV131055 EQQ131055:EQR131055 FAM131055:FAN131055 FKI131055:FKJ131055 FUE131055:FUF131055 GEA131055:GEB131055 GNW131055:GNX131055 GXS131055:GXT131055 HHO131055:HHP131055 HRK131055:HRL131055 IBG131055:IBH131055 ILC131055:ILD131055 IUY131055:IUZ131055 JEU131055:JEV131055 JOQ131055:JOR131055 JYM131055:JYN131055 KII131055:KIJ131055 KSE131055:KSF131055 LCA131055:LCB131055 LLW131055:LLX131055 LVS131055:LVT131055 MFO131055:MFP131055 MPK131055:MPL131055 MZG131055:MZH131055 NJC131055:NJD131055 NSY131055:NSZ131055 OCU131055:OCV131055 OMQ131055:OMR131055 OWM131055:OWN131055 PGI131055:PGJ131055 PQE131055:PQF131055 QAA131055:QAB131055 QJW131055:QJX131055 QTS131055:QTT131055 RDO131055:RDP131055 RNK131055:RNL131055 RXG131055:RXH131055 SHC131055:SHD131055 SQY131055:SQZ131055 TAU131055:TAV131055 TKQ131055:TKR131055 TUM131055:TUN131055 UEI131055:UEJ131055 UOE131055:UOF131055 UYA131055:UYB131055 VHW131055:VHX131055 VRS131055:VRT131055 WBO131055:WBP131055 WLK131055:WLL131055 WVG131055:WVH131055 IU196591:IV196591 SQ196591:SR196591 ACM196591:ACN196591 AMI196591:AMJ196591 AWE196591:AWF196591 BGA196591:BGB196591 BPW196591:BPX196591 BZS196591:BZT196591 CJO196591:CJP196591 CTK196591:CTL196591 DDG196591:DDH196591 DNC196591:DND196591 DWY196591:DWZ196591 EGU196591:EGV196591 EQQ196591:EQR196591 FAM196591:FAN196591 FKI196591:FKJ196591 FUE196591:FUF196591 GEA196591:GEB196591 GNW196591:GNX196591 GXS196591:GXT196591 HHO196591:HHP196591 HRK196591:HRL196591 IBG196591:IBH196591 ILC196591:ILD196591 IUY196591:IUZ196591 JEU196591:JEV196591 JOQ196591:JOR196591 JYM196591:JYN196591 KII196591:KIJ196591 KSE196591:KSF196591 LCA196591:LCB196591 LLW196591:LLX196591 LVS196591:LVT196591 MFO196591:MFP196591 MPK196591:MPL196591 MZG196591:MZH196591 NJC196591:NJD196591 NSY196591:NSZ196591 OCU196591:OCV196591 OMQ196591:OMR196591 OWM196591:OWN196591 PGI196591:PGJ196591 PQE196591:PQF196591 QAA196591:QAB196591 QJW196591:QJX196591 QTS196591:QTT196591 RDO196591:RDP196591 RNK196591:RNL196591 RXG196591:RXH196591 SHC196591:SHD196591 SQY196591:SQZ196591 TAU196591:TAV196591 TKQ196591:TKR196591 TUM196591:TUN196591 UEI196591:UEJ196591 UOE196591:UOF196591 UYA196591:UYB196591 VHW196591:VHX196591 VRS196591:VRT196591 WBO196591:WBP196591 WLK196591:WLL196591 WVG196591:WVH196591 IU262127:IV262127 SQ262127:SR262127 ACM262127:ACN262127 AMI262127:AMJ262127 AWE262127:AWF262127 BGA262127:BGB262127 BPW262127:BPX262127 BZS262127:BZT262127 CJO262127:CJP262127 CTK262127:CTL262127 DDG262127:DDH262127 DNC262127:DND262127 DWY262127:DWZ262127 EGU262127:EGV262127 EQQ262127:EQR262127 FAM262127:FAN262127 FKI262127:FKJ262127 FUE262127:FUF262127 GEA262127:GEB262127 GNW262127:GNX262127 GXS262127:GXT262127 HHO262127:HHP262127 HRK262127:HRL262127 IBG262127:IBH262127 ILC262127:ILD262127 IUY262127:IUZ262127 JEU262127:JEV262127 JOQ262127:JOR262127 JYM262127:JYN262127 KII262127:KIJ262127 KSE262127:KSF262127 LCA262127:LCB262127 LLW262127:LLX262127 LVS262127:LVT262127 MFO262127:MFP262127 MPK262127:MPL262127 MZG262127:MZH262127 NJC262127:NJD262127 NSY262127:NSZ262127 OCU262127:OCV262127 OMQ262127:OMR262127 OWM262127:OWN262127 PGI262127:PGJ262127 PQE262127:PQF262127 QAA262127:QAB262127 QJW262127:QJX262127 QTS262127:QTT262127 RDO262127:RDP262127 RNK262127:RNL262127 RXG262127:RXH262127 SHC262127:SHD262127 SQY262127:SQZ262127 TAU262127:TAV262127 TKQ262127:TKR262127 TUM262127:TUN262127 UEI262127:UEJ262127 UOE262127:UOF262127 UYA262127:UYB262127 VHW262127:VHX262127 VRS262127:VRT262127 WBO262127:WBP262127 WLK262127:WLL262127 WVG262127:WVH262127 IU327663:IV327663 SQ327663:SR327663 ACM327663:ACN327663 AMI327663:AMJ327663 AWE327663:AWF327663 BGA327663:BGB327663 BPW327663:BPX327663 BZS327663:BZT327663 CJO327663:CJP327663 CTK327663:CTL327663 DDG327663:DDH327663 DNC327663:DND327663 DWY327663:DWZ327663 EGU327663:EGV327663 EQQ327663:EQR327663 FAM327663:FAN327663 FKI327663:FKJ327663 FUE327663:FUF327663 GEA327663:GEB327663 GNW327663:GNX327663 GXS327663:GXT327663 HHO327663:HHP327663 HRK327663:HRL327663 IBG327663:IBH327663 ILC327663:ILD327663 IUY327663:IUZ327663 JEU327663:JEV327663 JOQ327663:JOR327663 JYM327663:JYN327663 KII327663:KIJ327663 KSE327663:KSF327663 LCA327663:LCB327663 LLW327663:LLX327663 LVS327663:LVT327663 MFO327663:MFP327663 MPK327663:MPL327663 MZG327663:MZH327663 NJC327663:NJD327663 NSY327663:NSZ327663 OCU327663:OCV327663 OMQ327663:OMR327663 OWM327663:OWN327663 PGI327663:PGJ327663 PQE327663:PQF327663 QAA327663:QAB327663 QJW327663:QJX327663 QTS327663:QTT327663 RDO327663:RDP327663 RNK327663:RNL327663 RXG327663:RXH327663 SHC327663:SHD327663 SQY327663:SQZ327663 TAU327663:TAV327663 TKQ327663:TKR327663 TUM327663:TUN327663 UEI327663:UEJ327663 UOE327663:UOF327663 UYA327663:UYB327663 VHW327663:VHX327663 VRS327663:VRT327663 WBO327663:WBP327663 WLK327663:WLL327663 WVG327663:WVH327663 IU393199:IV393199 SQ393199:SR393199 ACM393199:ACN393199 AMI393199:AMJ393199 AWE393199:AWF393199 BGA393199:BGB393199 BPW393199:BPX393199 BZS393199:BZT393199 CJO393199:CJP393199 CTK393199:CTL393199 DDG393199:DDH393199 DNC393199:DND393199 DWY393199:DWZ393199 EGU393199:EGV393199 EQQ393199:EQR393199 FAM393199:FAN393199 FKI393199:FKJ393199 FUE393199:FUF393199 GEA393199:GEB393199 GNW393199:GNX393199 GXS393199:GXT393199 HHO393199:HHP393199 HRK393199:HRL393199 IBG393199:IBH393199 ILC393199:ILD393199 IUY393199:IUZ393199 JEU393199:JEV393199 JOQ393199:JOR393199 JYM393199:JYN393199 KII393199:KIJ393199 KSE393199:KSF393199 LCA393199:LCB393199 LLW393199:LLX393199 LVS393199:LVT393199 MFO393199:MFP393199 MPK393199:MPL393199 MZG393199:MZH393199 NJC393199:NJD393199 NSY393199:NSZ393199 OCU393199:OCV393199 OMQ393199:OMR393199 OWM393199:OWN393199 PGI393199:PGJ393199 PQE393199:PQF393199 QAA393199:QAB393199 QJW393199:QJX393199 QTS393199:QTT393199 RDO393199:RDP393199 RNK393199:RNL393199 RXG393199:RXH393199 SHC393199:SHD393199 SQY393199:SQZ393199 TAU393199:TAV393199 TKQ393199:TKR393199 TUM393199:TUN393199 UEI393199:UEJ393199 UOE393199:UOF393199 UYA393199:UYB393199 VHW393199:VHX393199 VRS393199:VRT393199 WBO393199:WBP393199 WLK393199:WLL393199 WVG393199:WVH393199 IU458735:IV458735 SQ458735:SR458735 ACM458735:ACN458735 AMI458735:AMJ458735 AWE458735:AWF458735 BGA458735:BGB458735 BPW458735:BPX458735 BZS458735:BZT458735 CJO458735:CJP458735 CTK458735:CTL458735 DDG458735:DDH458735 DNC458735:DND458735 DWY458735:DWZ458735 EGU458735:EGV458735 EQQ458735:EQR458735 FAM458735:FAN458735 FKI458735:FKJ458735 FUE458735:FUF458735 GEA458735:GEB458735 GNW458735:GNX458735 GXS458735:GXT458735 HHO458735:HHP458735 HRK458735:HRL458735 IBG458735:IBH458735 ILC458735:ILD458735 IUY458735:IUZ458735 JEU458735:JEV458735 JOQ458735:JOR458735 JYM458735:JYN458735 KII458735:KIJ458735 KSE458735:KSF458735 LCA458735:LCB458735 LLW458735:LLX458735 LVS458735:LVT458735 MFO458735:MFP458735 MPK458735:MPL458735 MZG458735:MZH458735 NJC458735:NJD458735 NSY458735:NSZ458735 OCU458735:OCV458735 OMQ458735:OMR458735 OWM458735:OWN458735 PGI458735:PGJ458735 PQE458735:PQF458735 QAA458735:QAB458735 QJW458735:QJX458735 QTS458735:QTT458735 RDO458735:RDP458735 RNK458735:RNL458735 RXG458735:RXH458735 SHC458735:SHD458735 SQY458735:SQZ458735 TAU458735:TAV458735 TKQ458735:TKR458735 TUM458735:TUN458735 UEI458735:UEJ458735 UOE458735:UOF458735 UYA458735:UYB458735 VHW458735:VHX458735 VRS458735:VRT458735 WBO458735:WBP458735 WLK458735:WLL458735 WVG458735:WVH458735 IU524271:IV524271 SQ524271:SR524271 ACM524271:ACN524271 AMI524271:AMJ524271 AWE524271:AWF524271 BGA524271:BGB524271 BPW524271:BPX524271 BZS524271:BZT524271 CJO524271:CJP524271 CTK524271:CTL524271 DDG524271:DDH524271 DNC524271:DND524271 DWY524271:DWZ524271 EGU524271:EGV524271 EQQ524271:EQR524271 FAM524271:FAN524271 FKI524271:FKJ524271 FUE524271:FUF524271 GEA524271:GEB524271 GNW524271:GNX524271 GXS524271:GXT524271 HHO524271:HHP524271 HRK524271:HRL524271 IBG524271:IBH524271 ILC524271:ILD524271 IUY524271:IUZ524271 JEU524271:JEV524271 JOQ524271:JOR524271 JYM524271:JYN524271 KII524271:KIJ524271 KSE524271:KSF524271 LCA524271:LCB524271 LLW524271:LLX524271 LVS524271:LVT524271 MFO524271:MFP524271 MPK524271:MPL524271 MZG524271:MZH524271 NJC524271:NJD524271 NSY524271:NSZ524271 OCU524271:OCV524271 OMQ524271:OMR524271 OWM524271:OWN524271 PGI524271:PGJ524271 PQE524271:PQF524271 QAA524271:QAB524271 QJW524271:QJX524271 QTS524271:QTT524271 RDO524271:RDP524271 RNK524271:RNL524271 RXG524271:RXH524271 SHC524271:SHD524271 SQY524271:SQZ524271 TAU524271:TAV524271 TKQ524271:TKR524271 TUM524271:TUN524271 UEI524271:UEJ524271 UOE524271:UOF524271 UYA524271:UYB524271 VHW524271:VHX524271 VRS524271:VRT524271 WBO524271:WBP524271 WLK524271:WLL524271 WVG524271:WVH524271 IU589807:IV589807 SQ589807:SR589807 ACM589807:ACN589807 AMI589807:AMJ589807 AWE589807:AWF589807 BGA589807:BGB589807 BPW589807:BPX589807 BZS589807:BZT589807 CJO589807:CJP589807 CTK589807:CTL589807 DDG589807:DDH589807 DNC589807:DND589807 DWY589807:DWZ589807 EGU589807:EGV589807 EQQ589807:EQR589807 FAM589807:FAN589807 FKI589807:FKJ589807 FUE589807:FUF589807 GEA589807:GEB589807 GNW589807:GNX589807 GXS589807:GXT589807 HHO589807:HHP589807 HRK589807:HRL589807 IBG589807:IBH589807 ILC589807:ILD589807 IUY589807:IUZ589807 JEU589807:JEV589807 JOQ589807:JOR589807 JYM589807:JYN589807 KII589807:KIJ589807 KSE589807:KSF589807 LCA589807:LCB589807 LLW589807:LLX589807 LVS589807:LVT589807 MFO589807:MFP589807 MPK589807:MPL589807 MZG589807:MZH589807 NJC589807:NJD589807 NSY589807:NSZ589807 OCU589807:OCV589807 OMQ589807:OMR589807 OWM589807:OWN589807 PGI589807:PGJ589807 PQE589807:PQF589807 QAA589807:QAB589807 QJW589807:QJX589807 QTS589807:QTT589807 RDO589807:RDP589807 RNK589807:RNL589807 RXG589807:RXH589807 SHC589807:SHD589807 SQY589807:SQZ589807 TAU589807:TAV589807 TKQ589807:TKR589807 TUM589807:TUN589807 UEI589807:UEJ589807 UOE589807:UOF589807 UYA589807:UYB589807 VHW589807:VHX589807 VRS589807:VRT589807 WBO589807:WBP589807 WLK589807:WLL589807 WVG589807:WVH589807 IU655343:IV655343 SQ655343:SR655343 ACM655343:ACN655343 AMI655343:AMJ655343 AWE655343:AWF655343 BGA655343:BGB655343 BPW655343:BPX655343 BZS655343:BZT655343 CJO655343:CJP655343 CTK655343:CTL655343 DDG655343:DDH655343 DNC655343:DND655343 DWY655343:DWZ655343 EGU655343:EGV655343 EQQ655343:EQR655343 FAM655343:FAN655343 FKI655343:FKJ655343 FUE655343:FUF655343 GEA655343:GEB655343 GNW655343:GNX655343 GXS655343:GXT655343 HHO655343:HHP655343 HRK655343:HRL655343 IBG655343:IBH655343 ILC655343:ILD655343 IUY655343:IUZ655343 JEU655343:JEV655343 JOQ655343:JOR655343 JYM655343:JYN655343 KII655343:KIJ655343 KSE655343:KSF655343 LCA655343:LCB655343 LLW655343:LLX655343 LVS655343:LVT655343 MFO655343:MFP655343 MPK655343:MPL655343 MZG655343:MZH655343 NJC655343:NJD655343 NSY655343:NSZ655343 OCU655343:OCV655343 OMQ655343:OMR655343 OWM655343:OWN655343 PGI655343:PGJ655343 PQE655343:PQF655343 QAA655343:QAB655343 QJW655343:QJX655343 QTS655343:QTT655343 RDO655343:RDP655343 RNK655343:RNL655343 RXG655343:RXH655343 SHC655343:SHD655343 SQY655343:SQZ655343 TAU655343:TAV655343 TKQ655343:TKR655343 TUM655343:TUN655343 UEI655343:UEJ655343 UOE655343:UOF655343 UYA655343:UYB655343 VHW655343:VHX655343 VRS655343:VRT655343 WBO655343:WBP655343 WLK655343:WLL655343 WVG655343:WVH655343 IU720879:IV720879 SQ720879:SR720879 ACM720879:ACN720879 AMI720879:AMJ720879 AWE720879:AWF720879 BGA720879:BGB720879 BPW720879:BPX720879 BZS720879:BZT720879 CJO720879:CJP720879 CTK720879:CTL720879 DDG720879:DDH720879 DNC720879:DND720879 DWY720879:DWZ720879 EGU720879:EGV720879 EQQ720879:EQR720879 FAM720879:FAN720879 FKI720879:FKJ720879 FUE720879:FUF720879 GEA720879:GEB720879 GNW720879:GNX720879 GXS720879:GXT720879 HHO720879:HHP720879 HRK720879:HRL720879 IBG720879:IBH720879 ILC720879:ILD720879 IUY720879:IUZ720879 JEU720879:JEV720879 JOQ720879:JOR720879 JYM720879:JYN720879 KII720879:KIJ720879 KSE720879:KSF720879 LCA720879:LCB720879 LLW720879:LLX720879 LVS720879:LVT720879 MFO720879:MFP720879 MPK720879:MPL720879 MZG720879:MZH720879 NJC720879:NJD720879 NSY720879:NSZ720879 OCU720879:OCV720879 OMQ720879:OMR720879 OWM720879:OWN720879 PGI720879:PGJ720879 PQE720879:PQF720879 QAA720879:QAB720879 QJW720879:QJX720879 QTS720879:QTT720879 RDO720879:RDP720879 RNK720879:RNL720879 RXG720879:RXH720879 SHC720879:SHD720879 SQY720879:SQZ720879 TAU720879:TAV720879 TKQ720879:TKR720879 TUM720879:TUN720879 UEI720879:UEJ720879 UOE720879:UOF720879 UYA720879:UYB720879 VHW720879:VHX720879 VRS720879:VRT720879 WBO720879:WBP720879 WLK720879:WLL720879 WVG720879:WVH720879 IU786415:IV786415 SQ786415:SR786415 ACM786415:ACN786415 AMI786415:AMJ786415 AWE786415:AWF786415 BGA786415:BGB786415 BPW786415:BPX786415 BZS786415:BZT786415 CJO786415:CJP786415 CTK786415:CTL786415 DDG786415:DDH786415 DNC786415:DND786415 DWY786415:DWZ786415 EGU786415:EGV786415 EQQ786415:EQR786415 FAM786415:FAN786415 FKI786415:FKJ786415 FUE786415:FUF786415 GEA786415:GEB786415 GNW786415:GNX786415 GXS786415:GXT786415 HHO786415:HHP786415 HRK786415:HRL786415 IBG786415:IBH786415 ILC786415:ILD786415 IUY786415:IUZ786415 JEU786415:JEV786415 JOQ786415:JOR786415 JYM786415:JYN786415 KII786415:KIJ786415 KSE786415:KSF786415 LCA786415:LCB786415 LLW786415:LLX786415 LVS786415:LVT786415 MFO786415:MFP786415 MPK786415:MPL786415 MZG786415:MZH786415 NJC786415:NJD786415 NSY786415:NSZ786415 OCU786415:OCV786415 OMQ786415:OMR786415 OWM786415:OWN786415 PGI786415:PGJ786415 PQE786415:PQF786415 QAA786415:QAB786415 QJW786415:QJX786415 QTS786415:QTT786415 RDO786415:RDP786415 RNK786415:RNL786415 RXG786415:RXH786415 SHC786415:SHD786415 SQY786415:SQZ786415 TAU786415:TAV786415 TKQ786415:TKR786415 TUM786415:TUN786415 UEI786415:UEJ786415 UOE786415:UOF786415 UYA786415:UYB786415 VHW786415:VHX786415 VRS786415:VRT786415 WBO786415:WBP786415 WLK786415:WLL786415 WVG786415:WVH786415 IU851951:IV851951 SQ851951:SR851951 ACM851951:ACN851951 AMI851951:AMJ851951 AWE851951:AWF851951 BGA851951:BGB851951 BPW851951:BPX851951 BZS851951:BZT851951 CJO851951:CJP851951 CTK851951:CTL851951 DDG851951:DDH851951 DNC851951:DND851951 DWY851951:DWZ851951 EGU851951:EGV851951 EQQ851951:EQR851951 FAM851951:FAN851951 FKI851951:FKJ851951 FUE851951:FUF851951 GEA851951:GEB851951 GNW851951:GNX851951 GXS851951:GXT851951 HHO851951:HHP851951 HRK851951:HRL851951 IBG851951:IBH851951 ILC851951:ILD851951 IUY851951:IUZ851951 JEU851951:JEV851951 JOQ851951:JOR851951 JYM851951:JYN851951 KII851951:KIJ851951 KSE851951:KSF851951 LCA851951:LCB851951 LLW851951:LLX851951 LVS851951:LVT851951 MFO851951:MFP851951 MPK851951:MPL851951 MZG851951:MZH851951 NJC851951:NJD851951 NSY851951:NSZ851951 OCU851951:OCV851951 OMQ851951:OMR851951 OWM851951:OWN851951 PGI851951:PGJ851951 PQE851951:PQF851951 QAA851951:QAB851951 QJW851951:QJX851951 QTS851951:QTT851951 RDO851951:RDP851951 RNK851951:RNL851951 RXG851951:RXH851951 SHC851951:SHD851951 SQY851951:SQZ851951 TAU851951:TAV851951 TKQ851951:TKR851951 TUM851951:TUN851951 UEI851951:UEJ851951 UOE851951:UOF851951 UYA851951:UYB851951 VHW851951:VHX851951 VRS851951:VRT851951 WBO851951:WBP851951 WLK851951:WLL851951 WVG851951:WVH851951 IU917487:IV917487 SQ917487:SR917487 ACM917487:ACN917487 AMI917487:AMJ917487 AWE917487:AWF917487 BGA917487:BGB917487 BPW917487:BPX917487 BZS917487:BZT917487 CJO917487:CJP917487 CTK917487:CTL917487 DDG917487:DDH917487 DNC917487:DND917487 DWY917487:DWZ917487 EGU917487:EGV917487 EQQ917487:EQR917487 FAM917487:FAN917487 FKI917487:FKJ917487 FUE917487:FUF917487 GEA917487:GEB917487 GNW917487:GNX917487 GXS917487:GXT917487 HHO917487:HHP917487 HRK917487:HRL917487 IBG917487:IBH917487 ILC917487:ILD917487 IUY917487:IUZ917487 JEU917487:JEV917487 JOQ917487:JOR917487 JYM917487:JYN917487 KII917487:KIJ917487 KSE917487:KSF917487 LCA917487:LCB917487 LLW917487:LLX917487 LVS917487:LVT917487 MFO917487:MFP917487 MPK917487:MPL917487 MZG917487:MZH917487 NJC917487:NJD917487 NSY917487:NSZ917487 OCU917487:OCV917487 OMQ917487:OMR917487 OWM917487:OWN917487 PGI917487:PGJ917487 PQE917487:PQF917487 QAA917487:QAB917487 QJW917487:QJX917487 QTS917487:QTT917487 RDO917487:RDP917487 RNK917487:RNL917487 RXG917487:RXH917487 SHC917487:SHD917487 SQY917487:SQZ917487 TAU917487:TAV917487 TKQ917487:TKR917487 TUM917487:TUN917487 UEI917487:UEJ917487 UOE917487:UOF917487 UYA917487:UYB917487 VHW917487:VHX917487 VRS917487:VRT917487 WBO917487:WBP917487 WLK917487:WLL917487 WVG917487:WVH917487 IU983023:IV983023 SQ983023:SR983023 ACM983023:ACN983023 AMI983023:AMJ983023 AWE983023:AWF983023 BGA983023:BGB983023 BPW983023:BPX983023 BZS983023:BZT983023 CJO983023:CJP983023 CTK983023:CTL983023 DDG983023:DDH983023 DNC983023:DND983023 DWY983023:DWZ983023 EGU983023:EGV983023 EQQ983023:EQR983023 FAM983023:FAN983023 FKI983023:FKJ983023 FUE983023:FUF983023 GEA983023:GEB983023 GNW983023:GNX983023 GXS983023:GXT983023 HHO983023:HHP983023 HRK983023:HRL983023 IBG983023:IBH983023 ILC983023:ILD983023 IUY983023:IUZ983023 JEU983023:JEV983023 JOQ983023:JOR983023 JYM983023:JYN983023 KII983023:KIJ983023 KSE983023:KSF983023 LCA983023:LCB983023 LLW983023:LLX983023 LVS983023:LVT983023 MFO983023:MFP983023 MPK983023:MPL983023 MZG983023:MZH983023 NJC983023:NJD983023 NSY983023:NSZ983023 OCU983023:OCV983023 OMQ983023:OMR983023 OWM983023:OWN983023 PGI983023:PGJ983023 PQE983023:PQF983023 QAA983023:QAB983023 QJW983023:QJX983023 QTS983023:QTT983023 RDO983023:RDP983023 RNK983023:RNL983023 RXG983023:RXH983023 SHC983023:SHD983023 SQY983023:SQZ983023 TAU983023:TAV983023 TKQ983023:TKR983023 TUM983023:TUN983023 UEI983023:UEJ983023 UOE983023:UOF983023 UYA983023:UYB983023 VHW983023:VHX983023 VRS983023:VRT983023 WBO983023:WBP983023 WLK983023:WLL983023 C65519:D65519 C131055:D131055 C196591:D196591 C262127:D262127 C327663:D327663 C393199:D393199 C458735:D458735 C524271:D524271 C589807:D589807 C655343:D655343 C720879:D720879 C786415:D786415 C851951:D851951 C917487:D917487 C983023:D983023 WVG7:WVH7 WLK7:WLL7 WBO7:WBP7 VRS7:VRT7 VHW7:VHX7 UYA7:UYB7 UOE7:UOF7 UEI7:UEJ7 TUM7:TUN7 TKQ7:TKR7 TAU7:TAV7 SQY7:SQZ7 SHC7:SHD7 RXG7:RXH7 RNK7:RNL7 RDO7:RDP7 QTS7:QTT7 QJW7:QJX7 QAA7:QAB7 PQE7:PQF7 PGI7:PGJ7 OWM7:OWN7 OMQ7:OMR7 OCU7:OCV7 NSY7:NSZ7 NJC7:NJD7 MZG7:MZH7 MPK7:MPL7 MFO7:MFP7 LVS7:LVT7 LLW7:LLX7 LCA7:LCB7 KSE7:KSF7 KII7:KIJ7 JYM7:JYN7 JOQ7:JOR7 JEU7:JEV7 IUY7:IUZ7 ILC7:ILD7 IBG7:IBH7 HRK7:HRL7 HHO7:HHP7 GXS7:GXT7 GNW7:GNX7 GEA7:GEB7 FUE7:FUF7 FKI7:FKJ7 FAM7:FAN7 EQQ7:EQR7 EGU7:EGV7 DWY7:DWZ7 DNC7:DND7 DDG7:DDH7 CTK7:CTL7 CJO7:CJP7 BZS7:BZT7 BPW7:BPX7 BGA7:BGB7 AWE7:AWF7 AMI7:AMJ7 ACM7:ACN7 SQ7:SR7 IU7:IV7">
      <formula1>NHSBOARDS</formula1>
    </dataValidation>
  </dataValidations>
  <hyperlinks>
    <hyperlink ref="A5" r:id="rId1"/>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10</vt:i4>
      </vt:variant>
    </vt:vector>
  </HeadingPairs>
  <TitlesOfParts>
    <vt:vector size="41" baseType="lpstr">
      <vt:lpstr>Sheet1</vt:lpstr>
      <vt:lpstr>Menu</vt:lpstr>
      <vt:lpstr>Index</vt:lpstr>
      <vt:lpstr>Sept 21 resubs - Fife referrals</vt:lpstr>
      <vt:lpstr>footnotes</vt:lpstr>
      <vt:lpstr>REPORT_raw_dataseen</vt:lpstr>
      <vt:lpstr>REPORT_raw_datawaiting</vt:lpstr>
      <vt:lpstr>Type of adjust</vt:lpstr>
      <vt:lpstr>Referrals_pub</vt:lpstr>
      <vt:lpstr>Referrals</vt:lpstr>
      <vt:lpstr>Referrals over 65</vt:lpstr>
      <vt:lpstr>Sheet2</vt:lpstr>
      <vt:lpstr>1a</vt:lpstr>
      <vt:lpstr>1b</vt:lpstr>
      <vt:lpstr>1c</vt:lpstr>
      <vt:lpstr>1d</vt:lpstr>
      <vt:lpstr>2a</vt:lpstr>
      <vt:lpstr>2b</vt:lpstr>
      <vt:lpstr>2c</vt:lpstr>
      <vt:lpstr>2d</vt:lpstr>
      <vt:lpstr>3a</vt:lpstr>
      <vt:lpstr>3b</vt:lpstr>
      <vt:lpstr>3c</vt:lpstr>
      <vt:lpstr>3d</vt:lpstr>
      <vt:lpstr>4a</vt:lpstr>
      <vt:lpstr>4b</vt:lpstr>
      <vt:lpstr>4c</vt:lpstr>
      <vt:lpstr>3a (2)</vt:lpstr>
      <vt:lpstr>3b (2)</vt:lpstr>
      <vt:lpstr>3c (2)</vt:lpstr>
      <vt:lpstr>3d (2)</vt:lpstr>
      <vt:lpstr>Boards1</vt:lpstr>
      <vt:lpstr>bymonth</vt:lpstr>
      <vt:lpstr>ISLANDBOARDS</vt:lpstr>
      <vt:lpstr>listoftables</vt:lpstr>
      <vt:lpstr>Months</vt:lpstr>
      <vt:lpstr>NHSBOARDS</vt:lpstr>
      <vt:lpstr>'Sept 21 resubs - Fife referrals'!Print_Area</vt:lpstr>
      <vt:lpstr>Referrals</vt:lpstr>
      <vt:lpstr>seenwaiting</vt:lpstr>
      <vt:lpstr>tab</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Santiago Nieva</dc:creator>
  <cp:lastModifiedBy>joseni01</cp:lastModifiedBy>
  <cp:lastPrinted>2016-12-09T15:28:54Z</cp:lastPrinted>
  <dcterms:created xsi:type="dcterms:W3CDTF">2015-01-28T14:33:18Z</dcterms:created>
  <dcterms:modified xsi:type="dcterms:W3CDTF">2021-09-02T09:30:24Z</dcterms:modified>
</cp:coreProperties>
</file>